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ables/table1.xml" ContentType="application/vnd.openxmlformats-officedocument.spreadsheetml.table+xml"/>
  <Override PartName="/xl/comments6.xml" ContentType="application/vnd.openxmlformats-officedocument.spreadsheetml.comments+xml"/>
  <Override PartName="/xl/threadedComments/threadedComment5.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omments7.xml" ContentType="application/vnd.openxmlformats-officedocument.spreadsheetml.comments+xml"/>
  <Override PartName="/xl/tables/table2.xml" ContentType="application/vnd.openxmlformats-officedocument.spreadsheetml.table+xml"/>
  <Override PartName="/xl/drawings/drawing3.xml" ContentType="application/vnd.openxmlformats-officedocument.drawing+xml"/>
  <Override PartName="/xl/comments8.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hidePivotFieldList="1"/>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5752B855-D398-4150-ABA5-6FDF6739999C}" xr6:coauthVersionLast="47" xr6:coauthVersionMax="47" xr10:uidLastSave="{00000000-0000-0000-0000-000000000000}"/>
  <bookViews>
    <workbookView xWindow="-108" yWindow="-108" windowWidth="23256" windowHeight="12456" firstSheet="9" activeTab="11" xr2:uid="{A8AF974F-AB15-FF41-AD2D-69681E97BA15}"/>
  </bookViews>
  <sheets>
    <sheet name="How to Use Guide" sheetId="5" r:id="rId1"/>
    <sheet name="1. Project Inputs" sheetId="20" r:id="rId2"/>
    <sheet name="2. Pricing &amp; Import" sheetId="13" r:id="rId3"/>
    <sheet name="Role Mock Up Options" sheetId="32" r:id="rId4"/>
    <sheet name="3. Summary Inputs" sheetId="31" r:id="rId5"/>
    <sheet name="4. Financial Summary &amp; Totals" sheetId="10" r:id="rId6"/>
    <sheet name="5. Import Checklist" sheetId="26" r:id="rId7"/>
    <sheet name="Commercial Business Review" sheetId="27" r:id="rId8"/>
    <sheet name="Optional - Scope Estimation" sheetId="9" r:id="rId9"/>
    <sheet name="Optional - Scope Options Review" sheetId="15" r:id="rId10"/>
    <sheet name="Hidden -&gt;" sheetId="21" state="hidden" r:id="rId11"/>
    <sheet name="Resource Loading" sheetId="28" r:id="rId12"/>
    <sheet name="Optional Pricing Scenarios Eval" sheetId="22" r:id="rId13"/>
    <sheet name="Standard Rate Cards" sheetId="1" r:id="rId14"/>
    <sheet name="Updated Rate Card Import" sheetId="25" state="hidden" r:id="rId15"/>
    <sheet name="FORMULA REFS" sheetId="23" state="hidden" r:id="rId16"/>
    <sheet name="Definitions" sheetId="7" state="hidden" r:id="rId17"/>
    <sheet name="hTAD Info" sheetId="18" r:id="rId18"/>
    <sheet name="Complexity Factors" sheetId="6" r:id="rId19"/>
    <sheet name="Client Rate Cards" sheetId="17" r:id="rId20"/>
  </sheet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#REF!</definedName>
    <definedName name="_xlnm._FilterDatabase" localSheetId="8" hidden="1">'Optional - Scope Estimation'!$C$34:$T$95</definedName>
    <definedName name="_xlnm._FilterDatabase" localSheetId="9" hidden="1">'Optional - Scope Options Review'!#REF!</definedName>
    <definedName name="_xlnm._FilterDatabase" localSheetId="13" hidden="1">'Standard Rate Cards'!$BG$8:$BN$8</definedName>
    <definedName name="Acquia">'Standard Rate Cards'!$AP$47:$AP$63</definedName>
    <definedName name="Acquia_BA">'Standard Rate Cards'!$AR$62:$AR$63</definedName>
    <definedName name="Acquia_CDP">'Standard Rate Cards'!$AR$49</definedName>
    <definedName name="Acquia_DevOps">'Standard Rate Cards'!$AR$58:$AR$61</definedName>
    <definedName name="Acquia_Drupal">'Standard Rate Cards'!$AR$47</definedName>
    <definedName name="Acquia_Personalization">'Standard Rate Cards'!$AR$50</definedName>
    <definedName name="Acquia_QA">'Standard Rate Cards'!$AR$54:$AR$57</definedName>
    <definedName name="Acquia_UI">'Standard Rate Cards'!$AR$51:$AR$53</definedName>
    <definedName name="Acquia_Wordpress">'Standard Rate Cards'!$AR$48</definedName>
    <definedName name="Adobe">'Standard Rate Cards'!$AP$8:$AP$46</definedName>
    <definedName name="Adobe_Adobe_BA">'Standard Rate Cards'!$AR$39:$AR$46</definedName>
    <definedName name="Adobe_Adobe_DevOps">'Standard Rate Cards'!$AR$33:$AR$383</definedName>
    <definedName name="Adobe_Adobe_QA">'Standard Rate Cards'!$AR$29:$AR$32</definedName>
    <definedName name="Adobe_Adobe_UI">'Standard Rate Cards'!$AR$25:$AR$28</definedName>
    <definedName name="Adobe_Commerce">'Standard Rate Cards'!$AR$17:$AR$18</definedName>
    <definedName name="Adobe_Data_and_Analytics">'Standard Rate Cards'!$AR$24</definedName>
    <definedName name="Adobe_Experience_Management">'Standard Rate Cards'!$AR$8:$AR$10</definedName>
    <definedName name="Adobe_Marketing_Automation">'Standard Rate Cards'!$AR$11:$AR$16</definedName>
    <definedName name="Adobe_Work_Management">'Standard Rate Cards'!$AR$19:$AR$23</definedName>
    <definedName name="Assumptions">'Optional - Scope Estimation'!$U$34:$U$95</definedName>
    <definedName name="Automation">'Optional - Scope Estimation'!$D$42:$E$42</definedName>
    <definedName name="BillableExpenses" localSheetId="5">'4. Financial Summary &amp; Totals'!#REF!</definedName>
    <definedName name="Blended_Rate" localSheetId="1">#REF!</definedName>
    <definedName name="Blended_Rate" localSheetId="18">#REF!</definedName>
    <definedName name="Blended_Rate" localSheetId="0">#REF!</definedName>
    <definedName name="Blended_Rate" localSheetId="8">#REF!</definedName>
    <definedName name="Blended_Rate" localSheetId="9">#REF!</definedName>
    <definedName name="Blended_Rate">#REF!</definedName>
    <definedName name="ClientRateCards">'Client Rate Cards'!$B$8:$B$690</definedName>
    <definedName name="Complexity_Factor" localSheetId="1">1+VLOOKUP(_xlfn.SINGLE(#REF!),'1. Project Inputs'!$I$34:$J$41,2,FALSE)</definedName>
    <definedName name="Complexity_Factor" localSheetId="18">1+VLOOKUP(_xlfn.SINGLE(#REF!),'Complexity Factors'!$B$11:$B$18,2,FALSE)</definedName>
    <definedName name="Complexity_Factor" localSheetId="0">1+VLOOKUP(_xlfn.SINGLE(#REF!),#REF!,2,FALSE)</definedName>
    <definedName name="Complexity_Factor" localSheetId="8">1+VLOOKUP(_xlfn.SINGLE('Optional - Scope Estimation'!XFC1:XFC486),#REF!,2,FALSE)</definedName>
    <definedName name="Complexity_Factor" localSheetId="9">1+VLOOKUP(_xlfn.SINGLE(#REF!),#REF!,2,FALSE)</definedName>
    <definedName name="Complexity_Factor">1+VLOOKUP(_xlfn.SINGLE(#REF!),#REF!,2,FALSE)</definedName>
    <definedName name="Confidence" localSheetId="1">#REF!</definedName>
    <definedName name="Confidence" localSheetId="18">#REF!</definedName>
    <definedName name="Confidence" localSheetId="0">#REF!</definedName>
    <definedName name="Confidence" localSheetId="8">'Optional - Scope Estimation'!$G$45:$G$95</definedName>
    <definedName name="Confidence" localSheetId="9">#REF!</definedName>
    <definedName name="Confidence">#REF!</definedName>
    <definedName name="CrederaIndia">'Standard Rate Cards'!$C$317:$C$374</definedName>
    <definedName name="CrederaLATAM">'Standard Rate Cards'!$C$290:$C$316</definedName>
    <definedName name="CrederaUS">'Standard Rate Cards'!$C$8:$C$206</definedName>
    <definedName name="Data_Mangaement">'Optional - Scope Estimation'!$D$45:$E$45</definedName>
    <definedName name="Dependency_Factor" localSheetId="1">1+VLOOKUP(#REF!,'1. Project Inputs'!$K$34:$L$39,2,FALSE)</definedName>
    <definedName name="Dependency_Factor" localSheetId="18">1+VLOOKUP(#REF!,'Complexity Factors'!$B$23:$C$28,2,FALSE)</definedName>
    <definedName name="Dependency_Factor" localSheetId="0">1+VLOOKUP(#REF!,#REF!,2,FALSE)</definedName>
    <definedName name="Dependency_Factor" localSheetId="8">1+VLOOKUP('Optional - Scope Estimation'!XFD1:XFD486,#REF!,2,FALSE)</definedName>
    <definedName name="Dependency_Factor" localSheetId="9">1+VLOOKUP(#REF!,#REF!,2,FALSE)</definedName>
    <definedName name="Dependency_Factor">1+VLOOKUP(#REF!,#REF!,2,FALSE)</definedName>
    <definedName name="Documentaion" localSheetId="1">#REF!</definedName>
    <definedName name="Documentaion" localSheetId="18">#REF!</definedName>
    <definedName name="Documentaion" localSheetId="0">#REF!</definedName>
    <definedName name="Documentaion" localSheetId="8">'Optional - Scope Estimation'!#REF!</definedName>
    <definedName name="Documentaion" localSheetId="9">#REF!</definedName>
    <definedName name="Documentaion">#REF!</definedName>
    <definedName name="DOTNET">'Standard Rate Cards'!$AP$114:$AP$142</definedName>
    <definedName name="DOTNET_BA">'Standard Rate Cards'!$AR$139:$AR$142</definedName>
    <definedName name="DOTNET_CDP">'Standard Rate Cards'!$AR$119</definedName>
    <definedName name="DOTNET_Coveo">'Standard Rate Cards'!$AR$120</definedName>
    <definedName name="DOTNET_DevOps">'Standard Rate Cards'!$AR$135:$AR$138</definedName>
    <definedName name="DOTNET_DOTNET">'Standard Rate Cards'!$AR$122:$AR$125</definedName>
    <definedName name="DOTNET_MS_Dynamics">'Standard Rate Cards'!$AR$118</definedName>
    <definedName name="DOTNET_Optimizely_CMS">'Standard Rate Cards'!$AR$116:$AR$117</definedName>
    <definedName name="DOTNET_QA">'Standard Rate Cards'!$AR$131:$AR$134</definedName>
    <definedName name="DOTNET_Sitecore">'Standard Rate Cards'!$AR$114:$AR$115</definedName>
    <definedName name="DOTNET_Sitecore_Search">'Standard Rate Cards'!$AR$121</definedName>
    <definedName name="DOTNET_UI">'Standard Rate Cards'!$AR$126:$AR$130</definedName>
    <definedName name="Effort_Days" localSheetId="1">#REF!</definedName>
    <definedName name="Effort_Days" localSheetId="18">#REF!</definedName>
    <definedName name="Effort_Days" localSheetId="0">#REF!</definedName>
    <definedName name="Effort_Days" localSheetId="8">'Optional - Scope Estimation'!$F$36:$F$95</definedName>
    <definedName name="Effort_Days" localSheetId="9">#REF!</definedName>
    <definedName name="Effort_Days">#REF!</definedName>
    <definedName name="Employee_Cost" localSheetId="5">SUMIF('4. Financial Summary &amp; Totals'!#REF!,"&lt;&gt;sub",'4. Financial Summary &amp; Totals'!#REF!)</definedName>
    <definedName name="Environments">'Optional - Scope Estimation'!$D$40:$E$40</definedName>
    <definedName name="Epic">'Optional - Scope Estimation'!$D$36:$D$95</definedName>
    <definedName name="Functional">'Optional - Scope Estimation'!$D$36:$E$36</definedName>
    <definedName name="Hour_Bucket" localSheetId="1">'1. Project Inputs'!$F$16:$H$24</definedName>
    <definedName name="Hour_Bucket">'Complexity Factors'!$E$12:$F$21</definedName>
    <definedName name="Hours_Per_Day" localSheetId="1">'1. Project Inputs'!#REF!</definedName>
    <definedName name="Hours_Per_Day" localSheetId="18">'Complexity Factors'!#REF!</definedName>
    <definedName name="Hours_Per_Day" localSheetId="0">#REF!</definedName>
    <definedName name="Hours_Per_Day" localSheetId="8">#REF!</definedName>
    <definedName name="Hours_Per_Day" localSheetId="9">#REF!</definedName>
    <definedName name="Hours_Per_Day">#REF!</definedName>
    <definedName name="Integrations">'Optional - Scope Estimation'!$D$39:$E$39</definedName>
    <definedName name="LevelList" localSheetId="1">'1. Project Inputs'!#REF!</definedName>
    <definedName name="LevelList" localSheetId="18">'Complexity Factors'!#REF!</definedName>
    <definedName name="LevelList" localSheetId="0">#REF!</definedName>
    <definedName name="LevelList" localSheetId="8">#REF!</definedName>
    <definedName name="LevelList" localSheetId="9">#REF!</definedName>
    <definedName name="LevelList">#REF!</definedName>
    <definedName name="Location">'Standard Rate Cards'!$K$8:$L$8</definedName>
    <definedName name="MACH">'Standard Rate Cards'!$AP$80:$AP$113</definedName>
    <definedName name="Mach_BA">'Standard Rate Cards'!$AR$108:$AR$113</definedName>
    <definedName name="Mach_Commerce">'Standard Rate Cards'!$AR$80:$AR$83</definedName>
    <definedName name="Mach_Content">'Standard Rate Cards'!$AR$84:$AR$85</definedName>
    <definedName name="Mach_DevOps">'Standard Rate Cards'!$AR$104:$AR$107</definedName>
    <definedName name="Mach_Middleware">'Standard Rate Cards'!$AR$92:$AR$94</definedName>
    <definedName name="Mach_QA">'Standard Rate Cards'!$AR$100:$AR$103</definedName>
    <definedName name="Mach_Tealium">'Standard Rate Cards'!$AR$86:$AR$91</definedName>
    <definedName name="Mach_UI">'Standard Rate Cards'!$AR$95:$AR$99</definedName>
    <definedName name="Multi_Tenant">'Optional - Scope Estimation'!$D$38:$E$38</definedName>
    <definedName name="Multiplication_factor" localSheetId="8">'Optional - Scope Estimation'!$G$105:$S$106</definedName>
    <definedName name="Non_Functional">'Optional - Scope Estimation'!$D$37:$E$37</definedName>
    <definedName name="NonDevList">'Optional - Scope Estimation'!$G$9:$G$16</definedName>
    <definedName name="Offshore">'Standard Rate Cards'!$K$9:$K$13</definedName>
    <definedName name="Onshore">'Standard Rate Cards'!$L$9:$L$19</definedName>
    <definedName name="Option" localSheetId="1">'1. Project Inputs'!#REF!</definedName>
    <definedName name="Option" localSheetId="18">'Complexity Factors'!#REF!</definedName>
    <definedName name="Option" localSheetId="0">#REF!</definedName>
    <definedName name="Option" localSheetId="8">#REF!</definedName>
    <definedName name="Option" localSheetId="9">#REF!</definedName>
    <definedName name="Option">#REF!</definedName>
    <definedName name="Option___1_3">'Optional - Scope Estimation'!$S$35:$S$95</definedName>
    <definedName name="Organizations">'Standard Rate Cards'!$B$12:$B$432</definedName>
    <definedName name="Platform">#REF!</definedName>
    <definedName name="Priority" localSheetId="1">#REF!</definedName>
    <definedName name="Priority" localSheetId="18">#REF!</definedName>
    <definedName name="Priority" localSheetId="0">#REF!</definedName>
    <definedName name="Priority" localSheetId="8">'Optional - Scope Estimation'!#REF!</definedName>
    <definedName name="Priority" localSheetId="9">#REF!</definedName>
    <definedName name="Priority">#REF!</definedName>
    <definedName name="Reporting">'Optional - Scope Estimation'!$D$44:$E$44</definedName>
    <definedName name="RequirementType">'Optional - Scope Estimation'!$C$38:$C$91</definedName>
    <definedName name="RoleList" localSheetId="1">'1. Project Inputs'!#REF!</definedName>
    <definedName name="RoleList" localSheetId="18">'Complexity Factors'!#REF!</definedName>
    <definedName name="RoleList" localSheetId="0">#REF!</definedName>
    <definedName name="RoleList" localSheetId="8">#REF!</definedName>
    <definedName name="RoleList" localSheetId="9">#REF!</definedName>
    <definedName name="RoleList">#REF!</definedName>
    <definedName name="Salesforce">'Standard Rate Cards'!$AP$64:$AP$79</definedName>
    <definedName name="Salesforce_BA">'Standard Rate Cards'!$AR$76:$AR$79</definedName>
    <definedName name="Salesforce_Cloud">'Standard Rate Cards'!$AR$66</definedName>
    <definedName name="Salesforce_Data_Cloud">'Standard Rate Cards'!$AR$67:$AR$69</definedName>
    <definedName name="Salesforce_Marketing_Cloud">'Standard Rate Cards'!$AR$64:$AR$65</definedName>
    <definedName name="Salesforce_QA">'Standard Rate Cards'!$AR$72:$AR$75</definedName>
    <definedName name="Salesforce_Sales_Cloud">'Standard Rate Cards'!$AR$66</definedName>
    <definedName name="Salesforce_UI">'Standard Rate Cards'!$AR$70:$AR$71</definedName>
    <definedName name="SDLCBucketList">'Optional - Scope Estimation'!$G$9:$G$15</definedName>
    <definedName name="Security___Privacy">'Optional - Scope Estimation'!$D$43:$E$43</definedName>
    <definedName name="Service_Management">'Optional - Scope Estimation'!$D$46:$E$46</definedName>
    <definedName name="ss">#REF!</definedName>
    <definedName name="Subcontractor_Cost" localSheetId="5">SUMIF('4. Financial Summary &amp; Totals'!#REF!,"=sub",'4. Financial Summary &amp; Totals'!#REF!)</definedName>
    <definedName name="TADIndia">'Standard Rate Cards'!$C$375:$C$432</definedName>
    <definedName name="TADNorthAmerica">'Standard Rate Cards'!$C$207:$C$289</definedName>
    <definedName name="Task">'Optional - Scope Estimation'!$E$36:$E$95</definedName>
    <definedName name="Testing">'Optional - Scope Estimation'!$D$41:$E$41</definedName>
    <definedName name="Total_Estimated_Cost" localSheetId="1">'1. Project Inputs'!#REF!</definedName>
    <definedName name="Total_Estimated_Cost" localSheetId="18">'Complexity Factors'!#REF!</definedName>
    <definedName name="Total_Estimated_Cost" localSheetId="0">#REF!</definedName>
    <definedName name="Total_Estimated_Cost" localSheetId="8">#REF!</definedName>
    <definedName name="Total_Estimated_Cost" localSheetId="9">#REF!</definedName>
    <definedName name="Total_Estimated_Cost">#REF!</definedName>
    <definedName name="Version">'2. Pricing &amp; Import'!$D$2</definedName>
  </definedNames>
  <calcPr calcId="191028"/>
  <pivotCaches>
    <pivotCache cacheId="0" r:id="rId2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H8" i="28"/>
  <c r="H4" i="28"/>
  <c r="H6" i="28"/>
  <c r="H7" i="28"/>
  <c r="H3" i="28"/>
  <c r="AH43" i="13" a="1"/>
  <c r="AH43" i="13" s="1"/>
  <c r="AI43" i="13" a="1"/>
  <c r="AI43" i="13" s="1"/>
  <c r="AJ43" i="13" a="1"/>
  <c r="AJ43" i="13" s="1"/>
  <c r="AK43" i="13" a="1"/>
  <c r="AK43" i="13" s="1"/>
  <c r="AL43" i="13" a="1"/>
  <c r="AL43" i="13" s="1"/>
  <c r="AM43" i="13" a="1"/>
  <c r="AM43" i="13" s="1"/>
  <c r="AN43" i="13" a="1"/>
  <c r="AN43" i="13" s="1"/>
  <c r="AO43" i="13" a="1"/>
  <c r="AO43" i="13" s="1"/>
  <c r="AP43" i="13" a="1"/>
  <c r="AP43" i="13" s="1"/>
  <c r="AQ43" i="13" a="1"/>
  <c r="AQ43" i="13" s="1"/>
  <c r="AR43" i="13" a="1"/>
  <c r="AR43" i="13" s="1"/>
  <c r="AS43" i="13" a="1"/>
  <c r="AS43" i="13" s="1"/>
  <c r="AT43" i="13" a="1"/>
  <c r="AT43" i="13" s="1"/>
  <c r="AU43" i="13" a="1"/>
  <c r="AU43" i="13" s="1"/>
  <c r="AV43" i="13" a="1"/>
  <c r="AV43" i="13" s="1"/>
  <c r="AW43" i="13" a="1"/>
  <c r="AW43" i="13" s="1"/>
  <c r="AX43" i="13" a="1"/>
  <c r="AX43" i="13" s="1"/>
  <c r="AY43" i="13" a="1"/>
  <c r="AY43" i="13" s="1"/>
  <c r="AZ43" i="13" a="1"/>
  <c r="AZ43" i="13" s="1"/>
  <c r="BA43" i="13" a="1"/>
  <c r="BA43" i="13" s="1"/>
  <c r="BB43" i="13" a="1"/>
  <c r="BB43" i="13" s="1"/>
  <c r="BC43" i="13" a="1"/>
  <c r="BC43" i="13" s="1"/>
  <c r="BD43" i="13" a="1"/>
  <c r="BD43" i="13" s="1"/>
  <c r="BE43" i="13" a="1"/>
  <c r="BE43" i="13" s="1"/>
  <c r="BF43" i="13" a="1"/>
  <c r="BF43" i="13" s="1"/>
  <c r="BG43" i="13" a="1"/>
  <c r="BG43" i="13" s="1"/>
  <c r="BH43" i="13" a="1"/>
  <c r="BH43" i="13" s="1"/>
  <c r="BI43" i="13" a="1"/>
  <c r="BI43" i="13" s="1"/>
  <c r="BJ43" i="13" a="1"/>
  <c r="BJ43" i="13" s="1"/>
  <c r="BK43" i="13" a="1"/>
  <c r="BK43" i="13" s="1"/>
  <c r="BL43" i="13" a="1"/>
  <c r="BL43" i="13" s="1"/>
  <c r="BM43" i="13" a="1"/>
  <c r="BM43" i="13" s="1"/>
  <c r="BN43" i="13" a="1"/>
  <c r="BN43" i="13" s="1"/>
  <c r="BO43" i="13" a="1"/>
  <c r="BO43" i="13" s="1"/>
  <c r="BP43" i="13" a="1"/>
  <c r="BP43" i="13" s="1"/>
  <c r="BQ43" i="13" a="1"/>
  <c r="BQ43" i="13" s="1"/>
  <c r="BR43" i="13" a="1"/>
  <c r="BR43" i="13" s="1"/>
  <c r="BS43" i="13" a="1"/>
  <c r="BS43" i="13" s="1"/>
  <c r="BT43" i="13" a="1"/>
  <c r="BT43" i="13" s="1"/>
  <c r="BU43" i="13" a="1"/>
  <c r="BU43" i="13" s="1"/>
  <c r="BV43" i="13" a="1"/>
  <c r="BV43" i="13" s="1"/>
  <c r="BW43" i="13" a="1"/>
  <c r="BW43" i="13" s="1"/>
  <c r="BX43" i="13" a="1"/>
  <c r="BX43" i="13" s="1"/>
  <c r="BY43" i="13" a="1"/>
  <c r="BY43" i="13" s="1"/>
  <c r="BZ43" i="13" a="1"/>
  <c r="BZ43" i="13" s="1"/>
  <c r="CA43" i="13" a="1"/>
  <c r="CA43" i="13" s="1"/>
  <c r="CB43" i="13" a="1"/>
  <c r="CB43" i="13" s="1"/>
  <c r="CC43" i="13" a="1"/>
  <c r="CC43" i="13" s="1"/>
  <c r="CD43" i="13" a="1"/>
  <c r="CD43" i="13" s="1"/>
  <c r="CE43" i="13" a="1"/>
  <c r="CE43" i="13" s="1"/>
  <c r="CF43" i="13" a="1"/>
  <c r="CF43" i="13" s="1"/>
  <c r="AG43" i="13" a="1"/>
  <c r="AG43" i="13" s="1"/>
  <c r="BN10" i="1"/>
  <c r="BN11" i="1"/>
  <c r="BN12" i="1"/>
  <c r="BN13" i="1"/>
  <c r="BN14" i="1"/>
  <c r="BN15" i="1"/>
  <c r="BN16" i="1"/>
  <c r="BN17" i="1"/>
  <c r="BN18" i="1"/>
  <c r="BN19" i="1"/>
  <c r="BN20" i="1"/>
  <c r="BN21" i="1"/>
  <c r="BN22" i="1"/>
  <c r="BN23" i="1"/>
  <c r="BN24" i="1"/>
  <c r="BN25" i="1"/>
  <c r="BN26" i="1"/>
  <c r="BN27" i="1"/>
  <c r="BN28" i="1"/>
  <c r="BN29" i="1"/>
  <c r="BN30" i="1"/>
  <c r="BN31" i="1"/>
  <c r="BN32" i="1"/>
  <c r="BN33" i="1"/>
  <c r="BN34" i="1"/>
  <c r="BN35" i="1"/>
  <c r="BN36" i="1"/>
  <c r="BN37" i="1"/>
  <c r="BN38" i="1"/>
  <c r="BN39" i="1"/>
  <c r="BN40" i="1"/>
  <c r="BN41" i="1"/>
  <c r="BN42" i="1"/>
  <c r="BN43" i="1"/>
  <c r="BN44" i="1"/>
  <c r="BN45" i="1"/>
  <c r="BN46" i="1"/>
  <c r="BN47" i="1"/>
  <c r="BN48" i="1"/>
  <c r="BN49" i="1"/>
  <c r="BN50" i="1"/>
  <c r="BN51" i="1"/>
  <c r="BN52" i="1"/>
  <c r="BN53" i="1"/>
  <c r="BN54" i="1"/>
  <c r="BN55" i="1"/>
  <c r="BN56" i="1"/>
  <c r="BN57" i="1"/>
  <c r="BN58" i="1"/>
  <c r="BN59" i="1"/>
  <c r="BN60" i="1"/>
  <c r="BN61" i="1"/>
  <c r="BN62" i="1"/>
  <c r="BN63" i="1"/>
  <c r="BN64" i="1"/>
  <c r="BN65" i="1"/>
  <c r="BN66" i="1"/>
  <c r="BN67" i="1"/>
  <c r="BN68" i="1"/>
  <c r="BN69" i="1"/>
  <c r="BN70" i="1"/>
  <c r="BN71" i="1"/>
  <c r="BN72" i="1"/>
  <c r="BN73" i="1"/>
  <c r="BN74" i="1"/>
  <c r="BN75" i="1"/>
  <c r="BN76" i="1"/>
  <c r="BN77" i="1"/>
  <c r="BN78" i="1"/>
  <c r="BN79" i="1"/>
  <c r="BN80" i="1"/>
  <c r="BN81" i="1"/>
  <c r="BN9" i="1"/>
  <c r="D32" i="10"/>
  <c r="C22" i="10"/>
  <c r="D21" i="31"/>
  <c r="D22" i="31" s="1"/>
  <c r="C21" i="31"/>
  <c r="C23" i="31" s="1"/>
  <c r="F15" i="10"/>
  <c r="C22" i="31" l="1"/>
  <c r="D23" i="31"/>
  <c r="C46" i="10" l="1"/>
  <c r="C45" i="10"/>
  <c r="D35" i="10"/>
  <c r="C47" i="10" l="1"/>
  <c r="H50" i="13"/>
  <c r="H51" i="13"/>
  <c r="H52" i="13"/>
  <c r="H53" i="13"/>
  <c r="F56" i="13"/>
  <c r="F57" i="13"/>
  <c r="F58" i="13"/>
  <c r="F59" i="13"/>
  <c r="F60" i="13"/>
  <c r="F61" i="13"/>
  <c r="F62" i="13"/>
  <c r="F63" i="13"/>
  <c r="F64" i="13"/>
  <c r="F65" i="13"/>
  <c r="F66" i="13"/>
  <c r="F67" i="13"/>
  <c r="F68" i="13"/>
  <c r="F69" i="13"/>
  <c r="F70" i="13"/>
  <c r="F71" i="13"/>
  <c r="F72" i="13"/>
  <c r="F73" i="13"/>
  <c r="F74" i="13"/>
  <c r="F75" i="13"/>
  <c r="F76" i="13"/>
  <c r="F77" i="13"/>
  <c r="F78" i="13"/>
  <c r="F79" i="13"/>
  <c r="F80" i="13"/>
  <c r="F81" i="13"/>
  <c r="F82" i="13"/>
  <c r="F83" i="13"/>
  <c r="F84" i="13"/>
  <c r="F85" i="13"/>
  <c r="F86" i="13"/>
  <c r="F87"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F148" i="13"/>
  <c r="F149" i="13"/>
  <c r="F50" i="13"/>
  <c r="F51" i="13"/>
  <c r="F52" i="13"/>
  <c r="F53" i="13"/>
  <c r="F54" i="13"/>
  <c r="M51" i="13" a="1"/>
  <c r="M51" i="13" s="1"/>
  <c r="M53" i="13" a="1"/>
  <c r="M53" i="13" s="1"/>
  <c r="M54" i="13" a="1"/>
  <c r="M54" i="13" s="1"/>
  <c r="M56" i="13" a="1"/>
  <c r="M56" i="13" s="1"/>
  <c r="M57" i="13" a="1"/>
  <c r="M57" i="13" s="1"/>
  <c r="M58" i="13" a="1"/>
  <c r="M58" i="13" s="1"/>
  <c r="M59" i="13" a="1"/>
  <c r="M59" i="13" s="1"/>
  <c r="M60" i="13" a="1"/>
  <c r="M60" i="13" s="1"/>
  <c r="M61" i="13" a="1"/>
  <c r="M61" i="13" s="1"/>
  <c r="M62" i="13" a="1"/>
  <c r="M62" i="13" s="1"/>
  <c r="M63" i="13" a="1"/>
  <c r="M63" i="13" s="1"/>
  <c r="M64" i="13" a="1"/>
  <c r="M64" i="13" s="1"/>
  <c r="M65" i="13" a="1"/>
  <c r="M65" i="13" s="1"/>
  <c r="M66" i="13" a="1"/>
  <c r="M66" i="13" s="1"/>
  <c r="M67" i="13" a="1"/>
  <c r="M67" i="13" s="1"/>
  <c r="M68" i="13" a="1"/>
  <c r="M68" i="13" s="1"/>
  <c r="M69" i="13" a="1"/>
  <c r="M69" i="13" s="1"/>
  <c r="M70" i="13" a="1"/>
  <c r="M70" i="13" s="1"/>
  <c r="M71" i="13" a="1"/>
  <c r="M71" i="13" s="1"/>
  <c r="M72" i="13" a="1"/>
  <c r="M72" i="13" s="1"/>
  <c r="M73" i="13" a="1"/>
  <c r="M73" i="13" s="1"/>
  <c r="M74" i="13" a="1"/>
  <c r="M74" i="13" s="1"/>
  <c r="M75" i="13" a="1"/>
  <c r="M75" i="13" s="1"/>
  <c r="M76" i="13" a="1"/>
  <c r="M76" i="13" s="1"/>
  <c r="M77" i="13" a="1"/>
  <c r="M77" i="13" s="1"/>
  <c r="M78" i="13" a="1"/>
  <c r="M78" i="13" s="1"/>
  <c r="M79" i="13" a="1"/>
  <c r="M79" i="13" s="1"/>
  <c r="M80" i="13" a="1"/>
  <c r="M80" i="13" s="1"/>
  <c r="M81" i="13" a="1"/>
  <c r="M81" i="13" s="1"/>
  <c r="M82" i="13" a="1"/>
  <c r="M82" i="13" s="1"/>
  <c r="M83" i="13" a="1"/>
  <c r="M83" i="13" s="1"/>
  <c r="M84" i="13" a="1"/>
  <c r="M84" i="13" s="1"/>
  <c r="M85" i="13" a="1"/>
  <c r="M85" i="13" s="1"/>
  <c r="M86" i="13" a="1"/>
  <c r="M86" i="13" s="1"/>
  <c r="M87" i="13" a="1"/>
  <c r="M87" i="13" s="1"/>
  <c r="M88" i="13" a="1"/>
  <c r="M88" i="13" s="1"/>
  <c r="M89" i="13" a="1"/>
  <c r="M89" i="13" s="1"/>
  <c r="M90" i="13" a="1"/>
  <c r="M90" i="13" s="1"/>
  <c r="M91" i="13" a="1"/>
  <c r="M91" i="13" s="1"/>
  <c r="M92" i="13" a="1"/>
  <c r="M92" i="13" s="1"/>
  <c r="M93" i="13" a="1"/>
  <c r="M93" i="13" s="1"/>
  <c r="M94" i="13" a="1"/>
  <c r="M94" i="13" s="1"/>
  <c r="M95" i="13" a="1"/>
  <c r="M95" i="13" s="1"/>
  <c r="M96" i="13" a="1"/>
  <c r="M96" i="13" s="1"/>
  <c r="M97" i="13" a="1"/>
  <c r="M97" i="13" s="1"/>
  <c r="M98" i="13" a="1"/>
  <c r="M98" i="13" s="1"/>
  <c r="M99" i="13" a="1"/>
  <c r="M99" i="13" s="1"/>
  <c r="M100" i="13" a="1"/>
  <c r="M100" i="13" s="1"/>
  <c r="M101" i="13" a="1"/>
  <c r="M101" i="13" s="1"/>
  <c r="M102" i="13" a="1"/>
  <c r="M102" i="13" s="1"/>
  <c r="M103" i="13" a="1"/>
  <c r="M103" i="13" s="1"/>
  <c r="M104" i="13" a="1"/>
  <c r="M104" i="13" s="1"/>
  <c r="M105" i="13" a="1"/>
  <c r="M105" i="13" s="1"/>
  <c r="M106" i="13" a="1"/>
  <c r="M106" i="13" s="1"/>
  <c r="M107" i="13" a="1"/>
  <c r="M107" i="13"/>
  <c r="M108" i="13" a="1"/>
  <c r="M108" i="13" s="1"/>
  <c r="M109" i="13" a="1"/>
  <c r="M109" i="13" s="1"/>
  <c r="M110" i="13" a="1"/>
  <c r="M110" i="13" s="1"/>
  <c r="M111" i="13" a="1"/>
  <c r="M111" i="13" s="1"/>
  <c r="M112" i="13" a="1"/>
  <c r="M112" i="13" s="1"/>
  <c r="M113" i="13" a="1"/>
  <c r="M113" i="13" s="1"/>
  <c r="M114" i="13" a="1"/>
  <c r="M114" i="13" s="1"/>
  <c r="M115" i="13" a="1"/>
  <c r="M115" i="13" s="1"/>
  <c r="M116" i="13" a="1"/>
  <c r="M116" i="13" s="1"/>
  <c r="M117" i="13" a="1"/>
  <c r="M117" i="13" s="1"/>
  <c r="M118" i="13" a="1"/>
  <c r="M118" i="13" s="1"/>
  <c r="M119" i="13" a="1"/>
  <c r="M119" i="13" s="1"/>
  <c r="M120" i="13" a="1"/>
  <c r="M120" i="13" s="1"/>
  <c r="M121" i="13" a="1"/>
  <c r="M121" i="13" s="1"/>
  <c r="M122" i="13" a="1"/>
  <c r="M122" i="13" s="1"/>
  <c r="M123" i="13" a="1"/>
  <c r="M123" i="13" s="1"/>
  <c r="M124" i="13" a="1"/>
  <c r="M124" i="13" s="1"/>
  <c r="M125" i="13" a="1"/>
  <c r="M125" i="13" s="1"/>
  <c r="M126" i="13" a="1"/>
  <c r="M126" i="13" s="1"/>
  <c r="M127" i="13" a="1"/>
  <c r="M127" i="13" s="1"/>
  <c r="M128" i="13" a="1"/>
  <c r="M128" i="13" s="1"/>
  <c r="M129" i="13" a="1"/>
  <c r="M129" i="13" s="1"/>
  <c r="M130" i="13" a="1"/>
  <c r="M130" i="13" s="1"/>
  <c r="M131" i="13" a="1"/>
  <c r="M131" i="13" s="1"/>
  <c r="M132" i="13" a="1"/>
  <c r="M132" i="13" s="1"/>
  <c r="M133" i="13" a="1"/>
  <c r="M133" i="13" s="1"/>
  <c r="M134" i="13" a="1"/>
  <c r="M134" i="13" s="1"/>
  <c r="M135" i="13" a="1"/>
  <c r="M135" i="13" s="1"/>
  <c r="M136" i="13" a="1"/>
  <c r="M136" i="13" s="1"/>
  <c r="M137" i="13" a="1"/>
  <c r="M137" i="13" s="1"/>
  <c r="M138" i="13" a="1"/>
  <c r="M138" i="13" s="1"/>
  <c r="M139" i="13" a="1"/>
  <c r="M139" i="13" s="1"/>
  <c r="M140" i="13" a="1"/>
  <c r="M140" i="13" s="1"/>
  <c r="M141" i="13" a="1"/>
  <c r="M141" i="13" s="1"/>
  <c r="M142" i="13" a="1"/>
  <c r="M142" i="13" s="1"/>
  <c r="M143" i="13" a="1"/>
  <c r="M143" i="13" s="1"/>
  <c r="M144" i="13" a="1"/>
  <c r="M144" i="13" s="1"/>
  <c r="M145" i="13" a="1"/>
  <c r="M145" i="13" s="1"/>
  <c r="M146" i="13" a="1"/>
  <c r="M146" i="13" s="1"/>
  <c r="M147" i="13" a="1"/>
  <c r="M147" i="13" s="1"/>
  <c r="M148" i="13" a="1"/>
  <c r="M148" i="13" s="1"/>
  <c r="M149" i="13" a="1"/>
  <c r="M149" i="13" s="1"/>
  <c r="C45" i="31" l="1"/>
  <c r="C48" i="31" s="1"/>
  <c r="D34" i="10" s="1"/>
  <c r="C55" i="31"/>
  <c r="C67" i="31" s="1"/>
  <c r="B13" i="26" l="1"/>
  <c r="B12" i="26"/>
  <c r="B11" i="26"/>
  <c r="B10" i="26"/>
  <c r="B9" i="26"/>
  <c r="B8" i="26"/>
  <c r="B17" i="26"/>
  <c r="B15" i="26"/>
  <c r="AH33" i="28" l="1"/>
  <c r="AI33" i="28" s="1"/>
  <c r="D33" i="28"/>
  <c r="C33" i="28"/>
  <c r="AH32" i="28"/>
  <c r="AI32" i="28" s="1"/>
  <c r="AO32" i="28" s="1"/>
  <c r="D32" i="28"/>
  <c r="C32" i="28"/>
  <c r="AH31" i="28"/>
  <c r="AI31" i="28" s="1"/>
  <c r="AO31" i="28" s="1"/>
  <c r="D31" i="28"/>
  <c r="C31" i="28"/>
  <c r="AH30" i="28"/>
  <c r="AI30" i="28" s="1"/>
  <c r="D30" i="28"/>
  <c r="C30" i="28"/>
  <c r="AH29" i="28"/>
  <c r="AI29" i="28" s="1"/>
  <c r="D29" i="28"/>
  <c r="C29" i="28"/>
  <c r="AH28" i="28"/>
  <c r="AI28" i="28" s="1"/>
  <c r="D28" i="28"/>
  <c r="C28" i="28"/>
  <c r="AH27" i="28"/>
  <c r="AI27" i="28" s="1"/>
  <c r="D27" i="28"/>
  <c r="C27" i="28"/>
  <c r="AH26" i="28"/>
  <c r="AI26" i="28" s="1"/>
  <c r="D26" i="28"/>
  <c r="C26" i="28"/>
  <c r="AH25" i="28"/>
  <c r="AI25" i="28" s="1"/>
  <c r="AO25" i="28" s="1"/>
  <c r="D25" i="28"/>
  <c r="C25" i="28"/>
  <c r="AH24" i="28"/>
  <c r="AI24" i="28" s="1"/>
  <c r="D24" i="28"/>
  <c r="C24" i="28"/>
  <c r="AH23" i="28"/>
  <c r="AI23" i="28" s="1"/>
  <c r="D23" i="28"/>
  <c r="C23" i="28"/>
  <c r="AH22" i="28"/>
  <c r="AI22" i="28" s="1"/>
  <c r="D22" i="28"/>
  <c r="C22" i="28"/>
  <c r="AH21" i="28"/>
  <c r="AI21" i="28" s="1"/>
  <c r="AO21" i="28" s="1"/>
  <c r="D21" i="28"/>
  <c r="C21" i="28"/>
  <c r="AH20" i="28"/>
  <c r="AI20" i="28" s="1"/>
  <c r="D20" i="28"/>
  <c r="C20" i="28"/>
  <c r="AH19" i="28"/>
  <c r="AI19" i="28" s="1"/>
  <c r="AO19" i="28" s="1"/>
  <c r="D19" i="28"/>
  <c r="C19" i="28"/>
  <c r="AH18" i="28"/>
  <c r="AI18" i="28" s="1"/>
  <c r="D18" i="28"/>
  <c r="C18" i="28"/>
  <c r="AH17" i="28"/>
  <c r="AI17" i="28" s="1"/>
  <c r="AO17" i="28" s="1"/>
  <c r="D17" i="28"/>
  <c r="C17" i="28"/>
  <c r="AH16" i="28"/>
  <c r="D16" i="28"/>
  <c r="C16" i="28"/>
  <c r="N12" i="28"/>
  <c r="O11" i="28"/>
  <c r="P11" i="28" s="1"/>
  <c r="AL26" i="28" l="1"/>
  <c r="AM26" i="28" s="1"/>
  <c r="AN26" i="28" s="1"/>
  <c r="AO26" i="28"/>
  <c r="X34" i="28"/>
  <c r="AL17" i="28"/>
  <c r="AM17" i="28" s="1"/>
  <c r="AN17" i="28" s="1"/>
  <c r="O12" i="28"/>
  <c r="AL31" i="28"/>
  <c r="AM31" i="28" s="1"/>
  <c r="AN31" i="28" s="1"/>
  <c r="AO23" i="28"/>
  <c r="AO28" i="28"/>
  <c r="Q11" i="28"/>
  <c r="P12" i="28"/>
  <c r="AO29" i="28"/>
  <c r="AO27" i="28"/>
  <c r="AO30" i="28"/>
  <c r="AO24" i="28"/>
  <c r="AO18" i="28"/>
  <c r="AO20" i="28"/>
  <c r="AO22" i="28"/>
  <c r="AL27" i="28"/>
  <c r="AM27" i="28" s="1"/>
  <c r="AN27" i="28" s="1"/>
  <c r="AL33" i="28"/>
  <c r="AM33" i="28" s="1"/>
  <c r="AN33" i="28" s="1"/>
  <c r="AO33" i="28"/>
  <c r="AL30" i="28"/>
  <c r="AM30" i="28" s="1"/>
  <c r="AN30" i="28" s="1"/>
  <c r="Y34" i="28"/>
  <c r="AL29" i="28"/>
  <c r="AM29" i="28" s="1"/>
  <c r="AN29" i="28" s="1"/>
  <c r="Z34" i="28"/>
  <c r="AL28" i="28"/>
  <c r="AM28" i="28" s="1"/>
  <c r="AN28" i="28" s="1"/>
  <c r="AA34" i="28"/>
  <c r="N34" i="28"/>
  <c r="AB34" i="28"/>
  <c r="O34" i="28"/>
  <c r="AC34" i="28"/>
  <c r="P34" i="28"/>
  <c r="AD34" i="28"/>
  <c r="Q34" i="28"/>
  <c r="AE34" i="28"/>
  <c r="AL25" i="28"/>
  <c r="AM25" i="28" s="1"/>
  <c r="AN25" i="28" s="1"/>
  <c r="AL24" i="28"/>
  <c r="AM24" i="28" s="1"/>
  <c r="AN24" i="28" s="1"/>
  <c r="AL23" i="28"/>
  <c r="AM23" i="28" s="1"/>
  <c r="AN23" i="28" s="1"/>
  <c r="R34" i="28"/>
  <c r="AF34" i="28"/>
  <c r="S34" i="28"/>
  <c r="AG34" i="28"/>
  <c r="AL22" i="28"/>
  <c r="AM22" i="28" s="1"/>
  <c r="AN22" i="28" s="1"/>
  <c r="AL21" i="28"/>
  <c r="AM21" i="28" s="1"/>
  <c r="AN21" i="28" s="1"/>
  <c r="T34" i="28"/>
  <c r="AH34" i="28"/>
  <c r="U34" i="28"/>
  <c r="AL20" i="28"/>
  <c r="AM20" i="28" s="1"/>
  <c r="AN20" i="28" s="1"/>
  <c r="AL19" i="28"/>
  <c r="AM19" i="28" s="1"/>
  <c r="AN19" i="28" s="1"/>
  <c r="V34" i="28"/>
  <c r="AL18" i="28"/>
  <c r="AM18" i="28" s="1"/>
  <c r="AN18" i="28" s="1"/>
  <c r="AL32" i="28"/>
  <c r="AM32" i="28" s="1"/>
  <c r="AN32" i="28" s="1"/>
  <c r="W34" i="28"/>
  <c r="AI16" i="28"/>
  <c r="AI34" i="28" l="1"/>
  <c r="AO16" i="28"/>
  <c r="AO34" i="28" s="1"/>
  <c r="AK34" i="28"/>
  <c r="R11" i="28"/>
  <c r="Q12" i="28"/>
  <c r="Z35" i="28"/>
  <c r="Y35" i="28"/>
  <c r="X35" i="28"/>
  <c r="W35" i="28"/>
  <c r="V35" i="28"/>
  <c r="U35" i="28"/>
  <c r="T35" i="28"/>
  <c r="AG35" i="28"/>
  <c r="S35" i="28"/>
  <c r="AF35" i="28"/>
  <c r="R35" i="28"/>
  <c r="AE35" i="28"/>
  <c r="Q35" i="28"/>
  <c r="AD35" i="28"/>
  <c r="P35" i="28"/>
  <c r="AC35" i="28"/>
  <c r="O35" i="28"/>
  <c r="AB35" i="28"/>
  <c r="N35" i="28"/>
  <c r="AA35" i="28"/>
  <c r="R12" i="28" l="1"/>
  <c r="S11" i="28"/>
  <c r="AN46" i="28"/>
  <c r="AP46" i="28" s="1"/>
  <c r="AN41" i="28"/>
  <c r="AP41" i="28" s="1"/>
  <c r="AJ34" i="28"/>
  <c r="AL16" i="28"/>
  <c r="AM16" i="28" s="1"/>
  <c r="AA48" i="28" l="1"/>
  <c r="AB43" i="28"/>
  <c r="N43" i="28"/>
  <c r="AG38" i="28"/>
  <c r="S38" i="28"/>
  <c r="Z48" i="28"/>
  <c r="AA43" i="28"/>
  <c r="AF38" i="28"/>
  <c r="R38" i="28"/>
  <c r="Y48" i="28"/>
  <c r="Z43" i="28"/>
  <c r="AE38" i="28"/>
  <c r="Q38" i="28"/>
  <c r="X48" i="28"/>
  <c r="Y43" i="28"/>
  <c r="AD38" i="28"/>
  <c r="P38" i="28"/>
  <c r="W48" i="28"/>
  <c r="X43" i="28"/>
  <c r="AC38" i="28"/>
  <c r="O38" i="28"/>
  <c r="V48" i="28"/>
  <c r="W43" i="28"/>
  <c r="AB38" i="28"/>
  <c r="N38" i="28"/>
  <c r="U48" i="28"/>
  <c r="V43" i="28"/>
  <c r="AA38" i="28"/>
  <c r="T48" i="28"/>
  <c r="U43" i="28"/>
  <c r="Z38" i="28"/>
  <c r="AG48" i="28"/>
  <c r="S48" i="28"/>
  <c r="T43" i="28"/>
  <c r="Y38" i="28"/>
  <c r="AF48" i="28"/>
  <c r="R48" i="28"/>
  <c r="AG43" i="28"/>
  <c r="S43" i="28"/>
  <c r="X38" i="28"/>
  <c r="AE48" i="28"/>
  <c r="Q48" i="28"/>
  <c r="AF43" i="28"/>
  <c r="R43" i="28"/>
  <c r="W38" i="28"/>
  <c r="AD48" i="28"/>
  <c r="P48" i="28"/>
  <c r="AE43" i="28"/>
  <c r="Q43" i="28"/>
  <c r="V38" i="28"/>
  <c r="AC48" i="28"/>
  <c r="O48" i="28"/>
  <c r="AD43" i="28"/>
  <c r="P43" i="28"/>
  <c r="U38" i="28"/>
  <c r="AB48" i="28"/>
  <c r="AB49" i="28" s="1"/>
  <c r="N48" i="28"/>
  <c r="AC43" i="28"/>
  <c r="O43" i="28"/>
  <c r="T38" i="28"/>
  <c r="AN16" i="28"/>
  <c r="AN34" i="28" s="1"/>
  <c r="K52" i="28"/>
  <c r="AJ37" i="28"/>
  <c r="S12" i="28"/>
  <c r="T11" i="28"/>
  <c r="X39" i="28" l="1"/>
  <c r="AF44" i="28"/>
  <c r="AB39" i="28"/>
  <c r="T49" i="28"/>
  <c r="AF39" i="28"/>
  <c r="X49" i="28"/>
  <c r="AF49" i="28"/>
  <c r="T44" i="28"/>
  <c r="V44" i="28"/>
  <c r="V45" i="28"/>
  <c r="AD44" i="28"/>
  <c r="AD45" i="28"/>
  <c r="Z44" i="28"/>
  <c r="Z45" i="28"/>
  <c r="R49" i="28"/>
  <c r="R50" i="28"/>
  <c r="V39" i="28"/>
  <c r="V40" i="28"/>
  <c r="V49" i="28"/>
  <c r="V50" i="28"/>
  <c r="AN39" i="28"/>
  <c r="K56" i="28"/>
  <c r="AJ39" i="28"/>
  <c r="AJ40" i="28"/>
  <c r="AJ38" i="28"/>
  <c r="AJ42" i="28"/>
  <c r="AJ51" i="28" s="1"/>
  <c r="AN45" i="28"/>
  <c r="AN40" i="28"/>
  <c r="X44" i="28"/>
  <c r="N49" i="28"/>
  <c r="N50" i="28"/>
  <c r="O49" i="28"/>
  <c r="O39" i="28"/>
  <c r="Z49" i="28"/>
  <c r="Z50" i="28"/>
  <c r="T39" i="28"/>
  <c r="AD50" i="28"/>
  <c r="AD49" i="28"/>
  <c r="N40" i="28"/>
  <c r="N39" i="28"/>
  <c r="U11" i="28"/>
  <c r="T12" i="28"/>
  <c r="R39" i="28"/>
  <c r="R40" i="28"/>
  <c r="O44" i="28"/>
  <c r="Z39" i="28"/>
  <c r="Z40" i="28"/>
  <c r="N44" i="28"/>
  <c r="N45" i="28"/>
  <c r="R44" i="28"/>
  <c r="R45" i="28"/>
  <c r="AD39" i="28"/>
  <c r="AD40" i="28"/>
  <c r="AB44" i="28"/>
  <c r="AP40" i="28" l="1"/>
  <c r="AO40" i="28"/>
  <c r="U12" i="28"/>
  <c r="V11" i="28"/>
  <c r="AP45" i="28"/>
  <c r="AO45" i="28"/>
  <c r="K58" i="28"/>
  <c r="K54" i="28"/>
  <c r="AO39" i="28"/>
  <c r="AP39" i="28"/>
  <c r="K57" i="28"/>
  <c r="K53" i="28"/>
  <c r="AN44" i="28"/>
  <c r="W11" i="28" l="1"/>
  <c r="V12" i="28"/>
  <c r="AP44" i="28"/>
  <c r="AO44" i="28"/>
  <c r="W12" i="28" l="1"/>
  <c r="X11" i="28"/>
  <c r="X12" i="28" l="1"/>
  <c r="Y11" i="28"/>
  <c r="Y12" i="28" l="1"/>
  <c r="Z11" i="28"/>
  <c r="Z12" i="28" l="1"/>
  <c r="AA11" i="28"/>
  <c r="AB11" i="28" l="1"/>
  <c r="AA12" i="28"/>
  <c r="AC11" i="28" l="1"/>
  <c r="AB12" i="28"/>
  <c r="AD11" i="28" l="1"/>
  <c r="AC12" i="28"/>
  <c r="AE11" i="28" l="1"/>
  <c r="AD12" i="28"/>
  <c r="AF11" i="28" l="1"/>
  <c r="AE12" i="28"/>
  <c r="AG11" i="28" l="1"/>
  <c r="AG12" i="28" s="1"/>
  <c r="AF12" i="28"/>
  <c r="D34" i="27" l="1"/>
  <c r="E34" i="27" s="1"/>
  <c r="C34" i="27"/>
  <c r="C31" i="27"/>
  <c r="E31" i="27" s="1"/>
  <c r="C27" i="27"/>
  <c r="E27" i="27" s="1"/>
  <c r="C12" i="27"/>
  <c r="C11" i="27"/>
  <c r="C10" i="27"/>
  <c r="C6" i="27"/>
  <c r="E51" i="27"/>
  <c r="E50" i="27"/>
  <c r="E49" i="27"/>
  <c r="E48" i="27"/>
  <c r="E47" i="27"/>
  <c r="E44" i="27"/>
  <c r="E43" i="27"/>
  <c r="E39" i="27"/>
  <c r="E38" i="27"/>
  <c r="E37" i="27"/>
  <c r="E36" i="27"/>
  <c r="E35" i="27"/>
  <c r="E32" i="27"/>
  <c r="D10" i="13" l="1"/>
  <c r="C12" i="10" s="1"/>
  <c r="C24" i="10" s="1"/>
  <c r="F55" i="13" l="1"/>
  <c r="H54" i="13"/>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H149" i="13"/>
  <c r="L101" i="13"/>
  <c r="L102" i="13"/>
  <c r="L103" i="13"/>
  <c r="L104" i="13"/>
  <c r="L105" i="13"/>
  <c r="L106" i="13"/>
  <c r="L107" i="13"/>
  <c r="L108" i="13"/>
  <c r="L109" i="13"/>
  <c r="L110" i="13"/>
  <c r="L111" i="13"/>
  <c r="L112" i="13"/>
  <c r="L113" i="13"/>
  <c r="L114" i="13"/>
  <c r="L115" i="13"/>
  <c r="L116" i="13"/>
  <c r="L117" i="13"/>
  <c r="L118" i="13"/>
  <c r="L119" i="13"/>
  <c r="L120" i="13"/>
  <c r="L121" i="13"/>
  <c r="L122" i="13"/>
  <c r="L123" i="13"/>
  <c r="L124" i="13"/>
  <c r="L125" i="13"/>
  <c r="L126" i="13"/>
  <c r="L127" i="13"/>
  <c r="L128" i="13"/>
  <c r="L129" i="13"/>
  <c r="L130" i="13"/>
  <c r="L131" i="13"/>
  <c r="L132" i="13"/>
  <c r="L133" i="13"/>
  <c r="L134" i="13"/>
  <c r="L135" i="13"/>
  <c r="L136" i="13"/>
  <c r="L137" i="13"/>
  <c r="L138" i="13"/>
  <c r="L139" i="13"/>
  <c r="L143" i="13"/>
  <c r="L144" i="13"/>
  <c r="L145" i="13"/>
  <c r="E2" i="25" l="1"/>
  <c r="E3" i="25"/>
  <c r="E4" i="25"/>
  <c r="E5" i="25"/>
  <c r="E6" i="25"/>
  <c r="E7" i="25"/>
  <c r="E8" i="25"/>
  <c r="E9" i="25"/>
  <c r="E10" i="25"/>
  <c r="E11" i="25"/>
  <c r="E12" i="25"/>
  <c r="E13" i="25"/>
  <c r="E14" i="25"/>
  <c r="E15" i="25"/>
  <c r="E16" i="25"/>
  <c r="E17" i="25"/>
  <c r="E18" i="25"/>
  <c r="E19" i="25"/>
  <c r="E20" i="25"/>
  <c r="E21" i="25"/>
  <c r="E22" i="25"/>
  <c r="L83" i="9"/>
  <c r="L84" i="9"/>
  <c r="L85" i="9"/>
  <c r="L86" i="9"/>
  <c r="L87" i="9"/>
  <c r="L88" i="9"/>
  <c r="L89" i="9"/>
  <c r="L90" i="9"/>
  <c r="L91" i="9"/>
  <c r="L92" i="9"/>
  <c r="L93" i="9"/>
  <c r="L94" i="9"/>
  <c r="L95" i="9"/>
  <c r="L56" i="9"/>
  <c r="L57" i="9"/>
  <c r="L58" i="9"/>
  <c r="L59" i="9"/>
  <c r="L60" i="9"/>
  <c r="L61" i="9"/>
  <c r="L62" i="9"/>
  <c r="L63" i="9"/>
  <c r="L64" i="9"/>
  <c r="L65" i="9"/>
  <c r="L66" i="9"/>
  <c r="L67" i="9"/>
  <c r="L68" i="9"/>
  <c r="L69" i="9"/>
  <c r="L70" i="9"/>
  <c r="L71" i="9"/>
  <c r="L72" i="9"/>
  <c r="L73" i="9"/>
  <c r="L74" i="9"/>
  <c r="L75" i="9"/>
  <c r="L76" i="9"/>
  <c r="L77" i="9"/>
  <c r="L78" i="9"/>
  <c r="L79" i="9"/>
  <c r="L80" i="9"/>
  <c r="L81" i="9"/>
  <c r="L82" i="9"/>
  <c r="H53" i="22"/>
  <c r="H51" i="22"/>
  <c r="H50" i="22"/>
  <c r="H49" i="22"/>
  <c r="H48" i="22"/>
  <c r="H47" i="22"/>
  <c r="F53" i="22"/>
  <c r="F51" i="22"/>
  <c r="F50" i="22"/>
  <c r="F49" i="22"/>
  <c r="F48" i="22"/>
  <c r="D53" i="22"/>
  <c r="D51" i="22"/>
  <c r="D50" i="22"/>
  <c r="D49" i="22"/>
  <c r="D48" i="22"/>
  <c r="D12" i="22"/>
  <c r="E12" i="22"/>
  <c r="C12" i="22"/>
  <c r="W27" i="13"/>
  <c r="V27" i="13"/>
  <c r="U27" i="13"/>
  <c r="O50" i="13"/>
  <c r="O51" i="13"/>
  <c r="O52" i="13"/>
  <c r="L52" i="13" s="1"/>
  <c r="M52" i="13" s="1" a="1"/>
  <c r="M52" i="13" s="1"/>
  <c r="C28" i="27"/>
  <c r="E28" i="27" s="1"/>
  <c r="L50" i="9"/>
  <c r="L51" i="9"/>
  <c r="L52" i="9"/>
  <c r="L53" i="9"/>
  <c r="L54" i="9"/>
  <c r="L55" i="9"/>
  <c r="E29" i="22"/>
  <c r="G51" i="22" s="1"/>
  <c r="E26" i="22"/>
  <c r="E25" i="22"/>
  <c r="P50" i="13"/>
  <c r="P51" i="13"/>
  <c r="P52" i="13"/>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54" i="15"/>
  <c r="C54" i="15"/>
  <c r="T54" i="15"/>
  <c r="L50" i="13" l="1"/>
  <c r="M50" i="13" s="1" a="1"/>
  <c r="M50" i="13" s="1"/>
  <c r="G53" i="22"/>
  <c r="G48" i="22"/>
  <c r="G49" i="22"/>
  <c r="G47" i="22"/>
  <c r="G50" i="22"/>
  <c r="G46" i="22"/>
  <c r="D25" i="22"/>
  <c r="D26" i="22"/>
  <c r="C26" i="22"/>
  <c r="C25" i="22"/>
  <c r="C59" i="10"/>
  <c r="C58" i="10"/>
  <c r="D29" i="22"/>
  <c r="E50" i="22" s="1"/>
  <c r="C29" i="22"/>
  <c r="C46" i="22" s="1"/>
  <c r="C49" i="22" l="1"/>
  <c r="C50" i="22"/>
  <c r="C48" i="22"/>
  <c r="E53" i="22"/>
  <c r="C53" i="22"/>
  <c r="C51" i="22"/>
  <c r="C47" i="22"/>
  <c r="E47" i="22"/>
  <c r="E48" i="22"/>
  <c r="E46" i="22"/>
  <c r="E49" i="22"/>
  <c r="E51" i="22"/>
  <c r="AH14" i="1" l="1"/>
  <c r="AH15" i="1"/>
  <c r="AH16" i="1"/>
  <c r="AH17" i="1"/>
  <c r="AH18" i="1"/>
  <c r="AH19" i="1"/>
  <c r="AH20" i="1"/>
  <c r="AH21" i="1"/>
  <c r="AH22" i="1"/>
  <c r="AH23" i="1"/>
  <c r="AH24" i="1"/>
  <c r="AH25" i="1"/>
  <c r="AH26" i="1"/>
  <c r="AH27" i="1"/>
  <c r="AH13" i="1"/>
  <c r="M29" i="13" a="1"/>
  <c r="M29" i="13" s="1"/>
  <c r="N29" i="13" s="1"/>
  <c r="C99" i="10" s="1"/>
  <c r="M30" i="13" a="1"/>
  <c r="M30" i="13" s="1"/>
  <c r="N30" i="13" s="1"/>
  <c r="C100" i="10" s="1"/>
  <c r="M22" i="13" a="1"/>
  <c r="M22" i="13" s="1"/>
  <c r="N22" i="13" s="1"/>
  <c r="C92" i="10" s="1"/>
  <c r="M23" i="13" a="1"/>
  <c r="M23" i="13" s="1"/>
  <c r="N23" i="13" s="1"/>
  <c r="C93" i="10" s="1"/>
  <c r="M24" i="13" a="1"/>
  <c r="M24" i="13" s="1"/>
  <c r="N24" i="13" s="1"/>
  <c r="C94" i="10" s="1"/>
  <c r="M25" i="13" a="1"/>
  <c r="M25" i="13" s="1"/>
  <c r="N25" i="13" s="1"/>
  <c r="C95" i="10" s="1"/>
  <c r="M26" i="13" a="1"/>
  <c r="M26" i="13" s="1"/>
  <c r="N26" i="13" s="1"/>
  <c r="C96" i="10" s="1"/>
  <c r="M27" i="13" a="1"/>
  <c r="M27" i="13" s="1"/>
  <c r="N27" i="13" s="1"/>
  <c r="C97" i="10" s="1"/>
  <c r="M28" i="13" a="1"/>
  <c r="M28" i="13" s="1"/>
  <c r="N28" i="13" s="1"/>
  <c r="C98" i="10" s="1"/>
  <c r="P28" i="13"/>
  <c r="O28" i="13"/>
  <c r="B97" i="10" l="1"/>
  <c r="B94" i="10"/>
  <c r="B95" i="10"/>
  <c r="B92" i="10"/>
  <c r="B99" i="10"/>
  <c r="B93" i="10"/>
  <c r="B98" i="10"/>
  <c r="B96" i="10"/>
  <c r="Q23" i="13"/>
  <c r="B100" i="10"/>
  <c r="Q30" i="13" l="1"/>
  <c r="Q28" i="13"/>
  <c r="Q27" i="13"/>
  <c r="Q29" i="13"/>
  <c r="Q24" i="13"/>
  <c r="Q25" i="13"/>
  <c r="Q26" i="13"/>
  <c r="AH9" i="1" l="1"/>
  <c r="AH10" i="1"/>
  <c r="AH11" i="1"/>
  <c r="AH12" i="1"/>
  <c r="AH8" i="1"/>
  <c r="AH29" i="1"/>
  <c r="AH30" i="1"/>
  <c r="AH31" i="1"/>
  <c r="AH32" i="1"/>
  <c r="AH33" i="1"/>
  <c r="AH34" i="1"/>
  <c r="AH35" i="1"/>
  <c r="AH36" i="1"/>
  <c r="AH37" i="1"/>
  <c r="AH28" i="1"/>
  <c r="M11" i="13" a="1"/>
  <c r="M11" i="13" s="1"/>
  <c r="M12" i="13" a="1"/>
  <c r="M12" i="13" s="1"/>
  <c r="M13" i="13" a="1"/>
  <c r="M13" i="13" s="1"/>
  <c r="M14" i="13" a="1"/>
  <c r="M14" i="13" s="1"/>
  <c r="M15" i="13" a="1"/>
  <c r="M15" i="13" s="1"/>
  <c r="M16" i="13" a="1"/>
  <c r="M16" i="13" s="1"/>
  <c r="M17" i="13" a="1"/>
  <c r="M17" i="13" s="1"/>
  <c r="N17" i="13" s="1"/>
  <c r="C87" i="10" s="1"/>
  <c r="M18" i="13" a="1"/>
  <c r="M18" i="13" s="1"/>
  <c r="N18" i="13" s="1"/>
  <c r="C88" i="10" s="1"/>
  <c r="M19" i="13" a="1"/>
  <c r="M19" i="13" s="1"/>
  <c r="N19" i="13" s="1"/>
  <c r="C89" i="10" s="1"/>
  <c r="M20" i="13" a="1"/>
  <c r="M20" i="13" s="1"/>
  <c r="N20" i="13" s="1"/>
  <c r="C90" i="10" s="1"/>
  <c r="M21" i="13" a="1"/>
  <c r="M21" i="13" s="1"/>
  <c r="N21" i="13" s="1"/>
  <c r="C91" i="10" s="1"/>
  <c r="D134" i="9"/>
  <c r="D11" i="9"/>
  <c r="B90" i="10" l="1"/>
  <c r="B91" i="10"/>
  <c r="AA10" i="13"/>
  <c r="C71" i="10" l="1"/>
  <c r="C74" i="10"/>
  <c r="C70" i="10"/>
  <c r="C69" i="10"/>
  <c r="P54" i="13" l="1"/>
  <c r="P55" i="13"/>
  <c r="P56" i="13"/>
  <c r="P57" i="13"/>
  <c r="P58" i="13"/>
  <c r="P59" i="13"/>
  <c r="P60" i="13"/>
  <c r="P61" i="13"/>
  <c r="P62" i="13"/>
  <c r="P63" i="13"/>
  <c r="P64" i="13"/>
  <c r="P65" i="13"/>
  <c r="P66" i="13"/>
  <c r="P67" i="13"/>
  <c r="P68" i="13"/>
  <c r="P69" i="13"/>
  <c r="P70" i="13"/>
  <c r="P71" i="13"/>
  <c r="P72" i="13"/>
  <c r="P73" i="13"/>
  <c r="P74" i="13"/>
  <c r="P75" i="13"/>
  <c r="P76" i="13"/>
  <c r="P77" i="13"/>
  <c r="P78" i="13"/>
  <c r="P79" i="13"/>
  <c r="P80" i="13"/>
  <c r="P81" i="13"/>
  <c r="P82" i="13"/>
  <c r="P83" i="13"/>
  <c r="P84" i="13"/>
  <c r="P85" i="13"/>
  <c r="P86" i="13"/>
  <c r="P87" i="13"/>
  <c r="P88" i="13"/>
  <c r="P89" i="13"/>
  <c r="P90" i="13"/>
  <c r="P91" i="13"/>
  <c r="P92" i="13"/>
  <c r="P93" i="13"/>
  <c r="P94" i="13"/>
  <c r="P95" i="13"/>
  <c r="P96" i="13"/>
  <c r="P97" i="13"/>
  <c r="P98" i="13"/>
  <c r="P99" i="13"/>
  <c r="P100" i="13"/>
  <c r="O54" i="13"/>
  <c r="L54" i="13" s="1"/>
  <c r="O55" i="13"/>
  <c r="L55" i="13" s="1"/>
  <c r="M55" i="13" s="1" a="1"/>
  <c r="M55" i="13" s="1"/>
  <c r="O56" i="13"/>
  <c r="L56" i="13" s="1"/>
  <c r="O57" i="13"/>
  <c r="L57" i="13" s="1"/>
  <c r="O58" i="13"/>
  <c r="L58" i="13" s="1"/>
  <c r="O59" i="13"/>
  <c r="L59" i="13" s="1"/>
  <c r="O60" i="13"/>
  <c r="L60" i="13" s="1"/>
  <c r="O61" i="13"/>
  <c r="L61" i="13" s="1"/>
  <c r="O62" i="13"/>
  <c r="L62" i="13" s="1"/>
  <c r="O63" i="13"/>
  <c r="L63" i="13" s="1"/>
  <c r="O64" i="13"/>
  <c r="L64" i="13" s="1"/>
  <c r="O65" i="13"/>
  <c r="L65" i="13" s="1"/>
  <c r="O66" i="13"/>
  <c r="L66" i="13" s="1"/>
  <c r="O67" i="13"/>
  <c r="L67" i="13" s="1"/>
  <c r="O68" i="13"/>
  <c r="L68" i="13" s="1"/>
  <c r="O69" i="13"/>
  <c r="L69" i="13" s="1"/>
  <c r="O70" i="13"/>
  <c r="L70" i="13" s="1"/>
  <c r="O71" i="13"/>
  <c r="L71" i="13" s="1"/>
  <c r="O72" i="13"/>
  <c r="L72" i="13" s="1"/>
  <c r="O73" i="13"/>
  <c r="L73" i="13" s="1"/>
  <c r="O74" i="13"/>
  <c r="L74" i="13" s="1"/>
  <c r="O75" i="13"/>
  <c r="L75" i="13" s="1"/>
  <c r="O76" i="13"/>
  <c r="L76" i="13" s="1"/>
  <c r="O77" i="13"/>
  <c r="L77" i="13" s="1"/>
  <c r="O78" i="13"/>
  <c r="L78" i="13" s="1"/>
  <c r="O79" i="13"/>
  <c r="L79" i="13" s="1"/>
  <c r="O80" i="13"/>
  <c r="L80" i="13" s="1"/>
  <c r="O81" i="13"/>
  <c r="L81" i="13" s="1"/>
  <c r="O82" i="13"/>
  <c r="L82" i="13" s="1"/>
  <c r="O83" i="13"/>
  <c r="L83" i="13" s="1"/>
  <c r="O84" i="13"/>
  <c r="L84" i="13" s="1"/>
  <c r="O85" i="13"/>
  <c r="L85" i="13" s="1"/>
  <c r="O86" i="13"/>
  <c r="L86" i="13" s="1"/>
  <c r="O87" i="13"/>
  <c r="L87" i="13" s="1"/>
  <c r="O88" i="13"/>
  <c r="L88" i="13" s="1"/>
  <c r="O89" i="13"/>
  <c r="L89" i="13" s="1"/>
  <c r="O90" i="13"/>
  <c r="L90" i="13" s="1"/>
  <c r="O91" i="13"/>
  <c r="L91" i="13" s="1"/>
  <c r="O92" i="13"/>
  <c r="L92" i="13" s="1"/>
  <c r="O93" i="13"/>
  <c r="L93" i="13" s="1"/>
  <c r="O94" i="13"/>
  <c r="L94" i="13" s="1"/>
  <c r="O95" i="13"/>
  <c r="L95" i="13" s="1"/>
  <c r="O96" i="13"/>
  <c r="L96" i="13" s="1"/>
  <c r="O97" i="13"/>
  <c r="L97" i="13" s="1"/>
  <c r="O98" i="13"/>
  <c r="L98" i="13" s="1"/>
  <c r="O99" i="13"/>
  <c r="L99" i="13" s="1"/>
  <c r="O100" i="13"/>
  <c r="L100" i="13" s="1"/>
  <c r="Z10" i="13"/>
  <c r="AD11" i="1"/>
  <c r="AD12" i="1"/>
  <c r="AD10" i="1"/>
  <c r="C62" i="10" l="1"/>
  <c r="B79" i="10" l="1"/>
  <c r="D9" i="13" l="1"/>
  <c r="E9" i="13" s="1"/>
  <c r="D8" i="13"/>
  <c r="C10" i="10" s="1"/>
  <c r="B41" i="15"/>
  <c r="C41" i="15"/>
  <c r="D41" i="15" s="1"/>
  <c r="B42" i="15"/>
  <c r="C42" i="15"/>
  <c r="D42" i="15" s="1"/>
  <c r="B43" i="15"/>
  <c r="C43" i="15"/>
  <c r="D43" i="15" s="1"/>
  <c r="B44" i="15"/>
  <c r="C44" i="15"/>
  <c r="D44" i="15" s="1"/>
  <c r="B45" i="15"/>
  <c r="C45" i="15"/>
  <c r="D45" i="15" s="1"/>
  <c r="G122" i="9"/>
  <c r="K122" i="9" s="1"/>
  <c r="G123" i="9"/>
  <c r="K123" i="9" s="1"/>
  <c r="G121" i="9"/>
  <c r="K121" i="9" s="1"/>
  <c r="G119" i="9"/>
  <c r="G120" i="9"/>
  <c r="G118" i="9" l="1"/>
  <c r="E74" i="10" l="1"/>
  <c r="E71" i="10"/>
  <c r="E70" i="10"/>
  <c r="E69" i="10"/>
  <c r="T42" i="15" l="1"/>
  <c r="T43" i="15"/>
  <c r="U43" i="15" s="1"/>
  <c r="T44" i="15"/>
  <c r="U44" i="15" s="1"/>
  <c r="T45" i="15"/>
  <c r="U45" i="15" s="1"/>
  <c r="T46" i="15"/>
  <c r="U46" i="15" s="1"/>
  <c r="T47" i="15"/>
  <c r="U47" i="15" s="1"/>
  <c r="T48" i="15"/>
  <c r="U48" i="15" s="1"/>
  <c r="T49" i="15"/>
  <c r="U49" i="15" s="1"/>
  <c r="T50" i="15"/>
  <c r="U50" i="15" s="1"/>
  <c r="S42" i="15"/>
  <c r="S43" i="15"/>
  <c r="S44" i="15"/>
  <c r="S45" i="15"/>
  <c r="S46" i="15"/>
  <c r="S47" i="15"/>
  <c r="S48" i="15"/>
  <c r="S49" i="15"/>
  <c r="S50" i="15"/>
  <c r="T41" i="15"/>
  <c r="U41" i="15" s="1"/>
  <c r="S41" i="15"/>
  <c r="K42" i="15"/>
  <c r="L42" i="15" s="1"/>
  <c r="K43" i="15"/>
  <c r="L43" i="15" s="1"/>
  <c r="K44" i="15"/>
  <c r="L44" i="15" s="1"/>
  <c r="K45" i="15"/>
  <c r="L45" i="15" s="1"/>
  <c r="K46" i="15"/>
  <c r="L46" i="15" s="1"/>
  <c r="K47" i="15"/>
  <c r="L47" i="15" s="1"/>
  <c r="K48" i="15"/>
  <c r="L48" i="15" s="1"/>
  <c r="K49" i="15"/>
  <c r="L49" i="15" s="1"/>
  <c r="K50" i="15"/>
  <c r="L50" i="15" s="1"/>
  <c r="K41" i="15"/>
  <c r="L41" i="15" s="1"/>
  <c r="U42" i="15"/>
  <c r="R36" i="9" l="1"/>
  <c r="R43" i="9"/>
  <c r="R44" i="9"/>
  <c r="R45" i="9"/>
  <c r="R46" i="9"/>
  <c r="R47" i="9"/>
  <c r="R48" i="9"/>
  <c r="R49" i="9"/>
  <c r="R50" i="9"/>
  <c r="R51" i="9"/>
  <c r="R52" i="9"/>
  <c r="R53" i="9"/>
  <c r="R54" i="9"/>
  <c r="R55" i="9"/>
  <c r="R56" i="9"/>
  <c r="R57" i="9"/>
  <c r="R58" i="9"/>
  <c r="R59" i="9"/>
  <c r="R60" i="9"/>
  <c r="R61" i="9"/>
  <c r="R62" i="9"/>
  <c r="R63" i="9"/>
  <c r="R64" i="9"/>
  <c r="R65" i="9"/>
  <c r="R66" i="9"/>
  <c r="R67" i="9"/>
  <c r="R68" i="9"/>
  <c r="R69" i="9"/>
  <c r="R70" i="9"/>
  <c r="R71" i="9"/>
  <c r="R72" i="9"/>
  <c r="R73" i="9"/>
  <c r="R74" i="9"/>
  <c r="R75" i="9"/>
  <c r="R76" i="9"/>
  <c r="R77" i="9"/>
  <c r="R78" i="9"/>
  <c r="R79" i="9"/>
  <c r="R80" i="9"/>
  <c r="R81" i="9"/>
  <c r="R82" i="9"/>
  <c r="R83" i="9"/>
  <c r="R84" i="9"/>
  <c r="R85" i="9"/>
  <c r="R86" i="9"/>
  <c r="R87" i="9"/>
  <c r="R88" i="9"/>
  <c r="R89" i="9"/>
  <c r="R90" i="9"/>
  <c r="R91" i="9"/>
  <c r="R92" i="9"/>
  <c r="R93" i="9"/>
  <c r="R94" i="9"/>
  <c r="R95" i="9"/>
  <c r="Q36" i="9"/>
  <c r="Q38" i="9"/>
  <c r="Q43" i="9"/>
  <c r="Q44" i="9"/>
  <c r="Q45" i="9"/>
  <c r="Q46" i="9"/>
  <c r="Q47" i="9"/>
  <c r="Q48" i="9"/>
  <c r="Q49" i="9"/>
  <c r="Q50" i="9"/>
  <c r="Q51" i="9"/>
  <c r="Q52" i="9"/>
  <c r="Q53" i="9"/>
  <c r="Q54" i="9"/>
  <c r="Q55" i="9"/>
  <c r="Q56" i="9"/>
  <c r="Q57" i="9"/>
  <c r="Q58" i="9"/>
  <c r="Q59" i="9"/>
  <c r="Q60" i="9"/>
  <c r="Q61" i="9"/>
  <c r="Q62" i="9"/>
  <c r="Q63" i="9"/>
  <c r="Q64" i="9"/>
  <c r="Q65" i="9"/>
  <c r="Q66" i="9"/>
  <c r="Q67" i="9"/>
  <c r="Q68" i="9"/>
  <c r="Q69" i="9"/>
  <c r="Q70" i="9"/>
  <c r="Q71" i="9"/>
  <c r="Q72" i="9"/>
  <c r="Q73" i="9"/>
  <c r="Q74" i="9"/>
  <c r="Q75" i="9"/>
  <c r="Q76" i="9"/>
  <c r="Q77" i="9"/>
  <c r="Q78" i="9"/>
  <c r="Q79" i="9"/>
  <c r="Q80" i="9"/>
  <c r="Q81" i="9"/>
  <c r="Q82" i="9"/>
  <c r="Q83" i="9"/>
  <c r="Q84" i="9"/>
  <c r="Q85" i="9"/>
  <c r="Q86" i="9"/>
  <c r="Q87" i="9"/>
  <c r="Q88" i="9"/>
  <c r="Q89" i="9"/>
  <c r="Q90" i="9"/>
  <c r="Q91" i="9"/>
  <c r="Q92" i="9"/>
  <c r="Q93" i="9"/>
  <c r="Q94" i="9"/>
  <c r="Q95" i="9"/>
  <c r="P53" i="9"/>
  <c r="P54" i="9"/>
  <c r="P55" i="9"/>
  <c r="P56" i="9"/>
  <c r="P57" i="9"/>
  <c r="P58" i="9"/>
  <c r="P59" i="9"/>
  <c r="P60" i="9"/>
  <c r="P61" i="9"/>
  <c r="P62" i="9"/>
  <c r="P63" i="9"/>
  <c r="P64" i="9"/>
  <c r="P65" i="9"/>
  <c r="P66" i="9"/>
  <c r="P67" i="9"/>
  <c r="P68" i="9"/>
  <c r="P69" i="9"/>
  <c r="P70" i="9"/>
  <c r="P71" i="9"/>
  <c r="P72" i="9"/>
  <c r="P73" i="9"/>
  <c r="P74" i="9"/>
  <c r="P75" i="9"/>
  <c r="P76" i="9"/>
  <c r="P77" i="9"/>
  <c r="P78" i="9"/>
  <c r="P79" i="9"/>
  <c r="P80" i="9"/>
  <c r="P81" i="9"/>
  <c r="P82" i="9"/>
  <c r="P83" i="9"/>
  <c r="P84" i="9"/>
  <c r="P85" i="9"/>
  <c r="P86" i="9"/>
  <c r="P87" i="9"/>
  <c r="P88" i="9"/>
  <c r="P89" i="9"/>
  <c r="P90" i="9"/>
  <c r="P91" i="9"/>
  <c r="P92" i="9"/>
  <c r="P93" i="9"/>
  <c r="P94" i="9"/>
  <c r="P95" i="9"/>
  <c r="J42" i="15"/>
  <c r="J43" i="15"/>
  <c r="J44" i="15"/>
  <c r="J45" i="15"/>
  <c r="J46" i="15"/>
  <c r="J47" i="15"/>
  <c r="J48" i="15"/>
  <c r="J49" i="15"/>
  <c r="J50" i="15"/>
  <c r="J41" i="15"/>
  <c r="AA11" i="13" l="1"/>
  <c r="AA12" i="13"/>
  <c r="AA13" i="13"/>
  <c r="AA14" i="13"/>
  <c r="AA15" i="13"/>
  <c r="AA16" i="13"/>
  <c r="AA17" i="13"/>
  <c r="AA18" i="13"/>
  <c r="AA19" i="13"/>
  <c r="Z11" i="13"/>
  <c r="Z12" i="13"/>
  <c r="AD12" i="13" s="1"/>
  <c r="Z13" i="13"/>
  <c r="AD13" i="13" s="1"/>
  <c r="Z14" i="13"/>
  <c r="AD14" i="13" s="1"/>
  <c r="Z15" i="13"/>
  <c r="AD15" i="13" s="1"/>
  <c r="Z16" i="13"/>
  <c r="AD16" i="13" s="1"/>
  <c r="Z17" i="13"/>
  <c r="AD17" i="13" s="1"/>
  <c r="Z18" i="13"/>
  <c r="AD18" i="13" s="1"/>
  <c r="Z19" i="13"/>
  <c r="AD19" i="13" s="1"/>
  <c r="B50" i="15"/>
  <c r="C50" i="15"/>
  <c r="D50" i="15" s="1"/>
  <c r="B46" i="15"/>
  <c r="C46" i="15"/>
  <c r="D46" i="15" s="1"/>
  <c r="B47" i="15"/>
  <c r="C47" i="15"/>
  <c r="D47" i="15" s="1"/>
  <c r="B48" i="15"/>
  <c r="C48" i="15"/>
  <c r="D48" i="15" s="1"/>
  <c r="B49" i="15"/>
  <c r="C49" i="15"/>
  <c r="D49" i="15" s="1"/>
  <c r="AF13" i="13" l="1"/>
  <c r="AE13" i="13"/>
  <c r="AF14" i="13"/>
  <c r="AE14" i="13"/>
  <c r="AF12" i="13"/>
  <c r="AE12" i="13"/>
  <c r="AF17" i="13"/>
  <c r="AE17" i="13"/>
  <c r="AF15" i="13"/>
  <c r="AE15" i="13"/>
  <c r="AF19" i="13"/>
  <c r="AE19" i="13"/>
  <c r="AF18" i="13"/>
  <c r="AE18" i="13"/>
  <c r="AE16" i="13"/>
  <c r="AF16" i="13"/>
  <c r="P14" i="13"/>
  <c r="P15" i="13"/>
  <c r="P16" i="13"/>
  <c r="P17" i="13"/>
  <c r="P18" i="13"/>
  <c r="P19" i="13"/>
  <c r="P20" i="13"/>
  <c r="P21" i="13"/>
  <c r="P22" i="13"/>
  <c r="M32" i="9"/>
  <c r="N32" i="9"/>
  <c r="O32" i="9"/>
  <c r="D14" i="9"/>
  <c r="P11" i="13"/>
  <c r="D19" i="9"/>
  <c r="D20" i="9"/>
  <c r="D18" i="9"/>
  <c r="D17" i="13"/>
  <c r="D11" i="13"/>
  <c r="D12" i="13"/>
  <c r="C14" i="10" s="1"/>
  <c r="D13" i="13"/>
  <c r="D14" i="13"/>
  <c r="D15" i="13"/>
  <c r="E15" i="13" s="1"/>
  <c r="D16" i="13"/>
  <c r="D18" i="13"/>
  <c r="E18" i="13" s="1"/>
  <c r="D20" i="13"/>
  <c r="E20" i="13" s="1"/>
  <c r="T10" i="15"/>
  <c r="K10" i="15"/>
  <c r="D17" i="9"/>
  <c r="D15" i="9"/>
  <c r="D13" i="9"/>
  <c r="C10" i="15"/>
  <c r="D12" i="9"/>
  <c r="D10" i="9"/>
  <c r="D9" i="9"/>
  <c r="F14" i="20" s="1"/>
  <c r="D8" i="9"/>
  <c r="D7" i="9"/>
  <c r="D6" i="9"/>
  <c r="E16" i="13" l="1"/>
  <c r="E17" i="13"/>
  <c r="C17" i="10"/>
  <c r="AG34" i="13"/>
  <c r="L48" i="9"/>
  <c r="L35" i="9"/>
  <c r="L44" i="9"/>
  <c r="L49" i="9"/>
  <c r="L40" i="9"/>
  <c r="R40" i="9" s="1"/>
  <c r="L42" i="9"/>
  <c r="R42" i="9" s="1"/>
  <c r="L36" i="9"/>
  <c r="P36" i="9" s="1"/>
  <c r="L37" i="9"/>
  <c r="P37" i="9" s="1"/>
  <c r="L41" i="9"/>
  <c r="P41" i="9" s="1"/>
  <c r="L46" i="9"/>
  <c r="L38" i="9"/>
  <c r="L43" i="9"/>
  <c r="L45" i="9"/>
  <c r="L47" i="9"/>
  <c r="L39" i="9"/>
  <c r="CK50" i="13" a="1"/>
  <c r="CK50" i="13" s="1"/>
  <c r="CK97" i="13" a="1"/>
  <c r="CK97" i="13" s="1"/>
  <c r="CK90" i="13" a="1"/>
  <c r="CK90" i="13" s="1"/>
  <c r="CK83" i="13" a="1"/>
  <c r="CK83" i="13" s="1"/>
  <c r="CK76" i="13" a="1"/>
  <c r="CK76" i="13" s="1"/>
  <c r="CK63" i="13" a="1"/>
  <c r="CK63" i="13" s="1"/>
  <c r="CJ51" i="13"/>
  <c r="CJ73" i="13"/>
  <c r="CJ84" i="13"/>
  <c r="CJ95" i="13"/>
  <c r="CJ66" i="13"/>
  <c r="CJ88" i="13"/>
  <c r="CK96" i="13" a="1"/>
  <c r="CK96" i="13" s="1"/>
  <c r="CK69" i="13" a="1"/>
  <c r="CK69" i="13" s="1"/>
  <c r="CK56" i="13" a="1"/>
  <c r="CK56" i="13" s="1"/>
  <c r="CJ63" i="13"/>
  <c r="CJ74" i="13"/>
  <c r="CJ85" i="13"/>
  <c r="CJ96" i="13"/>
  <c r="CK87" i="13" a="1"/>
  <c r="CK87" i="13" s="1"/>
  <c r="CJ77" i="13"/>
  <c r="CJ99" i="13"/>
  <c r="CJ89" i="13"/>
  <c r="CK93" i="13" a="1"/>
  <c r="CK93" i="13" s="1"/>
  <c r="CK66" i="13" a="1"/>
  <c r="CK66" i="13" s="1"/>
  <c r="CJ68" i="13"/>
  <c r="CJ90" i="13"/>
  <c r="CJ70" i="13"/>
  <c r="CJ92" i="13"/>
  <c r="CK89" i="13" a="1"/>
  <c r="CK89" i="13" s="1"/>
  <c r="CK82" i="13" a="1"/>
  <c r="CK82" i="13" s="1"/>
  <c r="CK75" i="13" a="1"/>
  <c r="CK75" i="13" s="1"/>
  <c r="CK62" i="13" a="1"/>
  <c r="CK62" i="13" s="1"/>
  <c r="CK55" i="13" a="1"/>
  <c r="CK55" i="13" s="1"/>
  <c r="CJ64" i="13"/>
  <c r="CJ75" i="13"/>
  <c r="CJ86" i="13"/>
  <c r="CJ97" i="13"/>
  <c r="CK74" i="13" a="1"/>
  <c r="CK74" i="13" s="1"/>
  <c r="CK80" i="13" a="1"/>
  <c r="CK80" i="13" s="1"/>
  <c r="CK67" i="13" a="1"/>
  <c r="CK67" i="13" s="1"/>
  <c r="CK60" i="13" a="1"/>
  <c r="CK60" i="13" s="1"/>
  <c r="CJ67" i="13"/>
  <c r="CJ100" i="13"/>
  <c r="CK86" i="13" a="1"/>
  <c r="CK86" i="13" s="1"/>
  <c r="CK73" i="13" a="1"/>
  <c r="CK73" i="13" s="1"/>
  <c r="CK59" i="13" a="1"/>
  <c r="CK59" i="13" s="1"/>
  <c r="CJ79" i="13"/>
  <c r="CK95" i="13" a="1"/>
  <c r="CK95" i="13" s="1"/>
  <c r="CK88" i="13" a="1"/>
  <c r="CK88" i="13" s="1"/>
  <c r="CK81" i="13" a="1"/>
  <c r="CK81" i="13" s="1"/>
  <c r="CK68" i="13" a="1"/>
  <c r="CK68" i="13" s="1"/>
  <c r="CK61" i="13" a="1"/>
  <c r="CK61" i="13" s="1"/>
  <c r="CK54" i="13" a="1"/>
  <c r="CK54" i="13" s="1"/>
  <c r="CJ65" i="13"/>
  <c r="CJ76" i="13"/>
  <c r="CJ87" i="13"/>
  <c r="CJ98" i="13"/>
  <c r="CK94" i="13" a="1"/>
  <c r="CK94" i="13" s="1"/>
  <c r="CK100" i="13" a="1"/>
  <c r="CK100" i="13" s="1"/>
  <c r="CK92" i="13" a="1"/>
  <c r="CK92" i="13" s="1"/>
  <c r="CK79" i="13" a="1"/>
  <c r="CK79" i="13" s="1"/>
  <c r="CK72" i="13" a="1"/>
  <c r="CK72" i="13" s="1"/>
  <c r="CK65" i="13" a="1"/>
  <c r="CK65" i="13" s="1"/>
  <c r="CK52" i="13" a="1"/>
  <c r="CK52" i="13" s="1"/>
  <c r="CJ69" i="13"/>
  <c r="CJ80" i="13"/>
  <c r="CJ91" i="13"/>
  <c r="CK99" i="13" a="1"/>
  <c r="CK99" i="13" s="1"/>
  <c r="CK58" i="13" a="1"/>
  <c r="CK58" i="13" s="1"/>
  <c r="CK98" i="13" a="1"/>
  <c r="CK98" i="13" s="1"/>
  <c r="CK91" i="13" a="1"/>
  <c r="CK91" i="13" s="1"/>
  <c r="CK78" i="13" a="1"/>
  <c r="CK78" i="13" s="1"/>
  <c r="CK71" i="13" a="1"/>
  <c r="CK71" i="13" s="1"/>
  <c r="CK64" i="13" a="1"/>
  <c r="CK64" i="13" s="1"/>
  <c r="CK51" i="13" a="1"/>
  <c r="CK51" i="13" s="1"/>
  <c r="CJ71" i="13"/>
  <c r="CJ82" i="13"/>
  <c r="CJ93" i="13"/>
  <c r="CK84" i="13" a="1"/>
  <c r="CK84" i="13" s="1"/>
  <c r="CK77" i="13" a="1"/>
  <c r="CK77" i="13" s="1"/>
  <c r="CK70" i="13" a="1"/>
  <c r="CK70" i="13" s="1"/>
  <c r="CK57" i="13" a="1"/>
  <c r="CK57" i="13" s="1"/>
  <c r="CJ72" i="13"/>
  <c r="CJ83" i="13"/>
  <c r="CJ94" i="13"/>
  <c r="CK53" i="13" a="1"/>
  <c r="CK53" i="13" s="1"/>
  <c r="CJ78" i="13"/>
  <c r="CK85" i="13" a="1"/>
  <c r="CK85" i="13" s="1"/>
  <c r="CJ81" i="13"/>
  <c r="CJ56" i="13"/>
  <c r="CJ61" i="13"/>
  <c r="CJ52" i="13"/>
  <c r="CJ55" i="13"/>
  <c r="CJ60" i="13"/>
  <c r="CJ57" i="13"/>
  <c r="CJ59" i="13"/>
  <c r="CJ53" i="13"/>
  <c r="CJ54" i="13"/>
  <c r="CJ62" i="13"/>
  <c r="CJ58" i="13"/>
  <c r="G23" i="9"/>
  <c r="G24" i="9"/>
  <c r="G25" i="9"/>
  <c r="G26" i="9"/>
  <c r="G18" i="9"/>
  <c r="G19" i="9"/>
  <c r="G20" i="9"/>
  <c r="G21" i="9"/>
  <c r="G22" i="9"/>
  <c r="G13" i="9"/>
  <c r="C108" i="9" s="1"/>
  <c r="G14" i="9"/>
  <c r="C109" i="9" s="1"/>
  <c r="G15" i="9"/>
  <c r="C110" i="9" s="1"/>
  <c r="G9" i="9"/>
  <c r="C104" i="9" s="1"/>
  <c r="G11" i="9"/>
  <c r="G16" i="9"/>
  <c r="D111" i="9" s="1"/>
  <c r="G8" i="9"/>
  <c r="G7" i="9"/>
  <c r="C102" i="9" s="1"/>
  <c r="G17" i="9"/>
  <c r="G12" i="9"/>
  <c r="C107" i="9" s="1"/>
  <c r="G10" i="9"/>
  <c r="P44" i="9"/>
  <c r="P50" i="9"/>
  <c r="P45" i="9"/>
  <c r="P49" i="9"/>
  <c r="P52" i="9"/>
  <c r="P46" i="9"/>
  <c r="P51" i="9"/>
  <c r="P47" i="9"/>
  <c r="P48" i="9"/>
  <c r="P43" i="9"/>
  <c r="P23" i="13"/>
  <c r="P29" i="13" s="1"/>
  <c r="F125" i="9"/>
  <c r="F126" i="9"/>
  <c r="F130" i="9"/>
  <c r="F133" i="9"/>
  <c r="F127" i="9"/>
  <c r="F128" i="9"/>
  <c r="F131" i="9"/>
  <c r="F121" i="9"/>
  <c r="F122" i="9"/>
  <c r="F123" i="9"/>
  <c r="F124" i="9"/>
  <c r="F129" i="9"/>
  <c r="F132" i="9"/>
  <c r="R41" i="9" l="1"/>
  <c r="Q41" i="9"/>
  <c r="P42" i="9"/>
  <c r="Q42" i="9"/>
  <c r="AH34" i="13"/>
  <c r="AH47" i="13" s="1"/>
  <c r="AG47" i="13"/>
  <c r="N15" i="13"/>
  <c r="C85" i="10" s="1"/>
  <c r="N13" i="13"/>
  <c r="C83" i="10" s="1"/>
  <c r="N14" i="13"/>
  <c r="C84" i="10" s="1"/>
  <c r="N12" i="13"/>
  <c r="C82" i="10" s="1"/>
  <c r="N11" i="13"/>
  <c r="N16" i="13"/>
  <c r="C86" i="10" s="1"/>
  <c r="Q40" i="9"/>
  <c r="P40" i="9"/>
  <c r="K120" i="9"/>
  <c r="K119" i="9"/>
  <c r="F134" i="9"/>
  <c r="Q37" i="9"/>
  <c r="R37" i="9"/>
  <c r="R38" i="9"/>
  <c r="P38" i="9"/>
  <c r="R35" i="9"/>
  <c r="Q35" i="9"/>
  <c r="P35" i="9"/>
  <c r="P39" i="9"/>
  <c r="Q39" i="9"/>
  <c r="R39" i="9"/>
  <c r="D103" i="9"/>
  <c r="D107" i="9" s="1"/>
  <c r="H15" i="9"/>
  <c r="J15" i="9"/>
  <c r="I15" i="9"/>
  <c r="I14" i="9"/>
  <c r="J14" i="9"/>
  <c r="H14" i="9"/>
  <c r="H13" i="9"/>
  <c r="J13" i="9"/>
  <c r="I13" i="9"/>
  <c r="H12" i="9"/>
  <c r="J12" i="9"/>
  <c r="I12" i="9"/>
  <c r="H7" i="9"/>
  <c r="J7" i="9"/>
  <c r="I7" i="9"/>
  <c r="H11" i="9"/>
  <c r="I11" i="9"/>
  <c r="J11" i="9"/>
  <c r="J18" i="9"/>
  <c r="I18" i="9"/>
  <c r="H18" i="9"/>
  <c r="J10" i="9"/>
  <c r="I10" i="9"/>
  <c r="H10" i="9"/>
  <c r="I17" i="9"/>
  <c r="J17" i="9"/>
  <c r="H17" i="9"/>
  <c r="J9" i="9"/>
  <c r="I9" i="9"/>
  <c r="H9" i="9"/>
  <c r="D105" i="9"/>
  <c r="D109" i="9" s="1"/>
  <c r="H16" i="9"/>
  <c r="I16" i="9"/>
  <c r="J16" i="9"/>
  <c r="I8" i="9"/>
  <c r="H8" i="9"/>
  <c r="J8" i="9"/>
  <c r="C103" i="9"/>
  <c r="C112" i="9"/>
  <c r="C106" i="9"/>
  <c r="C113" i="9"/>
  <c r="C105" i="9"/>
  <c r="C111" i="9"/>
  <c r="D104" i="9"/>
  <c r="D108" i="9" s="1"/>
  <c r="D102" i="9"/>
  <c r="D106" i="9"/>
  <c r="D110" i="9" s="1"/>
  <c r="C21" i="10"/>
  <c r="C19" i="10"/>
  <c r="C18" i="10"/>
  <c r="C16" i="10"/>
  <c r="C15" i="10"/>
  <c r="C13" i="10"/>
  <c r="C11" i="10"/>
  <c r="AG44" i="13" l="1" a="1"/>
  <c r="AG44" i="13" s="1"/>
  <c r="AG45" i="13" a="1"/>
  <c r="AG45" i="13" s="1"/>
  <c r="AG46" i="13" a="1"/>
  <c r="AG46" i="13" s="1"/>
  <c r="AG42" i="13" a="1"/>
  <c r="AG42" i="13" s="1"/>
  <c r="AH42" i="13" a="1"/>
  <c r="AH42" i="13" s="1"/>
  <c r="AH45" i="13" a="1"/>
  <c r="AH45" i="13" s="1"/>
  <c r="AH46" i="13" a="1"/>
  <c r="AH46" i="13" s="1"/>
  <c r="AH44" i="13" a="1"/>
  <c r="AH44" i="13" s="1"/>
  <c r="AI34" i="13"/>
  <c r="AI47" i="13" s="1"/>
  <c r="N31" i="13"/>
  <c r="B82" i="10"/>
  <c r="B86" i="10"/>
  <c r="B87" i="10"/>
  <c r="B83" i="10"/>
  <c r="B84" i="10"/>
  <c r="B88" i="10"/>
  <c r="B85" i="10"/>
  <c r="B89" i="10"/>
  <c r="D113" i="9"/>
  <c r="D112" i="9"/>
  <c r="AG41" i="13" l="1"/>
  <c r="AG32" i="13" s="1"/>
  <c r="AI44" i="13" a="1"/>
  <c r="AI44" i="13" s="1"/>
  <c r="AI42" i="13" a="1"/>
  <c r="AI42" i="13" s="1"/>
  <c r="AI45" i="13" a="1"/>
  <c r="AI45" i="13" s="1"/>
  <c r="AI46" i="13" a="1"/>
  <c r="AI46" i="13" s="1"/>
  <c r="AH41" i="13"/>
  <c r="AH32" i="13"/>
  <c r="AJ34" i="13"/>
  <c r="AJ47" i="13" s="1"/>
  <c r="Q21" i="13"/>
  <c r="Q22" i="13"/>
  <c r="Q14" i="13"/>
  <c r="Q17" i="13"/>
  <c r="Q20" i="13"/>
  <c r="Q16" i="13"/>
  <c r="Q15" i="13"/>
  <c r="Q18" i="13"/>
  <c r="Q19" i="13"/>
  <c r="Q13" i="13"/>
  <c r="Q12" i="13"/>
  <c r="Q11" i="13"/>
  <c r="O19" i="13"/>
  <c r="O22" i="13"/>
  <c r="O21" i="13"/>
  <c r="O17" i="13"/>
  <c r="O16" i="13"/>
  <c r="O18" i="13"/>
  <c r="O20" i="13"/>
  <c r="AJ44" i="13" l="1" a="1"/>
  <c r="AJ44" i="13" s="1"/>
  <c r="AJ46" i="13" a="1"/>
  <c r="AJ46" i="13" s="1"/>
  <c r="AJ42" i="13" a="1"/>
  <c r="AJ42" i="13" s="1"/>
  <c r="AJ45" i="13" a="1"/>
  <c r="AJ45" i="13" s="1"/>
  <c r="AI41" i="13"/>
  <c r="AI32" i="13" s="1"/>
  <c r="AK34" i="13"/>
  <c r="AK47" i="13" s="1"/>
  <c r="Q31" i="13"/>
  <c r="P53" i="13"/>
  <c r="P140" i="13"/>
  <c r="P141" i="13"/>
  <c r="P142" i="13"/>
  <c r="P146" i="13"/>
  <c r="P147" i="13"/>
  <c r="P148" i="13"/>
  <c r="P149" i="13"/>
  <c r="O53" i="13"/>
  <c r="L53" i="13" s="1"/>
  <c r="O140" i="13"/>
  <c r="L140" i="13" s="1"/>
  <c r="O141" i="13"/>
  <c r="L141" i="13" s="1"/>
  <c r="O142" i="13"/>
  <c r="L142" i="13" s="1"/>
  <c r="O146" i="13"/>
  <c r="L146" i="13" s="1"/>
  <c r="O147" i="13"/>
  <c r="L147" i="13" s="1"/>
  <c r="O148" i="13"/>
  <c r="L148" i="13" s="1"/>
  <c r="O149" i="13"/>
  <c r="L149" i="13" s="1"/>
  <c r="CK140" i="13" a="1"/>
  <c r="CK140" i="13" s="1"/>
  <c r="CK141" i="13" a="1"/>
  <c r="CK141" i="13" s="1"/>
  <c r="CK142" i="13" a="1"/>
  <c r="CK142" i="13" s="1"/>
  <c r="CK146" i="13" a="1"/>
  <c r="CK146" i="13" s="1"/>
  <c r="CK147" i="13" a="1"/>
  <c r="CK147" i="13" s="1"/>
  <c r="CK148" i="13" a="1"/>
  <c r="CK148" i="13" s="1"/>
  <c r="CK149" i="13" a="1"/>
  <c r="CK149" i="13" s="1"/>
  <c r="AK46" i="13" l="1" a="1"/>
  <c r="AK46" i="13" s="1"/>
  <c r="AK42" i="13" a="1"/>
  <c r="AK42" i="13" s="1"/>
  <c r="AK44" i="13" a="1"/>
  <c r="AK44" i="13" s="1"/>
  <c r="AK45" i="13" a="1"/>
  <c r="AK45" i="13" s="1"/>
  <c r="AJ41" i="13"/>
  <c r="AL34" i="13"/>
  <c r="AL47" i="13" s="1"/>
  <c r="I67" i="10"/>
  <c r="I72" i="10"/>
  <c r="I68" i="10"/>
  <c r="C23" i="22"/>
  <c r="E23" i="22"/>
  <c r="D23" i="22"/>
  <c r="E21" i="22"/>
  <c r="C56" i="10"/>
  <c r="B81" i="10"/>
  <c r="CJ146" i="13"/>
  <c r="CJ142" i="13"/>
  <c r="CJ141" i="13"/>
  <c r="CJ140" i="13"/>
  <c r="AL45" i="13" l="1" a="1"/>
  <c r="AL45" i="13" s="1"/>
  <c r="AL46" i="13" a="1"/>
  <c r="AL46" i="13" s="1"/>
  <c r="AL44" i="13" a="1"/>
  <c r="AL44" i="13" s="1"/>
  <c r="AL42" i="13" a="1"/>
  <c r="AL42" i="13" s="1"/>
  <c r="AK41" i="13"/>
  <c r="AK32" i="13" s="1"/>
  <c r="AJ32" i="13"/>
  <c r="AM34" i="13"/>
  <c r="AM47" i="13" s="1"/>
  <c r="CK152" i="13"/>
  <c r="CL152" i="13"/>
  <c r="AM45" i="13" l="1" a="1"/>
  <c r="AM45" i="13" s="1"/>
  <c r="AM44" i="13" a="1"/>
  <c r="AM44" i="13" s="1"/>
  <c r="AM46" i="13" a="1"/>
  <c r="AM46" i="13" s="1"/>
  <c r="AM42" i="13" a="1"/>
  <c r="AM42" i="13" s="1"/>
  <c r="AL41" i="13"/>
  <c r="AL32" i="13"/>
  <c r="AN34" i="13"/>
  <c r="AN47" i="13" s="1"/>
  <c r="O15" i="13"/>
  <c r="O14" i="13"/>
  <c r="C81" i="10"/>
  <c r="O11" i="13"/>
  <c r="L51" i="15"/>
  <c r="K55" i="15" s="1"/>
  <c r="U51" i="15"/>
  <c r="T55" i="15" s="1"/>
  <c r="AM41" i="13" l="1"/>
  <c r="AN44" i="13" a="1"/>
  <c r="AN44" i="13" s="1"/>
  <c r="AN45" i="13" a="1"/>
  <c r="AN45" i="13" s="1"/>
  <c r="AN46" i="13" a="1"/>
  <c r="AN46" i="13" s="1"/>
  <c r="AN42" i="13" a="1"/>
  <c r="AN42" i="13" s="1"/>
  <c r="AM32" i="13"/>
  <c r="AO34" i="13"/>
  <c r="AO47" i="13" s="1"/>
  <c r="O23" i="13"/>
  <c r="T56" i="15"/>
  <c r="T57" i="15" s="1"/>
  <c r="T12" i="15" s="1"/>
  <c r="K56" i="15"/>
  <c r="AN41" i="13" l="1"/>
  <c r="AO44" i="13" a="1"/>
  <c r="AO44" i="13" s="1"/>
  <c r="AO45" i="13" a="1"/>
  <c r="AO45" i="13" s="1"/>
  <c r="AO42" i="13" a="1"/>
  <c r="AO42" i="13" s="1"/>
  <c r="AO46" i="13" a="1"/>
  <c r="AO46" i="13" s="1"/>
  <c r="AN32" i="13"/>
  <c r="AP34" i="13"/>
  <c r="AP47" i="13" s="1"/>
  <c r="K57" i="15"/>
  <c r="K12" i="15" s="1"/>
  <c r="O29" i="13"/>
  <c r="D51" i="15"/>
  <c r="D101" i="9" s="1"/>
  <c r="N10" i="13" s="1"/>
  <c r="Q10" i="13" s="1"/>
  <c r="AO41" i="13" l="1"/>
  <c r="AP44" i="13" a="1"/>
  <c r="AP44" i="13" s="1"/>
  <c r="AP46" i="13" a="1"/>
  <c r="AP46" i="13" s="1"/>
  <c r="AP42" i="13" a="1"/>
  <c r="AP42" i="13" s="1"/>
  <c r="AP45" i="13" a="1"/>
  <c r="AP45" i="13" s="1"/>
  <c r="AO32" i="13"/>
  <c r="AQ34" i="13"/>
  <c r="AQ47" i="13" s="1"/>
  <c r="C55" i="15"/>
  <c r="C56" i="15" s="1"/>
  <c r="C57" i="15" s="1"/>
  <c r="C12" i="15" s="1"/>
  <c r="AQ44" i="13" l="1" a="1"/>
  <c r="AQ44" i="13" s="1"/>
  <c r="AQ45" i="13" a="1"/>
  <c r="AQ45" i="13" s="1"/>
  <c r="AQ46" i="13" a="1"/>
  <c r="AQ46" i="13" s="1"/>
  <c r="AQ42" i="13" a="1"/>
  <c r="AQ42" i="13" s="1"/>
  <c r="AP41" i="13"/>
  <c r="AP32" i="13" s="1"/>
  <c r="AR34" i="13"/>
  <c r="AR47" i="13" s="1"/>
  <c r="CJ148" i="13"/>
  <c r="CJ149" i="13"/>
  <c r="CJ147" i="13"/>
  <c r="AQ41" i="13" l="1"/>
  <c r="AR45" i="13" a="1"/>
  <c r="AR45" i="13" s="1"/>
  <c r="AR42" i="13" a="1"/>
  <c r="AR42" i="13" s="1"/>
  <c r="AR44" i="13" a="1"/>
  <c r="AR44" i="13" s="1"/>
  <c r="AR46" i="13" a="1"/>
  <c r="AR46" i="13" s="1"/>
  <c r="AQ32" i="13"/>
  <c r="AS34" i="13"/>
  <c r="AS47" i="13" s="1"/>
  <c r="D114" i="9"/>
  <c r="D19" i="13" s="1"/>
  <c r="B14" i="26" s="1"/>
  <c r="CI146" i="13"/>
  <c r="CI149" i="13"/>
  <c r="CI142" i="13"/>
  <c r="CI140" i="13"/>
  <c r="CI141" i="13"/>
  <c r="CI147" i="13"/>
  <c r="CI148" i="13"/>
  <c r="AS44" i="13" l="1" a="1"/>
  <c r="AS44" i="13" s="1"/>
  <c r="AS42" i="13" a="1"/>
  <c r="AS42" i="13" s="1"/>
  <c r="AS45" i="13" a="1"/>
  <c r="AS45" i="13" s="1"/>
  <c r="AS46" i="13" a="1"/>
  <c r="AS46" i="13" s="1"/>
  <c r="AR41" i="13"/>
  <c r="AR32" i="13" s="1"/>
  <c r="AT34" i="13"/>
  <c r="AT47" i="13" s="1"/>
  <c r="X49" i="13"/>
  <c r="AG65" i="13" s="1"/>
  <c r="E19" i="13"/>
  <c r="G7" i="13" s="1"/>
  <c r="C13" i="27"/>
  <c r="BO56" i="13"/>
  <c r="AG58" i="13"/>
  <c r="AO60" i="13"/>
  <c r="AI68" i="13"/>
  <c r="AL58" i="13"/>
  <c r="CB75" i="13"/>
  <c r="AO77" i="13"/>
  <c r="BG78" i="13"/>
  <c r="BV83" i="13"/>
  <c r="AR86" i="13"/>
  <c r="BQ54" i="13"/>
  <c r="BK74" i="13"/>
  <c r="BQ75" i="13"/>
  <c r="AS63" i="13"/>
  <c r="AH64" i="13"/>
  <c r="BN79" i="13"/>
  <c r="CF81" i="13"/>
  <c r="AT82" i="13"/>
  <c r="AJ83" i="13"/>
  <c r="CF76" i="13"/>
  <c r="CF77" i="13"/>
  <c r="CF61" i="13"/>
  <c r="BG63" i="13"/>
  <c r="AL69" i="13"/>
  <c r="BQ81" i="13"/>
  <c r="AT88" i="13"/>
  <c r="BP91" i="13"/>
  <c r="BH63" i="13"/>
  <c r="BX64" i="13"/>
  <c r="BY100" i="13"/>
  <c r="BI63" i="13"/>
  <c r="CF64" i="13"/>
  <c r="BF70" i="13"/>
  <c r="AU74" i="13"/>
  <c r="BN77" i="13"/>
  <c r="AR95" i="13"/>
  <c r="AP98" i="13"/>
  <c r="BO77" i="13"/>
  <c r="AO94" i="13"/>
  <c r="CE94" i="13"/>
  <c r="AS95" i="13"/>
  <c r="AS50" i="13"/>
  <c r="BJ53" i="13"/>
  <c r="AJ58" i="13"/>
  <c r="BO90" i="13"/>
  <c r="AG91" i="13"/>
  <c r="BN100" i="13"/>
  <c r="BV88" i="13"/>
  <c r="BJ89" i="13"/>
  <c r="CB89" i="13"/>
  <c r="BP90" i="13"/>
  <c r="AH91" i="13"/>
  <c r="AO97" i="13"/>
  <c r="BS92" i="13"/>
  <c r="AS93" i="13"/>
  <c r="BK61" i="13"/>
  <c r="BZ92" i="13"/>
  <c r="BT93" i="13"/>
  <c r="AT94" i="13"/>
  <c r="BT94" i="13"/>
  <c r="AN95" i="13"/>
  <c r="AH97" i="13"/>
  <c r="BD86" i="13"/>
  <c r="AS87" i="13"/>
  <c r="AH98" i="13"/>
  <c r="BX55" i="13"/>
  <c r="AP58" i="13"/>
  <c r="BX76" i="13"/>
  <c r="AQ78" i="13"/>
  <c r="AT87" i="13"/>
  <c r="CB91" i="13"/>
  <c r="BB92" i="13"/>
  <c r="CB92" i="13"/>
  <c r="BZ79" i="13"/>
  <c r="AJ88" i="13"/>
  <c r="BX88" i="13"/>
  <c r="BD92" i="13"/>
  <c r="CB98" i="13"/>
  <c r="AZ99" i="13"/>
  <c r="AQ100" i="13"/>
  <c r="CC50" i="13"/>
  <c r="BI85" i="13"/>
  <c r="BY88" i="13"/>
  <c r="CD93" i="13"/>
  <c r="AX94" i="13"/>
  <c r="BX94" i="13"/>
  <c r="AX95" i="13"/>
  <c r="BX97" i="13"/>
  <c r="CE55" i="13"/>
  <c r="BR58" i="13"/>
  <c r="AZ61" i="13"/>
  <c r="BY94" i="13"/>
  <c r="CD50" i="13"/>
  <c r="AW50" i="13"/>
  <c r="AX54" i="13"/>
  <c r="BK66" i="13"/>
  <c r="BJ73" i="13"/>
  <c r="AS77" i="13"/>
  <c r="AT77" i="13"/>
  <c r="AG79" i="13"/>
  <c r="CB86" i="13"/>
  <c r="BQ87" i="13"/>
  <c r="AN91" i="13"/>
  <c r="AJ79" i="13"/>
  <c r="AP92" i="13"/>
  <c r="BA61" i="13"/>
  <c r="CA88" i="13"/>
  <c r="BM89" i="13"/>
  <c r="AY90" i="13"/>
  <c r="CA90" i="13"/>
  <c r="BI91" i="13"/>
  <c r="AL92" i="13"/>
  <c r="BF93" i="13"/>
  <c r="CF93" i="13"/>
  <c r="AK71" i="13"/>
  <c r="BN75" i="13"/>
  <c r="BL80" i="13"/>
  <c r="AL86" i="13"/>
  <c r="BD99" i="13"/>
  <c r="BT50" i="13"/>
  <c r="BP89" i="13"/>
  <c r="BO91" i="13"/>
  <c r="BK68" i="13"/>
  <c r="AJ71" i="13"/>
  <c r="BI73" i="13"/>
  <c r="AH75" i="13"/>
  <c r="AR77" i="13"/>
  <c r="AV85" i="13"/>
  <c r="AK86" i="13"/>
  <c r="BY86" i="13"/>
  <c r="BU96" i="13"/>
  <c r="AU97" i="13"/>
  <c r="BU97" i="13"/>
  <c r="AN92" i="13"/>
  <c r="BH94" i="13"/>
  <c r="CB95" i="13"/>
  <c r="AV97" i="13"/>
  <c r="BS100" i="13"/>
  <c r="BX50" i="13"/>
  <c r="BU98" i="13"/>
  <c r="BI88" i="13"/>
  <c r="BR92" i="13"/>
  <c r="AI84" i="13"/>
  <c r="BF96" i="13"/>
  <c r="AH76" i="13"/>
  <c r="BE96" i="13"/>
  <c r="BC50" i="13"/>
  <c r="AX92" i="13"/>
  <c r="BV89" i="13"/>
  <c r="BQ93" i="13"/>
  <c r="CE96" i="13"/>
  <c r="CE99" i="13"/>
  <c r="CC89" i="13"/>
  <c r="CF99" i="13"/>
  <c r="AZ86" i="13"/>
  <c r="BK94" i="13"/>
  <c r="BV100" i="13"/>
  <c r="BA64" i="13"/>
  <c r="BP80" i="13"/>
  <c r="BI50" i="13"/>
  <c r="D16" i="9"/>
  <c r="BP100" i="13" l="1"/>
  <c r="BK89" i="13"/>
  <c r="AU87" i="13"/>
  <c r="AW99" i="13"/>
  <c r="AP83" i="13"/>
  <c r="AH84" i="13"/>
  <c r="CA93" i="13"/>
  <c r="BK100" i="13"/>
  <c r="AQ59" i="13"/>
  <c r="BB60" i="13"/>
  <c r="BD65" i="13"/>
  <c r="BR88" i="13"/>
  <c r="AM74" i="13"/>
  <c r="CE81" i="13"/>
  <c r="AX61" i="13"/>
  <c r="BS86" i="13"/>
  <c r="BG83" i="13"/>
  <c r="AX68" i="13"/>
  <c r="BO96" i="13"/>
  <c r="BN99" i="13"/>
  <c r="BT98" i="13"/>
  <c r="CD57" i="13"/>
  <c r="BO76" i="13"/>
  <c r="BJ71" i="13"/>
  <c r="BQ64" i="13"/>
  <c r="AL60" i="13"/>
  <c r="AH86" i="13"/>
  <c r="BL82" i="13"/>
  <c r="BN65" i="13"/>
  <c r="BO95" i="13"/>
  <c r="AG97" i="13"/>
  <c r="BF98" i="13"/>
  <c r="CD51" i="13"/>
  <c r="AZ75" i="13"/>
  <c r="BT62" i="13"/>
  <c r="CB63" i="13"/>
  <c r="BE79" i="13"/>
  <c r="AP77" i="13"/>
  <c r="BW52" i="13"/>
  <c r="BJ58" i="13"/>
  <c r="AO95" i="13"/>
  <c r="AS94" i="13"/>
  <c r="AZ93" i="13"/>
  <c r="AM50" i="13"/>
  <c r="CB72" i="13"/>
  <c r="BM60" i="13"/>
  <c r="CF53" i="13"/>
  <c r="BE71" i="13"/>
  <c r="AL63" i="13"/>
  <c r="BB90" i="13"/>
  <c r="BM50" i="13"/>
  <c r="AH88" i="13"/>
  <c r="BS93" i="13"/>
  <c r="AL93" i="13"/>
  <c r="AR50" i="13"/>
  <c r="AW66" i="13"/>
  <c r="CA83" i="13"/>
  <c r="CE79" i="13"/>
  <c r="BF68" i="13"/>
  <c r="CD60" i="13"/>
  <c r="BN96" i="13"/>
  <c r="BE100" i="13"/>
  <c r="CA96" i="13"/>
  <c r="AH99" i="13"/>
  <c r="AR55" i="13"/>
  <c r="BQ76" i="13"/>
  <c r="BP76" i="13"/>
  <c r="BH78" i="13"/>
  <c r="CC90" i="13"/>
  <c r="BZ72" i="13"/>
  <c r="BH82" i="13"/>
  <c r="BC73" i="13"/>
  <c r="BF86" i="13"/>
  <c r="BQ61" i="13"/>
  <c r="BC60" i="13"/>
  <c r="CD86" i="13"/>
  <c r="CC65" i="13"/>
  <c r="BL68" i="13"/>
  <c r="AQ77" i="13"/>
  <c r="CE75" i="13"/>
  <c r="AY94" i="13"/>
  <c r="AJ95" i="13"/>
  <c r="BM78" i="13"/>
  <c r="BQ95" i="13"/>
  <c r="AO50" i="13"/>
  <c r="BT52" i="13"/>
  <c r="BO85" i="13"/>
  <c r="AN82" i="13"/>
  <c r="BY91" i="13"/>
  <c r="AI81" i="13"/>
  <c r="CA89" i="13"/>
  <c r="BM93" i="13"/>
  <c r="BB94" i="13"/>
  <c r="AK97" i="13"/>
  <c r="AG62" i="13"/>
  <c r="BX51" i="13"/>
  <c r="AW75" i="13"/>
  <c r="AH54" i="13"/>
  <c r="AZ67" i="13"/>
  <c r="BT78" i="13"/>
  <c r="BG56" i="13"/>
  <c r="AK79" i="13"/>
  <c r="AK95" i="13"/>
  <c r="BP92" i="13"/>
  <c r="BL85" i="13"/>
  <c r="CE97" i="13"/>
  <c r="AM83" i="13"/>
  <c r="BA95" i="13"/>
  <c r="AW97" i="13"/>
  <c r="BQ100" i="13"/>
  <c r="CF70" i="13"/>
  <c r="AP71" i="13"/>
  <c r="BE93" i="13"/>
  <c r="AO89" i="13"/>
  <c r="CF62" i="13"/>
  <c r="BW94" i="13"/>
  <c r="AV95" i="13"/>
  <c r="CD96" i="13"/>
  <c r="BW74" i="13"/>
  <c r="BU79" i="13"/>
  <c r="BU62" i="13"/>
  <c r="BN53" i="13"/>
  <c r="BH84" i="13"/>
  <c r="AG92" i="13"/>
  <c r="BV92" i="13"/>
  <c r="AG96" i="13"/>
  <c r="BR95" i="13"/>
  <c r="AN80" i="13"/>
  <c r="BX72" i="13"/>
  <c r="BQ88" i="13"/>
  <c r="CF65" i="13"/>
  <c r="BN66" i="13"/>
  <c r="CC73" i="13"/>
  <c r="BQ80" i="13"/>
  <c r="BR93" i="13"/>
  <c r="CE50" i="13"/>
  <c r="AW95" i="13"/>
  <c r="AS84" i="13"/>
  <c r="BC66" i="13"/>
  <c r="AY93" i="13"/>
  <c r="CB57" i="13"/>
  <c r="AL74" i="13"/>
  <c r="BE74" i="13"/>
  <c r="AH78" i="13"/>
  <c r="AP91" i="13"/>
  <c r="BV91" i="13"/>
  <c r="CA94" i="13"/>
  <c r="CC95" i="13"/>
  <c r="AS100" i="13"/>
  <c r="BD68" i="13"/>
  <c r="AZ50" i="13"/>
  <c r="CE92" i="13"/>
  <c r="AR97" i="13"/>
  <c r="CF60" i="13"/>
  <c r="AW94" i="13"/>
  <c r="BV94" i="13"/>
  <c r="AJ94" i="13"/>
  <c r="CB69" i="13"/>
  <c r="AQ76" i="13"/>
  <c r="BB57" i="13"/>
  <c r="CF51" i="13"/>
  <c r="AW74" i="13"/>
  <c r="BS91" i="13"/>
  <c r="BH92" i="13"/>
  <c r="AI93" i="13"/>
  <c r="BD95" i="13"/>
  <c r="BP79" i="13"/>
  <c r="BH69" i="13"/>
  <c r="BC88" i="13"/>
  <c r="BP75" i="13"/>
  <c r="AM75" i="13"/>
  <c r="BT67" i="13"/>
  <c r="BE90" i="13"/>
  <c r="CA95" i="13"/>
  <c r="AQ73" i="13"/>
  <c r="CE93" i="13"/>
  <c r="CF100" i="13"/>
  <c r="AP76" i="13"/>
  <c r="BZ93" i="13"/>
  <c r="AP53" i="13"/>
  <c r="BR66" i="13"/>
  <c r="BM61" i="13"/>
  <c r="BV73" i="13"/>
  <c r="BJ85" i="13"/>
  <c r="BJ91" i="13"/>
  <c r="BI94" i="13"/>
  <c r="BZ99" i="13"/>
  <c r="BU65" i="13"/>
  <c r="BG85" i="13"/>
  <c r="AP88" i="13"/>
  <c r="BR96" i="13"/>
  <c r="BL58" i="13"/>
  <c r="BW93" i="13"/>
  <c r="AV94" i="13"/>
  <c r="AN100" i="13"/>
  <c r="AS67" i="13"/>
  <c r="BO98" i="13"/>
  <c r="BC54" i="13"/>
  <c r="BH50" i="13"/>
  <c r="AO73" i="13"/>
  <c r="BN90" i="13"/>
  <c r="CF91" i="13"/>
  <c r="CE91" i="13"/>
  <c r="CB94" i="13"/>
  <c r="BG77" i="13"/>
  <c r="BD52" i="13"/>
  <c r="CA87" i="13"/>
  <c r="CD73" i="13"/>
  <c r="CC71" i="13"/>
  <c r="CB64" i="13"/>
  <c r="BA96" i="13"/>
  <c r="AL99" i="13"/>
  <c r="BK73" i="13"/>
  <c r="BO65" i="13"/>
  <c r="CD99" i="13"/>
  <c r="AM81" i="13"/>
  <c r="BA85" i="13"/>
  <c r="BW96" i="13"/>
  <c r="BP87" i="13"/>
  <c r="AN77" i="13"/>
  <c r="BS69" i="13"/>
  <c r="BL99" i="13"/>
  <c r="AG67" i="13"/>
  <c r="CB90" i="13"/>
  <c r="AO93" i="13"/>
  <c r="AZ96" i="13"/>
  <c r="BV63" i="13"/>
  <c r="CF78" i="13"/>
  <c r="BA87" i="13"/>
  <c r="BX95" i="13"/>
  <c r="CD55" i="13"/>
  <c r="AL90" i="13"/>
  <c r="BB93" i="13"/>
  <c r="BP99" i="13"/>
  <c r="BL65" i="13"/>
  <c r="BD96" i="13"/>
  <c r="BC97" i="13"/>
  <c r="CB100" i="13"/>
  <c r="BT71" i="13"/>
  <c r="BJ78" i="13"/>
  <c r="BR91" i="13"/>
  <c r="AV91" i="13"/>
  <c r="BF92" i="13"/>
  <c r="BO74" i="13"/>
  <c r="BM51" i="13"/>
  <c r="AG86" i="13"/>
  <c r="AJ70" i="13"/>
  <c r="AZ65" i="13"/>
  <c r="AX58" i="13"/>
  <c r="BW66" i="13"/>
  <c r="AU69" i="13"/>
  <c r="AT65" i="13"/>
  <c r="AK65" i="13"/>
  <c r="BG58" i="13"/>
  <c r="BF66" i="13"/>
  <c r="AT46" i="13" a="1"/>
  <c r="AT46" i="13" s="1"/>
  <c r="AT42" i="13" a="1"/>
  <c r="AT42" i="13" s="1"/>
  <c r="AT45" i="13" a="1"/>
  <c r="AT45" i="13" s="1"/>
  <c r="AT44" i="13" a="1"/>
  <c r="AT44" i="13" s="1"/>
  <c r="BB61" i="13"/>
  <c r="AJ66" i="13"/>
  <c r="BA67" i="13"/>
  <c r="AR63" i="13"/>
  <c r="AH87" i="13"/>
  <c r="BX75" i="13"/>
  <c r="AV77" i="13"/>
  <c r="BU66" i="13"/>
  <c r="AS41" i="13"/>
  <c r="AS32" i="13" s="1"/>
  <c r="AP61" i="13"/>
  <c r="BT86" i="13"/>
  <c r="BD75" i="13"/>
  <c r="AJ60" i="13"/>
  <c r="AW63" i="13"/>
  <c r="BN50" i="13"/>
  <c r="CE62" i="13"/>
  <c r="BE86" i="13"/>
  <c r="BI97" i="13"/>
  <c r="BF100" i="13"/>
  <c r="BF74" i="13"/>
  <c r="BY73" i="13"/>
  <c r="BF83" i="13"/>
  <c r="BT91" i="13"/>
  <c r="BR50" i="13"/>
  <c r="BF75" i="13"/>
  <c r="AQ90" i="13"/>
  <c r="BU92" i="13"/>
  <c r="AJ97" i="13"/>
  <c r="CA57" i="13"/>
  <c r="BM83" i="13"/>
  <c r="BZ80" i="13"/>
  <c r="AK72" i="13"/>
  <c r="AI87" i="13"/>
  <c r="BP66" i="13"/>
  <c r="BK60" i="13"/>
  <c r="AI56" i="13"/>
  <c r="BW54" i="13"/>
  <c r="AU50" i="13"/>
  <c r="AW60" i="13"/>
  <c r="BW79" i="13"/>
  <c r="AI97" i="13"/>
  <c r="AG98" i="13"/>
  <c r="AR67" i="13"/>
  <c r="AV72" i="13"/>
  <c r="BB82" i="13"/>
  <c r="BC91" i="13"/>
  <c r="CA100" i="13"/>
  <c r="BS71" i="13"/>
  <c r="BI78" i="13"/>
  <c r="BG92" i="13"/>
  <c r="BV96" i="13"/>
  <c r="AZ56" i="13"/>
  <c r="AK83" i="13"/>
  <c r="BE80" i="13"/>
  <c r="BX68" i="13"/>
  <c r="BG86" i="13"/>
  <c r="AU66" i="13"/>
  <c r="AM64" i="13"/>
  <c r="AP51" i="13"/>
  <c r="AI50" i="13"/>
  <c r="AS61" i="13"/>
  <c r="AG61" i="13"/>
  <c r="BH54" i="13"/>
  <c r="BK71" i="13"/>
  <c r="BN58" i="13"/>
  <c r="BR74" i="13"/>
  <c r="BC62" i="13"/>
  <c r="AG75" i="13"/>
  <c r="AT63" i="13"/>
  <c r="AJ81" i="13"/>
  <c r="CB66" i="13"/>
  <c r="AU80" i="13"/>
  <c r="AY65" i="13"/>
  <c r="BT79" i="13"/>
  <c r="AZ63" i="13"/>
  <c r="BF76" i="13"/>
  <c r="BD59" i="13"/>
  <c r="BH74" i="13"/>
  <c r="CB55" i="13"/>
  <c r="BO71" i="13"/>
  <c r="BX58" i="13"/>
  <c r="AU78" i="13"/>
  <c r="BX87" i="13"/>
  <c r="BQ66" i="13"/>
  <c r="BE82" i="13"/>
  <c r="BI90" i="13"/>
  <c r="AH68" i="13"/>
  <c r="BF82" i="13"/>
  <c r="BJ90" i="13"/>
  <c r="BA65" i="13"/>
  <c r="AX78" i="13"/>
  <c r="BO84" i="13"/>
  <c r="CE88" i="13"/>
  <c r="AW56" i="13"/>
  <c r="BI67" i="13"/>
  <c r="CC77" i="13"/>
  <c r="BZ83" i="13"/>
  <c r="CD59" i="13"/>
  <c r="CB70" i="13"/>
  <c r="BO79" i="13"/>
  <c r="BE52" i="13"/>
  <c r="BV64" i="13"/>
  <c r="CD75" i="13"/>
  <c r="BJ82" i="13"/>
  <c r="BZ86" i="13"/>
  <c r="BW64" i="13"/>
  <c r="AW82" i="13"/>
  <c r="BW89" i="13"/>
  <c r="AL94" i="13"/>
  <c r="BZ97" i="13"/>
  <c r="BD50" i="13"/>
  <c r="AM69" i="13"/>
  <c r="BZ82" i="13"/>
  <c r="AJ89" i="13"/>
  <c r="BK93" i="13"/>
  <c r="AY97" i="13"/>
  <c r="BP50" i="13"/>
  <c r="AX66" i="13"/>
  <c r="BT81" i="13"/>
  <c r="AV88" i="13"/>
  <c r="AJ93" i="13"/>
  <c r="BX96" i="13"/>
  <c r="BL100" i="13"/>
  <c r="BJ63" i="13"/>
  <c r="AR80" i="13"/>
  <c r="BF87" i="13"/>
  <c r="BI92" i="13"/>
  <c r="AW96" i="13"/>
  <c r="AK100" i="13"/>
  <c r="BV60" i="13"/>
  <c r="BK78" i="13"/>
  <c r="BP86" i="13"/>
  <c r="AH92" i="13"/>
  <c r="BV95" i="13"/>
  <c r="BJ99" i="13"/>
  <c r="BG59" i="13"/>
  <c r="BS77" i="13"/>
  <c r="AW86" i="13"/>
  <c r="BU91" i="13"/>
  <c r="BI95" i="13"/>
  <c r="BB64" i="13"/>
  <c r="BB86" i="13"/>
  <c r="BM94" i="13"/>
  <c r="CC100" i="13"/>
  <c r="BG61" i="13"/>
  <c r="AY62" i="13"/>
  <c r="BY54" i="13"/>
  <c r="AO72" i="13"/>
  <c r="CD58" i="13"/>
  <c r="BH75" i="13"/>
  <c r="AI63" i="13"/>
  <c r="AU75" i="13"/>
  <c r="BP65" i="13"/>
  <c r="BZ81" i="13"/>
  <c r="BO67" i="13"/>
  <c r="BI80" i="13"/>
  <c r="AW67" i="13"/>
  <c r="AH80" i="13"/>
  <c r="BI64" i="13"/>
  <c r="BW76" i="13"/>
  <c r="BW59" i="13"/>
  <c r="BJ75" i="13"/>
  <c r="BZ57" i="13"/>
  <c r="AG72" i="13"/>
  <c r="BL59" i="13"/>
  <c r="BQ78" i="13"/>
  <c r="AP89" i="13"/>
  <c r="AY67" i="13"/>
  <c r="BS82" i="13"/>
  <c r="BW90" i="13"/>
  <c r="BV68" i="13"/>
  <c r="BT82" i="13"/>
  <c r="BJ51" i="13"/>
  <c r="AG66" i="13"/>
  <c r="BV78" i="13"/>
  <c r="CC84" i="13"/>
  <c r="AS89" i="13"/>
  <c r="AG57" i="13"/>
  <c r="AQ68" i="13"/>
  <c r="AY78" i="13"/>
  <c r="AN84" i="13"/>
  <c r="BL60" i="13"/>
  <c r="BI71" i="13"/>
  <c r="AK80" i="13"/>
  <c r="AS53" i="13"/>
  <c r="BF65" i="13"/>
  <c r="BH76" i="13"/>
  <c r="BX82" i="13"/>
  <c r="AN87" i="13"/>
  <c r="AV66" i="13"/>
  <c r="BY82" i="13"/>
  <c r="AO90" i="13"/>
  <c r="AZ94" i="13"/>
  <c r="AN98" i="13"/>
  <c r="AK50" i="13"/>
  <c r="AW70" i="13"/>
  <c r="BB83" i="13"/>
  <c r="BB89" i="13"/>
  <c r="BY93" i="13"/>
  <c r="BM97" i="13"/>
  <c r="AQ50" i="13"/>
  <c r="BW67" i="13"/>
  <c r="AY82" i="13"/>
  <c r="BS88" i="13"/>
  <c r="AX93" i="13"/>
  <c r="AL97" i="13"/>
  <c r="BZ100" i="13"/>
  <c r="AH65" i="13"/>
  <c r="AG81" i="13"/>
  <c r="CC87" i="13"/>
  <c r="BW92" i="13"/>
  <c r="BK96" i="13"/>
  <c r="AY100" i="13"/>
  <c r="AU62" i="13"/>
  <c r="BB79" i="13"/>
  <c r="AM87" i="13"/>
  <c r="AV92" i="13"/>
  <c r="AJ96" i="13"/>
  <c r="BX99" i="13"/>
  <c r="BZ60" i="13"/>
  <c r="BL78" i="13"/>
  <c r="BQ86" i="13"/>
  <c r="AI92" i="13"/>
  <c r="BW95" i="13"/>
  <c r="AP67" i="13"/>
  <c r="AQ87" i="13"/>
  <c r="AM95" i="13"/>
  <c r="BY50" i="13"/>
  <c r="BK52" i="13"/>
  <c r="AQ64" i="13"/>
  <c r="BU64" i="13"/>
  <c r="AY57" i="13"/>
  <c r="BL73" i="13"/>
  <c r="BD61" i="13"/>
  <c r="BV75" i="13"/>
  <c r="BM64" i="13"/>
  <c r="BI75" i="13"/>
  <c r="BZ68" i="13"/>
  <c r="AV51" i="13"/>
  <c r="AM68" i="13"/>
  <c r="AY81" i="13"/>
  <c r="BP67" i="13"/>
  <c r="BX80" i="13"/>
  <c r="CE64" i="13"/>
  <c r="AK77" i="13"/>
  <c r="AI61" i="13"/>
  <c r="BZ76" i="13"/>
  <c r="AJ59" i="13"/>
  <c r="AR74" i="13"/>
  <c r="AX60" i="13"/>
  <c r="AL79" i="13"/>
  <c r="AT90" i="13"/>
  <c r="BD69" i="13"/>
  <c r="AU83" i="13"/>
  <c r="AK91" i="13"/>
  <c r="BE69" i="13"/>
  <c r="AZ84" i="13"/>
  <c r="AN53" i="13"/>
  <c r="AP68" i="13"/>
  <c r="BM79" i="13"/>
  <c r="AQ85" i="13"/>
  <c r="BG89" i="13"/>
  <c r="BM57" i="13"/>
  <c r="BG69" i="13"/>
  <c r="AS79" i="13"/>
  <c r="BB84" i="13"/>
  <c r="AR61" i="13"/>
  <c r="AM72" i="13"/>
  <c r="BF80" i="13"/>
  <c r="BX54" i="13"/>
  <c r="BY66" i="13"/>
  <c r="AG77" i="13"/>
  <c r="AL83" i="13"/>
  <c r="BB87" i="13"/>
  <c r="BL67" i="13"/>
  <c r="CC83" i="13"/>
  <c r="BG90" i="13"/>
  <c r="BN94" i="13"/>
  <c r="BB98" i="13"/>
  <c r="CB51" i="13"/>
  <c r="BQ71" i="13"/>
  <c r="CD83" i="13"/>
  <c r="BX89" i="13"/>
  <c r="AM94" i="13"/>
  <c r="CA97" i="13"/>
  <c r="BE50" i="13"/>
  <c r="AN69" i="13"/>
  <c r="CA82" i="13"/>
  <c r="AK89" i="13"/>
  <c r="BL93" i="13"/>
  <c r="AZ97" i="13"/>
  <c r="BQ50" i="13"/>
  <c r="AZ66" i="13"/>
  <c r="BU81" i="13"/>
  <c r="AW88" i="13"/>
  <c r="AK93" i="13"/>
  <c r="BY96" i="13"/>
  <c r="BM100" i="13"/>
  <c r="BK63" i="13"/>
  <c r="AS80" i="13"/>
  <c r="BG87" i="13"/>
  <c r="BJ92" i="13"/>
  <c r="AX96" i="13"/>
  <c r="AL100" i="13"/>
  <c r="AV62" i="13"/>
  <c r="BC79" i="13"/>
  <c r="AO87" i="13"/>
  <c r="AW92" i="13"/>
  <c r="AK96" i="13"/>
  <c r="BV69" i="13"/>
  <c r="BU87" i="13"/>
  <c r="BM95" i="13"/>
  <c r="BJ50" i="13"/>
  <c r="AT55" i="13"/>
  <c r="BU68" i="13"/>
  <c r="BY65" i="13"/>
  <c r="BM58" i="13"/>
  <c r="BQ74" i="13"/>
  <c r="BZ65" i="13"/>
  <c r="AZ52" i="13"/>
  <c r="CA65" i="13"/>
  <c r="AQ51" i="13"/>
  <c r="AL71" i="13"/>
  <c r="CC54" i="13"/>
  <c r="AY70" i="13"/>
  <c r="CD54" i="13"/>
  <c r="BV70" i="13"/>
  <c r="AP52" i="13"/>
  <c r="AN66" i="13"/>
  <c r="BJ52" i="13"/>
  <c r="BC65" i="13"/>
  <c r="BB77" i="13"/>
  <c r="BO60" i="13"/>
  <c r="BK75" i="13"/>
  <c r="BN61" i="13"/>
  <c r="BD82" i="13"/>
  <c r="AX91" i="13"/>
  <c r="BN70" i="13"/>
  <c r="BC85" i="13"/>
  <c r="BR54" i="13"/>
  <c r="CE73" i="13"/>
  <c r="BD85" i="13"/>
  <c r="AV56" i="13"/>
  <c r="AR70" i="13"/>
  <c r="BD80" i="13"/>
  <c r="BS85" i="13"/>
  <c r="AI90" i="13"/>
  <c r="BV59" i="13"/>
  <c r="BC71" i="13"/>
  <c r="AJ80" i="13"/>
  <c r="CD84" i="13"/>
  <c r="BP62" i="13"/>
  <c r="BG73" i="13"/>
  <c r="BO81" i="13"/>
  <c r="AN57" i="13"/>
  <c r="AW68" i="13"/>
  <c r="AG78" i="13"/>
  <c r="BN83" i="13"/>
  <c r="CD87" i="13"/>
  <c r="BP71" i="13"/>
  <c r="AW85" i="13"/>
  <c r="AU91" i="13"/>
  <c r="AP95" i="13"/>
  <c r="CD98" i="13"/>
  <c r="AL55" i="13"/>
  <c r="AT74" i="13"/>
  <c r="BY84" i="13"/>
  <c r="BL90" i="13"/>
  <c r="BO94" i="13"/>
  <c r="BC98" i="13"/>
  <c r="CC51" i="13"/>
  <c r="BR71" i="13"/>
  <c r="CE83" i="13"/>
  <c r="BY89" i="13"/>
  <c r="AN94" i="13"/>
  <c r="CB97" i="13"/>
  <c r="BF50" i="13"/>
  <c r="AO69" i="13"/>
  <c r="CB82" i="13"/>
  <c r="AL89" i="13"/>
  <c r="BS53" i="13"/>
  <c r="AY69" i="13"/>
  <c r="BA62" i="13"/>
  <c r="AV53" i="13"/>
  <c r="BB67" i="13"/>
  <c r="AT54" i="13"/>
  <c r="AM67" i="13"/>
  <c r="AU57" i="13"/>
  <c r="BQ73" i="13"/>
  <c r="BH56" i="13"/>
  <c r="BD76" i="13"/>
  <c r="BI56" i="13"/>
  <c r="BM72" i="13"/>
  <c r="AN54" i="13"/>
  <c r="CC68" i="13"/>
  <c r="BX53" i="13"/>
  <c r="AH67" i="13"/>
  <c r="BX79" i="13"/>
  <c r="BP64" i="13"/>
  <c r="CA76" i="13"/>
  <c r="CD67" i="13"/>
  <c r="AJ84" i="13"/>
  <c r="BX56" i="13"/>
  <c r="AV76" i="13"/>
  <c r="AS86" i="13"/>
  <c r="BY56" i="13"/>
  <c r="AZ76" i="13"/>
  <c r="BV86" i="13"/>
  <c r="BA58" i="13"/>
  <c r="BV72" i="13"/>
  <c r="BJ81" i="13"/>
  <c r="BI86" i="13"/>
  <c r="AM91" i="13"/>
  <c r="BL62" i="13"/>
  <c r="BD73" i="13"/>
  <c r="AS81" i="13"/>
  <c r="AR53" i="13"/>
  <c r="BT64" i="13"/>
  <c r="CC75" i="13"/>
  <c r="BW82" i="13"/>
  <c r="AP59" i="13"/>
  <c r="AU70" i="13"/>
  <c r="AU79" i="13"/>
  <c r="BD84" i="13"/>
  <c r="BB53" i="13"/>
  <c r="BN76" i="13"/>
  <c r="BK86" i="13"/>
  <c r="AR92" i="13"/>
  <c r="CF95" i="13"/>
  <c r="BT99" i="13"/>
  <c r="AR59" i="13"/>
  <c r="BI77" i="13"/>
  <c r="AO86" i="13"/>
  <c r="BQ91" i="13"/>
  <c r="BE95" i="13"/>
  <c r="AS99" i="13"/>
  <c r="BK56" i="13"/>
  <c r="BE75" i="13"/>
  <c r="AY85" i="13"/>
  <c r="CE90" i="13"/>
  <c r="CD94" i="13"/>
  <c r="BR98" i="13"/>
  <c r="BI53" i="13"/>
  <c r="AK73" i="13"/>
  <c r="BG84" i="13"/>
  <c r="AR90" i="13"/>
  <c r="BC94" i="13"/>
  <c r="AQ98" i="13"/>
  <c r="AN50" i="13"/>
  <c r="BJ70" i="13"/>
  <c r="BE83" i="13"/>
  <c r="BI89" i="13"/>
  <c r="CB93" i="13"/>
  <c r="BP97" i="13"/>
  <c r="AT50" i="13"/>
  <c r="AQ69" i="13"/>
  <c r="CD82" i="13"/>
  <c r="AN89" i="13"/>
  <c r="BO93" i="13"/>
  <c r="BE57" i="13"/>
  <c r="AQ53" i="13"/>
  <c r="AW72" i="13"/>
  <c r="BP52" i="13"/>
  <c r="AW71" i="13"/>
  <c r="AI71" i="13"/>
  <c r="BZ62" i="13"/>
  <c r="AW59" i="13"/>
  <c r="BM81" i="13"/>
  <c r="AN76" i="13"/>
  <c r="BJ66" i="13"/>
  <c r="BZ55" i="13"/>
  <c r="BJ79" i="13"/>
  <c r="AQ70" i="13"/>
  <c r="AY71" i="13"/>
  <c r="AV87" i="13"/>
  <c r="BV77" i="13"/>
  <c r="AM53" i="13"/>
  <c r="AQ81" i="13"/>
  <c r="CF56" i="13"/>
  <c r="AR75" i="13"/>
  <c r="AU86" i="13"/>
  <c r="BT54" i="13"/>
  <c r="AG74" i="13"/>
  <c r="AX83" i="13"/>
  <c r="BX66" i="13"/>
  <c r="CA80" i="13"/>
  <c r="AT61" i="13"/>
  <c r="BD78" i="13"/>
  <c r="AJ86" i="13"/>
  <c r="AY75" i="13"/>
  <c r="BM88" i="13"/>
  <c r="AT96" i="13"/>
  <c r="AP50" i="13"/>
  <c r="AY79" i="13"/>
  <c r="AP90" i="13"/>
  <c r="AU96" i="13"/>
  <c r="BH53" i="13"/>
  <c r="AZ79" i="13"/>
  <c r="BM90" i="13"/>
  <c r="AV96" i="13"/>
  <c r="AN55" i="13"/>
  <c r="BA79" i="13"/>
  <c r="CF90" i="13"/>
  <c r="AI96" i="13"/>
  <c r="BG50" i="13"/>
  <c r="BL75" i="13"/>
  <c r="AX88" i="13"/>
  <c r="BD94" i="13"/>
  <c r="AV99" i="13"/>
  <c r="CB67" i="13"/>
  <c r="AI85" i="13"/>
  <c r="BY92" i="13"/>
  <c r="BQ97" i="13"/>
  <c r="AQ84" i="13"/>
  <c r="AM96" i="13"/>
  <c r="AY64" i="13"/>
  <c r="BW69" i="13"/>
  <c r="AG88" i="13"/>
  <c r="BN95" i="13"/>
  <c r="BK50" i="13"/>
  <c r="AV81" i="13"/>
  <c r="CA91" i="13"/>
  <c r="BA98" i="13"/>
  <c r="CE82" i="13"/>
  <c r="BB72" i="13"/>
  <c r="BW88" i="13"/>
  <c r="AP96" i="13"/>
  <c r="BV52" i="13"/>
  <c r="BK82" i="13"/>
  <c r="BC92" i="13"/>
  <c r="CA98" i="13"/>
  <c r="AH50" i="13"/>
  <c r="BD97" i="13"/>
  <c r="CA79" i="13"/>
  <c r="BG91" i="13"/>
  <c r="BS99" i="13"/>
  <c r="BU100" i="13"/>
  <c r="BC81" i="13"/>
  <c r="AK92" i="13"/>
  <c r="BJ98" i="13"/>
  <c r="BX81" i="13"/>
  <c r="AY54" i="13"/>
  <c r="BE88" i="13"/>
  <c r="BO53" i="13"/>
  <c r="BN82" i="13"/>
  <c r="BL92" i="13"/>
  <c r="AI99" i="13"/>
  <c r="BP82" i="13"/>
  <c r="AX64" i="13"/>
  <c r="AV98" i="13"/>
  <c r="BF81" i="13"/>
  <c r="AM92" i="13"/>
  <c r="BL98" i="13"/>
  <c r="BM98" i="13"/>
  <c r="AN99" i="13"/>
  <c r="AL96" i="13"/>
  <c r="AT89" i="13"/>
  <c r="BA86" i="13"/>
  <c r="BY97" i="13"/>
  <c r="AX62" i="13"/>
  <c r="BX91" i="13"/>
  <c r="AU54" i="13"/>
  <c r="AL56" i="13"/>
  <c r="AR72" i="13"/>
  <c r="AP56" i="13"/>
  <c r="AR58" i="13"/>
  <c r="AI75" i="13"/>
  <c r="AS56" i="13"/>
  <c r="BA60" i="13"/>
  <c r="AY87" i="13"/>
  <c r="BE53" i="13"/>
  <c r="BK53" i="13"/>
  <c r="CB53" i="13"/>
  <c r="CA71" i="13"/>
  <c r="BM71" i="13"/>
  <c r="AR69" i="13"/>
  <c r="BG62" i="13"/>
  <c r="BR55" i="13"/>
  <c r="BE76" i="13"/>
  <c r="CE66" i="13"/>
  <c r="AT56" i="13"/>
  <c r="BN80" i="13"/>
  <c r="BI70" i="13"/>
  <c r="CE71" i="13"/>
  <c r="BH90" i="13"/>
  <c r="AV78" i="13"/>
  <c r="BI55" i="13"/>
  <c r="BI81" i="13"/>
  <c r="BL57" i="13"/>
  <c r="BY75" i="13"/>
  <c r="AK87" i="13"/>
  <c r="BL55" i="13"/>
  <c r="BM74" i="13"/>
  <c r="BP84" i="13"/>
  <c r="AV68" i="13"/>
  <c r="AG82" i="13"/>
  <c r="CE61" i="13"/>
  <c r="BY78" i="13"/>
  <c r="AX86" i="13"/>
  <c r="BH77" i="13"/>
  <c r="AI89" i="13"/>
  <c r="BH96" i="13"/>
  <c r="BG53" i="13"/>
  <c r="AP80" i="13"/>
  <c r="CD90" i="13"/>
  <c r="BI96" i="13"/>
  <c r="AM55" i="13"/>
  <c r="AQ80" i="13"/>
  <c r="AW91" i="13"/>
  <c r="BJ96" i="13"/>
  <c r="BL56" i="13"/>
  <c r="AZ82" i="13"/>
  <c r="BB91" i="13"/>
  <c r="AM97" i="13"/>
  <c r="CE51" i="13"/>
  <c r="BR76" i="13"/>
  <c r="BU88" i="13"/>
  <c r="BR94" i="13"/>
  <c r="AZ100" i="13"/>
  <c r="BK70" i="13"/>
  <c r="BF85" i="13"/>
  <c r="AM93" i="13"/>
  <c r="BU52" i="13"/>
  <c r="BW84" i="13"/>
  <c r="BG96" i="13"/>
  <c r="CF75" i="13"/>
  <c r="AX72" i="13"/>
  <c r="BK88" i="13"/>
  <c r="AN96" i="13"/>
  <c r="BS52" i="13"/>
  <c r="AO82" i="13"/>
  <c r="BA92" i="13"/>
  <c r="BY98" i="13"/>
  <c r="BR87" i="13"/>
  <c r="BX74" i="13"/>
  <c r="AY89" i="13"/>
  <c r="BP96" i="13"/>
  <c r="CC55" i="13"/>
  <c r="AS83" i="13"/>
  <c r="CC92" i="13"/>
  <c r="AY99" i="13"/>
  <c r="AO57" i="13"/>
  <c r="BB100" i="13"/>
  <c r="BB81" i="13"/>
  <c r="AJ92" i="13"/>
  <c r="BO100" i="13"/>
  <c r="BX52" i="13"/>
  <c r="BM82" i="13"/>
  <c r="BE92" i="13"/>
  <c r="CC98" i="13"/>
  <c r="BR83" i="13"/>
  <c r="BR68" i="13"/>
  <c r="AH89" i="13"/>
  <c r="CF55" i="13"/>
  <c r="BP83" i="13"/>
  <c r="CF92" i="13"/>
  <c r="BB99" i="13"/>
  <c r="BQ84" i="13"/>
  <c r="AM86" i="13"/>
  <c r="AP54" i="13"/>
  <c r="BO82" i="13"/>
  <c r="BM92" i="13"/>
  <c r="AJ99" i="13"/>
  <c r="CB99" i="13"/>
  <c r="AU89" i="13"/>
  <c r="AO99" i="13"/>
  <c r="AQ93" i="13"/>
  <c r="AW98" i="13"/>
  <c r="AQ91" i="13"/>
  <c r="AI78" i="13"/>
  <c r="BS87" i="13"/>
  <c r="AQ54" i="13"/>
  <c r="BC51" i="13"/>
  <c r="AJ73" i="13"/>
  <c r="BZ64" i="13"/>
  <c r="BL77" i="13"/>
  <c r="BH71" i="13"/>
  <c r="CB80" i="13"/>
  <c r="AQ75" i="13"/>
  <c r="BL91" i="13"/>
  <c r="BR78" i="13"/>
  <c r="CD81" i="13"/>
  <c r="BA76" i="13"/>
  <c r="BB58" i="13"/>
  <c r="AS57" i="13"/>
  <c r="AS59" i="13"/>
  <c r="AZ57" i="13"/>
  <c r="BM53" i="13"/>
  <c r="AQ74" i="13"/>
  <c r="AH74" i="13"/>
  <c r="BH66" i="13"/>
  <c r="BS59" i="13"/>
  <c r="AL81" i="13"/>
  <c r="AK74" i="13"/>
  <c r="BV65" i="13"/>
  <c r="BF53" i="13"/>
  <c r="BJ76" i="13"/>
  <c r="AU77" i="13"/>
  <c r="BJ57" i="13"/>
  <c r="BH81" i="13"/>
  <c r="AZ58" i="13"/>
  <c r="CB84" i="13"/>
  <c r="BJ62" i="13"/>
  <c r="BY80" i="13"/>
  <c r="AO88" i="13"/>
  <c r="CC61" i="13"/>
  <c r="BB76" i="13"/>
  <c r="AI54" i="13"/>
  <c r="AT70" i="13"/>
  <c r="AY83" i="13"/>
  <c r="BK67" i="13"/>
  <c r="CC80" i="13"/>
  <c r="AR88" i="13"/>
  <c r="AO80" i="13"/>
  <c r="CD91" i="13"/>
  <c r="AX97" i="13"/>
  <c r="BR60" i="13"/>
  <c r="AX82" i="13"/>
  <c r="AS92" i="13"/>
  <c r="AO98" i="13"/>
  <c r="BT60" i="13"/>
  <c r="BF84" i="13"/>
  <c r="AT92" i="13"/>
  <c r="BD98" i="13"/>
  <c r="BU60" i="13"/>
  <c r="AG85" i="13"/>
  <c r="AU92" i="13"/>
  <c r="CC97" i="13"/>
  <c r="BP56" i="13"/>
  <c r="BV81" i="13"/>
  <c r="AS90" i="13"/>
  <c r="BH95" i="13"/>
  <c r="BS50" i="13"/>
  <c r="AX74" i="13"/>
  <c r="CF87" i="13"/>
  <c r="AQ94" i="13"/>
  <c r="AH60" i="13"/>
  <c r="AV89" i="13"/>
  <c r="CF97" i="13"/>
  <c r="BC90" i="13"/>
  <c r="AK78" i="13"/>
  <c r="BQ90" i="13"/>
  <c r="BH97" i="13"/>
  <c r="AN60" i="13"/>
  <c r="AK85" i="13"/>
  <c r="BS57" i="13"/>
  <c r="AU68" i="13"/>
  <c r="BR67" i="13"/>
  <c r="AL67" i="13"/>
  <c r="AO61" i="13"/>
  <c r="BN57" i="13"/>
  <c r="BV80" i="13"/>
  <c r="AI77" i="13"/>
  <c r="BP69" i="13"/>
  <c r="CF58" i="13"/>
  <c r="AH53" i="13"/>
  <c r="BZ70" i="13"/>
  <c r="BF63" i="13"/>
  <c r="AH56" i="13"/>
  <c r="BB85" i="13"/>
  <c r="CE65" i="13"/>
  <c r="BU86" i="13"/>
  <c r="BP72" i="13"/>
  <c r="CD88" i="13"/>
  <c r="BX70" i="13"/>
  <c r="BU82" i="13"/>
  <c r="BY90" i="13"/>
  <c r="AH66" i="13"/>
  <c r="BK81" i="13"/>
  <c r="AO59" i="13"/>
  <c r="BF77" i="13"/>
  <c r="BO55" i="13"/>
  <c r="AN72" i="13"/>
  <c r="CB83" i="13"/>
  <c r="BP60" i="13"/>
  <c r="AN86" i="13"/>
  <c r="BJ93" i="13"/>
  <c r="AH100" i="13"/>
  <c r="BM67" i="13"/>
  <c r="CF86" i="13"/>
  <c r="BA94" i="13"/>
  <c r="AI100" i="13"/>
  <c r="AG73" i="13"/>
  <c r="AG87" i="13"/>
  <c r="BP94" i="13"/>
  <c r="AJ100" i="13"/>
  <c r="AV74" i="13"/>
  <c r="AL87" i="13"/>
  <c r="BQ94" i="13"/>
  <c r="BI99" i="13"/>
  <c r="CA67" i="13"/>
  <c r="AH85" i="13"/>
  <c r="BX92" i="13"/>
  <c r="CD97" i="13"/>
  <c r="BR56" i="13"/>
  <c r="BW81" i="13"/>
  <c r="AX90" i="13"/>
  <c r="AY96" i="13"/>
  <c r="AJ78" i="13"/>
  <c r="AY92" i="13"/>
  <c r="AG100" i="13"/>
  <c r="BC57" i="13"/>
  <c r="AR84" i="13"/>
  <c r="AT93" i="13"/>
  <c r="BO99" i="13"/>
  <c r="BA72" i="13"/>
  <c r="BL88" i="13"/>
  <c r="AO96" i="13"/>
  <c r="CF66" i="13"/>
  <c r="AT60" i="13"/>
  <c r="AL85" i="13"/>
  <c r="BV93" i="13"/>
  <c r="AO100" i="13"/>
  <c r="CA74" i="13"/>
  <c r="AZ89" i="13"/>
  <c r="BQ96" i="13"/>
  <c r="AK98" i="13"/>
  <c r="BA100" i="13"/>
  <c r="BL70" i="13"/>
  <c r="AK88" i="13"/>
  <c r="AR96" i="13"/>
  <c r="BT84" i="13"/>
  <c r="BH72" i="13"/>
  <c r="BZ88" i="13"/>
  <c r="AS96" i="13"/>
  <c r="BJ61" i="13"/>
  <c r="CB96" i="13"/>
  <c r="BQ82" i="13"/>
  <c r="CC86" i="13"/>
  <c r="CD74" i="13"/>
  <c r="AW58" i="13"/>
  <c r="AG71" i="13"/>
  <c r="BU56" i="13"/>
  <c r="AV61" i="13"/>
  <c r="BX71" i="13"/>
  <c r="BT75" i="13"/>
  <c r="AZ51" i="13"/>
  <c r="AT52" i="13"/>
  <c r="AQ58" i="13"/>
  <c r="AT58" i="13"/>
  <c r="AW87" i="13"/>
  <c r="BH86" i="13"/>
  <c r="CF73" i="13"/>
  <c r="BU89" i="13"/>
  <c r="BW72" i="13"/>
  <c r="AX56" i="13"/>
  <c r="BC78" i="13"/>
  <c r="BD63" i="13"/>
  <c r="AZ83" i="13"/>
  <c r="CA72" i="13"/>
  <c r="BT92" i="13"/>
  <c r="BJ100" i="13"/>
  <c r="BS81" i="13"/>
  <c r="AW93" i="13"/>
  <c r="AL50" i="13"/>
  <c r="BW85" i="13"/>
  <c r="BF95" i="13"/>
  <c r="BC59" i="13"/>
  <c r="BO86" i="13"/>
  <c r="BU95" i="13"/>
  <c r="BF59" i="13"/>
  <c r="BY85" i="13"/>
  <c r="AT95" i="13"/>
  <c r="AS55" i="13"/>
  <c r="BI84" i="13"/>
  <c r="BS94" i="13"/>
  <c r="BR80" i="13"/>
  <c r="BG97" i="13"/>
  <c r="BV50" i="13"/>
  <c r="AR87" i="13"/>
  <c r="AZ98" i="13"/>
  <c r="AT76" i="13"/>
  <c r="AU93" i="13"/>
  <c r="CE100" i="13"/>
  <c r="BX62" i="13"/>
  <c r="AI88" i="13"/>
  <c r="AI98" i="13"/>
  <c r="CD69" i="13"/>
  <c r="BT90" i="13"/>
  <c r="BR99" i="13"/>
  <c r="BC95" i="13"/>
  <c r="BB68" i="13"/>
  <c r="AM90" i="13"/>
  <c r="BV58" i="13"/>
  <c r="BT65" i="13"/>
  <c r="BL89" i="13"/>
  <c r="AL98" i="13"/>
  <c r="BD88" i="13"/>
  <c r="BM80" i="13"/>
  <c r="BJ95" i="13"/>
  <c r="BJ84" i="13"/>
  <c r="BF94" i="13"/>
  <c r="AX50" i="13"/>
  <c r="BH93" i="13"/>
  <c r="BH59" i="13"/>
  <c r="CE78" i="13"/>
  <c r="AG93" i="13"/>
  <c r="AT100" i="13"/>
  <c r="CD95" i="13"/>
  <c r="AL82" i="13"/>
  <c r="BT87" i="13"/>
  <c r="AR93" i="13"/>
  <c r="BW100" i="13"/>
  <c r="AR94" i="13"/>
  <c r="BK95" i="13"/>
  <c r="BK58" i="13"/>
  <c r="BC74" i="13"/>
  <c r="AK57" i="13"/>
  <c r="BO61" i="13"/>
  <c r="BU76" i="13"/>
  <c r="CD78" i="13"/>
  <c r="BL52" i="13"/>
  <c r="BY53" i="13"/>
  <c r="AH61" i="13"/>
  <c r="BN59" i="13"/>
  <c r="BS89" i="13"/>
  <c r="AN88" i="13"/>
  <c r="BL74" i="13"/>
  <c r="AW90" i="13"/>
  <c r="AV75" i="13"/>
  <c r="AM57" i="13"/>
  <c r="BX78" i="13"/>
  <c r="AH69" i="13"/>
  <c r="AP84" i="13"/>
  <c r="BE78" i="13"/>
  <c r="AH93" i="13"/>
  <c r="BX100" i="13"/>
  <c r="BE84" i="13"/>
  <c r="CC94" i="13"/>
  <c r="CC57" i="13"/>
  <c r="AP86" i="13"/>
  <c r="BT95" i="13"/>
  <c r="AR62" i="13"/>
  <c r="BT88" i="13"/>
  <c r="BA97" i="13"/>
  <c r="AL65" i="13"/>
  <c r="AV86" i="13"/>
  <c r="BL96" i="13"/>
  <c r="AK58" i="13"/>
  <c r="BZ85" i="13"/>
  <c r="AG95" i="13"/>
  <c r="AM82" i="13"/>
  <c r="AY98" i="13"/>
  <c r="AI60" i="13"/>
  <c r="AW89" i="13"/>
  <c r="BX98" i="13"/>
  <c r="AP78" i="13"/>
  <c r="BU93" i="13"/>
  <c r="CA50" i="13"/>
  <c r="BM65" i="13"/>
  <c r="AK90" i="13"/>
  <c r="BG98" i="13"/>
  <c r="BC72" i="13"/>
  <c r="BF91" i="13"/>
  <c r="AP100" i="13"/>
  <c r="CC96" i="13"/>
  <c r="BG72" i="13"/>
  <c r="BU90" i="13"/>
  <c r="AI95" i="13"/>
  <c r="BC68" i="13"/>
  <c r="AN90" i="13"/>
  <c r="BA99" i="13"/>
  <c r="BO89" i="13"/>
  <c r="AI82" i="13"/>
  <c r="AM99" i="13"/>
  <c r="AU85" i="13"/>
  <c r="BZ94" i="13"/>
  <c r="AJ50" i="13"/>
  <c r="AH95" i="13"/>
  <c r="BT83" i="13"/>
  <c r="BK80" i="13"/>
  <c r="BG93" i="13"/>
  <c r="BR100" i="13"/>
  <c r="BK99" i="13"/>
  <c r="BB54" i="13"/>
  <c r="AR57" i="13"/>
  <c r="AG60" i="13"/>
  <c r="AJ67" i="13"/>
  <c r="BF97" i="13"/>
  <c r="BV98" i="13"/>
  <c r="AL77" i="13"/>
  <c r="AP57" i="13"/>
  <c r="BZ90" i="13"/>
  <c r="BK91" i="13"/>
  <c r="BS83" i="13"/>
  <c r="AI86" i="13"/>
  <c r="AZ95" i="13"/>
  <c r="BV56" i="13"/>
  <c r="BQ89" i="13"/>
  <c r="BQ83" i="13"/>
  <c r="AG94" i="13"/>
  <c r="CF50" i="13"/>
  <c r="CD71" i="13"/>
  <c r="BU73" i="13"/>
  <c r="AP87" i="13"/>
  <c r="AX98" i="13"/>
  <c r="AT78" i="13"/>
  <c r="AN83" i="13"/>
  <c r="BI68" i="13"/>
  <c r="BC55" i="13"/>
  <c r="BS60" i="13"/>
  <c r="CE74" i="13"/>
  <c r="AS60" i="13"/>
  <c r="BJ72" i="13"/>
  <c r="BK77" i="13"/>
  <c r="AZ53" i="13"/>
  <c r="AV54" i="13"/>
  <c r="AW54" i="13"/>
  <c r="AZ62" i="13"/>
  <c r="AY60" i="13"/>
  <c r="AG90" i="13"/>
  <c r="BP88" i="13"/>
  <c r="AI80" i="13"/>
  <c r="BL51" i="13"/>
  <c r="BZ75" i="13"/>
  <c r="BC58" i="13"/>
  <c r="AT79" i="13"/>
  <c r="BL69" i="13"/>
  <c r="CF84" i="13"/>
  <c r="AX79" i="13"/>
  <c r="AV93" i="13"/>
  <c r="BO50" i="13"/>
  <c r="AX85" i="13"/>
  <c r="AQ95" i="13"/>
  <c r="BB59" i="13"/>
  <c r="BN86" i="13"/>
  <c r="AH96" i="13"/>
  <c r="BX67" i="13"/>
  <c r="BH89" i="13"/>
  <c r="BO97" i="13"/>
  <c r="BB66" i="13"/>
  <c r="CE87" i="13"/>
  <c r="BZ96" i="13"/>
  <c r="BL63" i="13"/>
  <c r="BH87" i="13"/>
  <c r="AU95" i="13"/>
  <c r="AO83" i="13"/>
  <c r="BW98" i="13"/>
  <c r="BV62" i="13"/>
  <c r="CE89" i="13"/>
  <c r="AQ99" i="13"/>
  <c r="BV79" i="13"/>
  <c r="AU94" i="13"/>
  <c r="BL50" i="13"/>
  <c r="CC67" i="13"/>
  <c r="BS90" i="13"/>
  <c r="BZ98" i="13"/>
  <c r="CC91" i="13"/>
  <c r="BI100" i="13"/>
  <c r="BN98" i="13"/>
  <c r="CB74" i="13"/>
  <c r="CD92" i="13"/>
  <c r="CD70" i="13"/>
  <c r="BY99" i="13"/>
  <c r="BB50" i="13"/>
  <c r="BB96" i="13"/>
  <c r="BA54" i="13"/>
  <c r="BD100" i="13"/>
  <c r="BK65" i="13"/>
  <c r="AJ57" i="13"/>
  <c r="BV61" i="13"/>
  <c r="AL76" i="13"/>
  <c r="BY77" i="13"/>
  <c r="BU53" i="13"/>
  <c r="BO54" i="13"/>
  <c r="BE59" i="13"/>
  <c r="CD65" i="13"/>
  <c r="BJ64" i="13"/>
  <c r="BK57" i="13"/>
  <c r="AR89" i="13"/>
  <c r="AR81" i="13"/>
  <c r="BC52" i="13"/>
  <c r="CE76" i="13"/>
  <c r="CD61" i="13"/>
  <c r="BI82" i="13"/>
  <c r="CC70" i="13"/>
  <c r="AT85" i="13"/>
  <c r="CD80" i="13"/>
  <c r="BX93" i="13"/>
  <c r="BF56" i="13"/>
  <c r="BU85" i="13"/>
  <c r="BS95" i="13"/>
  <c r="AQ62" i="13"/>
  <c r="BE87" i="13"/>
  <c r="BN97" i="13"/>
  <c r="BG70" i="13"/>
  <c r="BZ89" i="13"/>
  <c r="BE98" i="13"/>
  <c r="AP69" i="13"/>
  <c r="AM89" i="13"/>
  <c r="AN97" i="13"/>
  <c r="AM65" i="13"/>
  <c r="AY88" i="13"/>
  <c r="BM96" i="13"/>
  <c r="BM85" i="13"/>
  <c r="AP99" i="13"/>
  <c r="AN65" i="13"/>
  <c r="AS91" i="13"/>
  <c r="AM100" i="13"/>
  <c r="AQ83" i="13"/>
  <c r="BU94" i="13"/>
  <c r="AO92" i="13"/>
  <c r="CC69" i="13"/>
  <c r="BE91" i="13"/>
  <c r="AX99" i="13"/>
  <c r="BC93" i="13"/>
  <c r="CB50" i="13"/>
  <c r="BE99" i="13"/>
  <c r="AM77" i="13"/>
  <c r="BD93" i="13"/>
  <c r="AQ71" i="13"/>
  <c r="CC74" i="13"/>
  <c r="BH91" i="13"/>
  <c r="AR100" i="13"/>
  <c r="AH94" i="13"/>
  <c r="BS84" i="13"/>
  <c r="BS58" i="13"/>
  <c r="BX86" i="13"/>
  <c r="BZ95" i="13"/>
  <c r="AP64" i="13"/>
  <c r="BV97" i="13"/>
  <c r="BJ94" i="13"/>
  <c r="BK84" i="13"/>
  <c r="BG94" i="13"/>
  <c r="AY50" i="13"/>
  <c r="AU71" i="13"/>
  <c r="BU83" i="13"/>
  <c r="AK82" i="13"/>
  <c r="BR69" i="13"/>
  <c r="AZ64" i="13"/>
  <c r="BP57" i="13"/>
  <c r="BJ65" i="13"/>
  <c r="AH77" i="13"/>
  <c r="AM78" i="13"/>
  <c r="CE54" i="13"/>
  <c r="AJ61" i="13"/>
  <c r="BY76" i="13"/>
  <c r="BC100" i="13"/>
  <c r="AQ92" i="13"/>
  <c r="BO87" i="13"/>
  <c r="AO64" i="13"/>
  <c r="BK98" i="13"/>
  <c r="BL61" i="13"/>
  <c r="BS97" i="13"/>
  <c r="BO80" i="13"/>
  <c r="AP93" i="13"/>
  <c r="BJ86" i="13"/>
  <c r="CA85" i="13"/>
  <c r="CA92" i="13"/>
  <c r="AR91" i="13"/>
  <c r="AW80" i="13"/>
  <c r="AG84" i="13"/>
  <c r="AQ86" i="13"/>
  <c r="BC89" i="13"/>
  <c r="AU88" i="13"/>
  <c r="BV87" i="13"/>
  <c r="CE59" i="13"/>
  <c r="AL72" i="13"/>
  <c r="AH90" i="13"/>
  <c r="CE85" i="13"/>
  <c r="AY72" i="13"/>
  <c r="AZ59" i="13"/>
  <c r="AV57" i="13"/>
  <c r="AQ66" i="13"/>
  <c r="AJ62" i="13"/>
  <c r="AG76" i="13"/>
  <c r="BU58" i="13"/>
  <c r="BH61" i="13"/>
  <c r="BN92" i="13"/>
  <c r="BI87" i="13"/>
  <c r="AK99" i="13"/>
  <c r="AW84" i="13"/>
  <c r="BG88" i="13"/>
  <c r="BQ99" i="13"/>
  <c r="AT91" i="13"/>
  <c r="BZ91" i="13"/>
  <c r="BF90" i="13"/>
  <c r="BS76" i="13"/>
  <c r="CC82" i="13"/>
  <c r="BX85" i="13"/>
  <c r="CB87" i="13"/>
  <c r="BW87" i="13"/>
  <c r="BC87" i="13"/>
  <c r="BD58" i="13"/>
  <c r="AS70" i="13"/>
  <c r="BT89" i="13"/>
  <c r="BH79" i="13"/>
  <c r="CF71" i="13"/>
  <c r="BQ55" i="13"/>
  <c r="BW55" i="13"/>
  <c r="CE57" i="13"/>
  <c r="AN67" i="13"/>
  <c r="CE95" i="13"/>
  <c r="AI91" i="13"/>
  <c r="AT98" i="13"/>
  <c r="AV50" i="13"/>
  <c r="AZ69" i="13"/>
  <c r="AM85" i="13"/>
  <c r="AR83" i="13"/>
  <c r="BT55" i="13"/>
  <c r="CD89" i="13"/>
  <c r="BM75" i="13"/>
  <c r="AG99" i="13"/>
  <c r="BH99" i="13"/>
  <c r="CE84" i="13"/>
  <c r="BD87" i="13"/>
  <c r="AR99" i="13"/>
  <c r="CE86" i="13"/>
  <c r="BX57" i="13"/>
  <c r="AI64" i="13"/>
  <c r="BT66" i="13"/>
  <c r="AM84" i="13"/>
  <c r="BR85" i="13"/>
  <c r="BI83" i="13"/>
  <c r="BU77" i="13"/>
  <c r="BH70" i="13"/>
  <c r="BU74" i="13"/>
  <c r="AV55" i="13"/>
  <c r="AG53" i="13"/>
  <c r="BW50" i="13"/>
  <c r="BD90" i="13"/>
  <c r="BL95" i="13"/>
  <c r="BG79" i="13"/>
  <c r="BQ92" i="13"/>
  <c r="BC99" i="13"/>
  <c r="AS88" i="13"/>
  <c r="AG56" i="13"/>
  <c r="BA90" i="13"/>
  <c r="AT97" i="13"/>
  <c r="AX80" i="13"/>
  <c r="BC96" i="13"/>
  <c r="BB95" i="13"/>
  <c r="BY95" i="13"/>
  <c r="CB79" i="13"/>
  <c r="BI98" i="13"/>
  <c r="AR85" i="13"/>
  <c r="BA50" i="13"/>
  <c r="AQ97" i="13"/>
  <c r="AU84" i="13"/>
  <c r="AP97" i="13"/>
  <c r="BC82" i="13"/>
  <c r="BW97" i="13"/>
  <c r="AJ90" i="13"/>
  <c r="BZ50" i="13"/>
  <c r="BN85" i="13"/>
  <c r="BT100" i="13"/>
  <c r="BJ88" i="13"/>
  <c r="BK92" i="13"/>
  <c r="AP73" i="13"/>
  <c r="AP94" i="13"/>
  <c r="AH81" i="13"/>
  <c r="BS98" i="13"/>
  <c r="CF83" i="13"/>
  <c r="AT99" i="13"/>
  <c r="BC83" i="13"/>
  <c r="CE98" i="13"/>
  <c r="BM86" i="13"/>
  <c r="BP98" i="13"/>
  <c r="BT85" i="13"/>
  <c r="AH82" i="13"/>
  <c r="BN51" i="13"/>
  <c r="BB63" i="13"/>
  <c r="BB65" i="13"/>
  <c r="BG82" i="13"/>
  <c r="AR82" i="13"/>
  <c r="BT80" i="13"/>
  <c r="BD51" i="13"/>
  <c r="BB69" i="13"/>
  <c r="AT72" i="13"/>
  <c r="BR53" i="13"/>
  <c r="BS70" i="13"/>
  <c r="CA69" i="13"/>
  <c r="BU84" i="13"/>
  <c r="BV84" i="13"/>
  <c r="AZ90" i="13"/>
  <c r="AN93" i="13"/>
  <c r="AQ88" i="13"/>
  <c r="AU100" i="13"/>
  <c r="AS85" i="13"/>
  <c r="AZ87" i="13"/>
  <c r="BH98" i="13"/>
  <c r="BH100" i="13"/>
  <c r="AO91" i="13"/>
  <c r="BW62" i="13"/>
  <c r="AZ92" i="13"/>
  <c r="BP93" i="13"/>
  <c r="BE94" i="13"/>
  <c r="AR98" i="13"/>
  <c r="BW99" i="13"/>
  <c r="AX100" i="13"/>
  <c r="AW100" i="13"/>
  <c r="AV100" i="13"/>
  <c r="BL86" i="13"/>
  <c r="CD68" i="13"/>
  <c r="BE85" i="13"/>
  <c r="BR82" i="13"/>
  <c r="BE97" i="13"/>
  <c r="AL95" i="13"/>
  <c r="BM99" i="13"/>
  <c r="BN89" i="13"/>
  <c r="AM98" i="13"/>
  <c r="CC99" i="13"/>
  <c r="AS97" i="13"/>
  <c r="BT77" i="13"/>
  <c r="BR86" i="13"/>
  <c r="AJ98" i="13"/>
  <c r="CB85" i="13"/>
  <c r="AT84" i="13"/>
  <c r="BP73" i="13"/>
  <c r="BH57" i="13"/>
  <c r="AY86" i="13"/>
  <c r="CC93" i="13"/>
  <c r="BB97" i="13"/>
  <c r="AU99" i="13"/>
  <c r="BV99" i="13"/>
  <c r="BU99" i="13"/>
  <c r="BF99" i="13"/>
  <c r="BV85" i="13"/>
  <c r="AR66" i="13"/>
  <c r="BA84" i="13"/>
  <c r="BQ85" i="13"/>
  <c r="AZ55" i="13"/>
  <c r="AK94" i="13"/>
  <c r="CF59" i="13"/>
  <c r="BW91" i="13"/>
  <c r="CA99" i="13"/>
  <c r="CF88" i="13"/>
  <c r="BT58" i="13"/>
  <c r="BT97" i="13"/>
  <c r="BE81" i="13"/>
  <c r="AU98" i="13"/>
  <c r="BS96" i="13"/>
  <c r="BO83" i="13"/>
  <c r="CC85" i="13"/>
  <c r="BK97" i="13"/>
  <c r="BJ97" i="13"/>
  <c r="AZ54" i="13"/>
  <c r="BR90" i="13"/>
  <c r="BC86" i="13"/>
  <c r="AJ82" i="13"/>
  <c r="BA93" i="13"/>
  <c r="CF94" i="13"/>
  <c r="BA82" i="13"/>
  <c r="AZ85" i="13"/>
  <c r="BG99" i="13"/>
  <c r="AV82" i="13"/>
  <c r="AI72" i="13"/>
  <c r="BL94" i="13"/>
  <c r="BK85" i="13"/>
  <c r="AT57" i="13"/>
  <c r="CF96" i="13"/>
  <c r="BH88" i="13"/>
  <c r="AS98" i="13"/>
  <c r="BN87" i="13"/>
  <c r="BU50" i="13"/>
  <c r="AG89" i="13"/>
  <c r="BT96" i="13"/>
  <c r="CA78" i="13"/>
  <c r="AI94" i="13"/>
  <c r="CA86" i="13"/>
  <c r="AY95" i="13"/>
  <c r="BZ78" i="13"/>
  <c r="BR97" i="13"/>
  <c r="AV84" i="13"/>
  <c r="BO92" i="13"/>
  <c r="AQ96" i="13"/>
  <c r="BA81" i="13"/>
  <c r="BP95" i="13"/>
  <c r="AW81" i="13"/>
  <c r="BG100" i="13"/>
  <c r="AX89" i="13"/>
  <c r="CD100" i="13"/>
  <c r="AJ85" i="13"/>
  <c r="BI93" i="13"/>
  <c r="BQ79" i="13"/>
  <c r="BD91" i="13"/>
  <c r="BV71" i="13"/>
  <c r="BN93" i="13"/>
  <c r="BR77" i="13"/>
  <c r="BG95" i="13"/>
  <c r="BD83" i="13"/>
  <c r="CF98" i="13"/>
  <c r="CF80" i="13"/>
  <c r="BQ98" i="13"/>
  <c r="CE80" i="13"/>
  <c r="BL97" i="13"/>
  <c r="BC84" i="13"/>
  <c r="AU81" i="13"/>
  <c r="AO84" i="13"/>
  <c r="BV54" i="13"/>
  <c r="BR64" i="13"/>
  <c r="AS82" i="13"/>
  <c r="BU80" i="13"/>
  <c r="AZ77" i="13"/>
  <c r="BA80" i="13"/>
  <c r="BF67" i="13"/>
  <c r="AN71" i="13"/>
  <c r="AL78" i="13"/>
  <c r="AN70" i="13"/>
  <c r="BM69" i="13"/>
  <c r="CD66" i="13"/>
  <c r="BF54" i="13"/>
  <c r="BB75" i="13"/>
  <c r="AN62" i="13"/>
  <c r="CF79" i="13"/>
  <c r="BE68" i="13"/>
  <c r="BP55" i="13"/>
  <c r="BE70" i="13"/>
  <c r="AY58" i="13"/>
  <c r="BD74" i="13"/>
  <c r="AX63" i="13"/>
  <c r="AI76" i="13"/>
  <c r="BE66" i="13"/>
  <c r="CE52" i="13"/>
  <c r="AK62" i="13"/>
  <c r="AS68" i="13"/>
  <c r="BA56" i="13"/>
  <c r="BK83" i="13"/>
  <c r="BD77" i="13"/>
  <c r="BH67" i="13"/>
  <c r="BJ55" i="13"/>
  <c r="AT86" i="13"/>
  <c r="BW77" i="13"/>
  <c r="AQ63" i="13"/>
  <c r="AQ89" i="13"/>
  <c r="AQ82" i="13"/>
  <c r="BT68" i="13"/>
  <c r="AJ91" i="13"/>
  <c r="BH83" i="13"/>
  <c r="CE69" i="13"/>
  <c r="BK79" i="13"/>
  <c r="AJ69" i="13"/>
  <c r="BD55" i="13"/>
  <c r="AR76" i="13"/>
  <c r="AJ65" i="13"/>
  <c r="BM54" i="13"/>
  <c r="BA70" i="13"/>
  <c r="BV57" i="13"/>
  <c r="AX77" i="13"/>
  <c r="AL66" i="13"/>
  <c r="AM54" i="13"/>
  <c r="AV73" i="13"/>
  <c r="CB60" i="13"/>
  <c r="BN78" i="13"/>
  <c r="BN67" i="13"/>
  <c r="BD54" i="13"/>
  <c r="AG69" i="13"/>
  <c r="AH58" i="13"/>
  <c r="AP74" i="13"/>
  <c r="BR62" i="13"/>
  <c r="BU75" i="13"/>
  <c r="AO66" i="13"/>
  <c r="BO73" i="13"/>
  <c r="BW61" i="13"/>
  <c r="CE67" i="13"/>
  <c r="CE53" i="13"/>
  <c r="AW83" i="13"/>
  <c r="CD76" i="13"/>
  <c r="BS66" i="13"/>
  <c r="BS54" i="13"/>
  <c r="CF85" i="13"/>
  <c r="BA77" i="13"/>
  <c r="BP59" i="13"/>
  <c r="BO88" i="13"/>
  <c r="CC81" i="13"/>
  <c r="CF67" i="13"/>
  <c r="BV90" i="13"/>
  <c r="AT83" i="13"/>
  <c r="BA69" i="13"/>
  <c r="AW79" i="13"/>
  <c r="AI67" i="13"/>
  <c r="AJ55" i="13"/>
  <c r="CA75" i="13"/>
  <c r="BX63" i="13"/>
  <c r="AO54" i="13"/>
  <c r="AI70" i="13"/>
  <c r="BS55" i="13"/>
  <c r="AJ77" i="13"/>
  <c r="BR65" i="13"/>
  <c r="CB52" i="13"/>
  <c r="CD72" i="13"/>
  <c r="BF60" i="13"/>
  <c r="AZ78" i="13"/>
  <c r="AU67" i="13"/>
  <c r="BO51" i="13"/>
  <c r="BD67" i="13"/>
  <c r="BA57" i="13"/>
  <c r="AX73" i="13"/>
  <c r="AL62" i="13"/>
  <c r="BG75" i="13"/>
  <c r="BM63" i="13"/>
  <c r="AM73" i="13"/>
  <c r="AU61" i="13"/>
  <c r="BQ67" i="13"/>
  <c r="AU65" i="13"/>
  <c r="CA56" i="13"/>
  <c r="BJ77" i="13"/>
  <c r="BZ66" i="13"/>
  <c r="AL52" i="13"/>
  <c r="BZ69" i="13"/>
  <c r="BO58" i="13"/>
  <c r="AT75" i="13"/>
  <c r="AP66" i="13"/>
  <c r="BJ54" i="13"/>
  <c r="BB70" i="13"/>
  <c r="BO57" i="13"/>
  <c r="BW68" i="13"/>
  <c r="BG57" i="13"/>
  <c r="BU61" i="13"/>
  <c r="AU34" i="13"/>
  <c r="AU47" i="13" s="1"/>
  <c r="BX84" i="13"/>
  <c r="AS74" i="13"/>
  <c r="AG55" i="13"/>
  <c r="BH85" i="13"/>
  <c r="BP81" i="13"/>
  <c r="AX75" i="13"/>
  <c r="AS66" i="13"/>
  <c r="AY56" i="13"/>
  <c r="AU82" i="13"/>
  <c r="BG76" i="13"/>
  <c r="BJ67" i="13"/>
  <c r="BW57" i="13"/>
  <c r="BL83" i="13"/>
  <c r="BW78" i="13"/>
  <c r="BY70" i="13"/>
  <c r="AQ61" i="13"/>
  <c r="BA91" i="13"/>
  <c r="BM87" i="13"/>
  <c r="BY83" i="13"/>
  <c r="AO79" i="13"/>
  <c r="BB71" i="13"/>
  <c r="CB61" i="13"/>
  <c r="AV90" i="13"/>
  <c r="AP85" i="13"/>
  <c r="CC76" i="13"/>
  <c r="BN64" i="13"/>
  <c r="AU90" i="13"/>
  <c r="CA84" i="13"/>
  <c r="CB76" i="13"/>
  <c r="AK61" i="13"/>
  <c r="CF89" i="13"/>
  <c r="CF82" i="13"/>
  <c r="BM70" i="13"/>
  <c r="AR52" i="13"/>
  <c r="AZ72" i="13"/>
  <c r="BF61" i="13"/>
  <c r="AP81" i="13"/>
  <c r="BQ72" i="13"/>
  <c r="BZ61" i="13"/>
  <c r="CF54" i="13"/>
  <c r="AU72" i="13"/>
  <c r="AY61" i="13"/>
  <c r="AZ81" i="13"/>
  <c r="CE72" i="13"/>
  <c r="AO62" i="13"/>
  <c r="CA81" i="13"/>
  <c r="BR73" i="13"/>
  <c r="CB62" i="13"/>
  <c r="BP51" i="13"/>
  <c r="AY74" i="13"/>
  <c r="BR63" i="13"/>
  <c r="BF52" i="13"/>
  <c r="AX71" i="13"/>
  <c r="BS62" i="13"/>
  <c r="CC53" i="13"/>
  <c r="BL71" i="13"/>
  <c r="AH63" i="13"/>
  <c r="AR54" i="13"/>
  <c r="BZ71" i="13"/>
  <c r="AG63" i="13"/>
  <c r="AU53" i="13"/>
  <c r="AM66" i="13"/>
  <c r="AI58" i="13"/>
  <c r="BI65" i="13"/>
  <c r="CC56" i="13"/>
  <c r="BA89" i="13"/>
  <c r="BA83" i="13"/>
  <c r="AV70" i="13"/>
  <c r="BF88" i="13"/>
  <c r="BR84" i="13"/>
  <c r="BG80" i="13"/>
  <c r="BH73" i="13"/>
  <c r="AJ64" i="13"/>
  <c r="AJ54" i="13"/>
  <c r="AT81" i="13"/>
  <c r="BN74" i="13"/>
  <c r="BE65" i="13"/>
  <c r="BN55" i="13"/>
  <c r="BV82" i="13"/>
  <c r="BE77" i="13"/>
  <c r="BY68" i="13"/>
  <c r="AN59" i="13"/>
  <c r="BK90" i="13"/>
  <c r="BW86" i="13"/>
  <c r="AI83" i="13"/>
  <c r="CB77" i="13"/>
  <c r="BF69" i="13"/>
  <c r="BU59" i="13"/>
  <c r="BF89" i="13"/>
  <c r="AH83" i="13"/>
  <c r="AO75" i="13"/>
  <c r="AH59" i="13"/>
  <c r="BE89" i="13"/>
  <c r="AG83" i="13"/>
  <c r="AN75" i="13"/>
  <c r="AG59" i="13"/>
  <c r="BJ87" i="13"/>
  <c r="BG81" i="13"/>
  <c r="BS68" i="13"/>
  <c r="BY79" i="13"/>
  <c r="CA70" i="13"/>
  <c r="BX59" i="13"/>
  <c r="AL80" i="13"/>
  <c r="AR71" i="13"/>
  <c r="AU60" i="13"/>
  <c r="BA53" i="13"/>
  <c r="BW70" i="13"/>
  <c r="BT59" i="13"/>
  <c r="AV80" i="13"/>
  <c r="BF71" i="13"/>
  <c r="BJ60" i="13"/>
  <c r="BW80" i="13"/>
  <c r="AS72" i="13"/>
  <c r="AW61" i="13"/>
  <c r="AX81" i="13"/>
  <c r="CC72" i="13"/>
  <c r="AH62" i="13"/>
  <c r="AR51" i="13"/>
  <c r="AP70" i="13"/>
  <c r="BE61" i="13"/>
  <c r="BQ52" i="13"/>
  <c r="BD70" i="13"/>
  <c r="BT61" i="13"/>
  <c r="CF52" i="13"/>
  <c r="BR70" i="13"/>
  <c r="BS61" i="13"/>
  <c r="BA73" i="13"/>
  <c r="AI65" i="13"/>
  <c r="CE56" i="13"/>
  <c r="BE64" i="13"/>
  <c r="AS54" i="13"/>
  <c r="BH60" i="13"/>
  <c r="BR51" i="13"/>
  <c r="BI69" i="13"/>
  <c r="CC58" i="13"/>
  <c r="BK72" i="13"/>
  <c r="BG64" i="13"/>
  <c r="BI54" i="13"/>
  <c r="CC63" i="13"/>
  <c r="BQ53" i="13"/>
  <c r="CA52" i="13"/>
  <c r="BQ60" i="13"/>
  <c r="BM52" i="13"/>
  <c r="AJ51" i="13"/>
  <c r="AK51" i="13"/>
  <c r="AL51" i="13"/>
  <c r="AM51" i="13"/>
  <c r="AN51" i="13"/>
  <c r="AO51" i="13"/>
  <c r="AH51" i="13"/>
  <c r="AI51" i="13"/>
  <c r="AG51" i="13"/>
  <c r="BG54" i="13"/>
  <c r="AU58" i="13"/>
  <c r="AI62" i="13"/>
  <c r="BW65" i="13"/>
  <c r="AW51" i="13"/>
  <c r="AK55" i="13"/>
  <c r="BY58" i="13"/>
  <c r="BM62" i="13"/>
  <c r="BA66" i="13"/>
  <c r="AO70" i="13"/>
  <c r="AT51" i="13"/>
  <c r="AO55" i="13"/>
  <c r="BI59" i="13"/>
  <c r="CD63" i="13"/>
  <c r="AY68" i="13"/>
  <c r="BD72" i="13"/>
  <c r="AW76" i="13"/>
  <c r="BZ54" i="13"/>
  <c r="AT59" i="13"/>
  <c r="BN63" i="13"/>
  <c r="AJ68" i="13"/>
  <c r="AP72" i="13"/>
  <c r="AJ76" i="13"/>
  <c r="BK54" i="13"/>
  <c r="CE58" i="13"/>
  <c r="AY63" i="13"/>
  <c r="BU67" i="13"/>
  <c r="CB71" i="13"/>
  <c r="BW75" i="13"/>
  <c r="BY52" i="13"/>
  <c r="BE58" i="13"/>
  <c r="AK64" i="13"/>
  <c r="BN69" i="13"/>
  <c r="BP74" i="13"/>
  <c r="CB78" i="13"/>
  <c r="AN52" i="13"/>
  <c r="BR57" i="13"/>
  <c r="AU63" i="13"/>
  <c r="CA68" i="13"/>
  <c r="AI74" i="13"/>
  <c r="BA78" i="13"/>
  <c r="AX51" i="13"/>
  <c r="CB56" i="13"/>
  <c r="BH62" i="13"/>
  <c r="AN68" i="13"/>
  <c r="AZ73" i="13"/>
  <c r="BZ77" i="13"/>
  <c r="BN81" i="13"/>
  <c r="AQ56" i="13"/>
  <c r="BR61" i="13"/>
  <c r="AX67" i="13"/>
  <c r="BN72" i="13"/>
  <c r="AY77" i="13"/>
  <c r="BA55" i="13"/>
  <c r="BM56" i="13"/>
  <c r="AS62" i="13"/>
  <c r="BY67" i="13"/>
  <c r="AL73" i="13"/>
  <c r="BP77" i="13"/>
  <c r="BD81" i="13"/>
  <c r="AU56" i="13"/>
  <c r="CA61" i="13"/>
  <c r="BG67" i="13"/>
  <c r="BR72" i="13"/>
  <c r="BC77" i="13"/>
  <c r="AI53" i="13"/>
  <c r="AN63" i="13"/>
  <c r="BI72" i="13"/>
  <c r="CC79" i="13"/>
  <c r="AX84" i="13"/>
  <c r="AL88" i="13"/>
  <c r="BG51" i="13"/>
  <c r="BX61" i="13"/>
  <c r="AZ71" i="13"/>
  <c r="AM79" i="13"/>
  <c r="BW83" i="13"/>
  <c r="BK87" i="13"/>
  <c r="AY91" i="13"/>
  <c r="AZ60" i="13"/>
  <c r="AK70" i="13"/>
  <c r="AW78" i="13"/>
  <c r="AV83" i="13"/>
  <c r="AJ87" i="13"/>
  <c r="BX90" i="13"/>
  <c r="AL59" i="13"/>
  <c r="BU54" i="13"/>
  <c r="BI58" i="13"/>
  <c r="AW62" i="13"/>
  <c r="AK66" i="13"/>
  <c r="BK51" i="13"/>
  <c r="AY55" i="13"/>
  <c r="AM59" i="13"/>
  <c r="CA62" i="13"/>
  <c r="BO66" i="13"/>
  <c r="BC70" i="13"/>
  <c r="BE55" i="13"/>
  <c r="BY59" i="13"/>
  <c r="AU64" i="13"/>
  <c r="BO68" i="13"/>
  <c r="BS72" i="13"/>
  <c r="BK76" i="13"/>
  <c r="AP55" i="13"/>
  <c r="BJ59" i="13"/>
  <c r="CF63" i="13"/>
  <c r="AZ68" i="13"/>
  <c r="BE72" i="13"/>
  <c r="AX76" i="13"/>
  <c r="CA54" i="13"/>
  <c r="AU59" i="13"/>
  <c r="BP63" i="13"/>
  <c r="AK68" i="13"/>
  <c r="AQ72" i="13"/>
  <c r="AK76" i="13"/>
  <c r="AT53" i="13"/>
  <c r="BZ58" i="13"/>
  <c r="BD64" i="13"/>
  <c r="CF69" i="13"/>
  <c r="AJ75" i="13"/>
  <c r="AP79" i="13"/>
  <c r="BG52" i="13"/>
  <c r="AM58" i="13"/>
  <c r="BS63" i="13"/>
  <c r="AS69" i="13"/>
  <c r="AZ74" i="13"/>
  <c r="BO78" i="13"/>
  <c r="BT51" i="13"/>
  <c r="AW57" i="13"/>
  <c r="CC62" i="13"/>
  <c r="BH68" i="13"/>
  <c r="BS73" i="13"/>
  <c r="AN78" i="13"/>
  <c r="CB81" i="13"/>
  <c r="BJ56" i="13"/>
  <c r="AP62" i="13"/>
  <c r="BV67" i="13"/>
  <c r="CF72" i="13"/>
  <c r="BM77" i="13"/>
  <c r="BE51" i="13"/>
  <c r="AH57" i="13"/>
  <c r="BN62" i="13"/>
  <c r="AR68" i="13"/>
  <c r="BE73" i="13"/>
  <c r="CD77" i="13"/>
  <c r="BR81" i="13"/>
  <c r="BN56" i="13"/>
  <c r="AT62" i="13"/>
  <c r="BZ67" i="13"/>
  <c r="AN73" i="13"/>
  <c r="BQ77" i="13"/>
  <c r="BW53" i="13"/>
  <c r="BW63" i="13"/>
  <c r="AR73" i="13"/>
  <c r="AY80" i="13"/>
  <c r="BL84" i="13"/>
  <c r="AZ88" i="13"/>
  <c r="AU52" i="13"/>
  <c r="BD62" i="13"/>
  <c r="AH72" i="13"/>
  <c r="BI79" i="13"/>
  <c r="AK84" i="13"/>
  <c r="BY87" i="13"/>
  <c r="BM91" i="13"/>
  <c r="AL61" i="13"/>
  <c r="BO70" i="13"/>
  <c r="BS78" i="13"/>
  <c r="BJ83" i="13"/>
  <c r="AX87" i="13"/>
  <c r="AL91" i="13"/>
  <c r="AU51" i="13"/>
  <c r="AI55" i="13"/>
  <c r="BW58" i="13"/>
  <c r="BK62" i="13"/>
  <c r="AY66" i="13"/>
  <c r="BY51" i="13"/>
  <c r="BM55" i="13"/>
  <c r="BA59" i="13"/>
  <c r="AO63" i="13"/>
  <c r="CC66" i="13"/>
  <c r="BQ70" i="13"/>
  <c r="BA51" i="13"/>
  <c r="BU55" i="13"/>
  <c r="AP60" i="13"/>
  <c r="BK64" i="13"/>
  <c r="CE68" i="13"/>
  <c r="AH73" i="13"/>
  <c r="BF55" i="13"/>
  <c r="BZ59" i="13"/>
  <c r="AV64" i="13"/>
  <c r="BP68" i="13"/>
  <c r="BT72" i="13"/>
  <c r="BL76" i="13"/>
  <c r="AQ55" i="13"/>
  <c r="BK59" i="13"/>
  <c r="AG64" i="13"/>
  <c r="BA68" i="13"/>
  <c r="BF72" i="13"/>
  <c r="AY76" i="13"/>
  <c r="BP53" i="13"/>
  <c r="AV59" i="13"/>
  <c r="BY64" i="13"/>
  <c r="AX70" i="13"/>
  <c r="BA75" i="13"/>
  <c r="BD79" i="13"/>
  <c r="BZ52" i="13"/>
  <c r="BF58" i="13"/>
  <c r="AL64" i="13"/>
  <c r="BO69" i="13"/>
  <c r="BT74" i="13"/>
  <c r="CC78" i="13"/>
  <c r="AO52" i="13"/>
  <c r="BT57" i="13"/>
  <c r="AV63" i="13"/>
  <c r="CB68" i="13"/>
  <c r="AJ74" i="13"/>
  <c r="BB78" i="13"/>
  <c r="AY51" i="13"/>
  <c r="CD56" i="13"/>
  <c r="BI62" i="13"/>
  <c r="AO68" i="13"/>
  <c r="BB73" i="13"/>
  <c r="CA77" i="13"/>
  <c r="BZ51" i="13"/>
  <c r="BD57" i="13"/>
  <c r="AJ63" i="13"/>
  <c r="BM68" i="13"/>
  <c r="BW73" i="13"/>
  <c r="AR78" i="13"/>
  <c r="BF51" i="13"/>
  <c r="AL57" i="13"/>
  <c r="BO62" i="13"/>
  <c r="AT68" i="13"/>
  <c r="BF73" i="13"/>
  <c r="CE77" i="13"/>
  <c r="BN54" i="13"/>
  <c r="BC64" i="13"/>
  <c r="BZ73" i="13"/>
  <c r="BS80" i="13"/>
  <c r="BZ84" i="13"/>
  <c r="BN88" i="13"/>
  <c r="AL53" i="13"/>
  <c r="AP63" i="13"/>
  <c r="BO72" i="13"/>
  <c r="CD79" i="13"/>
  <c r="AY84" i="13"/>
  <c r="AM88" i="13"/>
  <c r="BH51" i="13"/>
  <c r="BY61" i="13"/>
  <c r="BA71" i="13"/>
  <c r="AN79" i="13"/>
  <c r="BX83" i="13"/>
  <c r="BL87" i="13"/>
  <c r="AZ91" i="13"/>
  <c r="BI51" i="13"/>
  <c r="AW55" i="13"/>
  <c r="AK59" i="13"/>
  <c r="BY62" i="13"/>
  <c r="BM66" i="13"/>
  <c r="AM52" i="13"/>
  <c r="CA55" i="13"/>
  <c r="BO59" i="13"/>
  <c r="BC63" i="13"/>
  <c r="AQ67" i="13"/>
  <c r="CE70" i="13"/>
  <c r="BQ51" i="13"/>
  <c r="AK56" i="13"/>
  <c r="BG60" i="13"/>
  <c r="CA64" i="13"/>
  <c r="AT69" i="13"/>
  <c r="AW73" i="13"/>
  <c r="BB51" i="13"/>
  <c r="BV55" i="13"/>
  <c r="AR60" i="13"/>
  <c r="BL64" i="13"/>
  <c r="CF68" i="13"/>
  <c r="AI73" i="13"/>
  <c r="BG55" i="13"/>
  <c r="CB59" i="13"/>
  <c r="AW64" i="13"/>
  <c r="BQ68" i="13"/>
  <c r="BU72" i="13"/>
  <c r="BM76" i="13"/>
  <c r="AK54" i="13"/>
  <c r="BQ59" i="13"/>
  <c r="AV65" i="13"/>
  <c r="BP70" i="13"/>
  <c r="BR75" i="13"/>
  <c r="BR79" i="13"/>
  <c r="AX53" i="13"/>
  <c r="CA58" i="13"/>
  <c r="BF64" i="13"/>
  <c r="AG70" i="13"/>
  <c r="AK75" i="13"/>
  <c r="AQ79" i="13"/>
  <c r="BH52" i="13"/>
  <c r="AN58" i="13"/>
  <c r="BT63" i="13"/>
  <c r="AW69" i="13"/>
  <c r="BA74" i="13"/>
  <c r="BP78" i="13"/>
  <c r="BU51" i="13"/>
  <c r="AX57" i="13"/>
  <c r="CD62" i="13"/>
  <c r="BJ68" i="13"/>
  <c r="BT73" i="13"/>
  <c r="AO78" i="13"/>
  <c r="AS52" i="13"/>
  <c r="BY57" i="13"/>
  <c r="BE63" i="13"/>
  <c r="AI69" i="13"/>
  <c r="AN74" i="13"/>
  <c r="BF78" i="13"/>
  <c r="CA51" i="13"/>
  <c r="BF57" i="13"/>
  <c r="AK63" i="13"/>
  <c r="BN68" i="13"/>
  <c r="BX73" i="13"/>
  <c r="AS78" i="13"/>
  <c r="BB55" i="13"/>
  <c r="AO65" i="13"/>
  <c r="BG74" i="13"/>
  <c r="AN81" i="13"/>
  <c r="AN85" i="13"/>
  <c r="CB88" i="13"/>
  <c r="BZ53" i="13"/>
  <c r="BZ63" i="13"/>
  <c r="AS73" i="13"/>
  <c r="BB80" i="13"/>
  <c r="BM84" i="13"/>
  <c r="BA88" i="13"/>
  <c r="AV52" i="13"/>
  <c r="BE62" i="13"/>
  <c r="AJ72" i="13"/>
  <c r="BL79" i="13"/>
  <c r="AL84" i="13"/>
  <c r="BZ87" i="13"/>
  <c r="BN91" i="13"/>
  <c r="BW51" i="13"/>
  <c r="BK55" i="13"/>
  <c r="AY59" i="13"/>
  <c r="AM63" i="13"/>
  <c r="CA66" i="13"/>
  <c r="BA52" i="13"/>
  <c r="AO56" i="13"/>
  <c r="CC59" i="13"/>
  <c r="BQ63" i="13"/>
  <c r="BE67" i="13"/>
  <c r="AS71" i="13"/>
  <c r="BB56" i="13"/>
  <c r="BW60" i="13"/>
  <c r="AQ65" i="13"/>
  <c r="AK52" i="13"/>
  <c r="BY55" i="13"/>
  <c r="BM59" i="13"/>
  <c r="BA63" i="13"/>
  <c r="AO67" i="13"/>
  <c r="BO52" i="13"/>
  <c r="BC56" i="13"/>
  <c r="AQ60" i="13"/>
  <c r="CE63" i="13"/>
  <c r="BS67" i="13"/>
  <c r="BG71" i="13"/>
  <c r="AW52" i="13"/>
  <c r="BS56" i="13"/>
  <c r="AM61" i="13"/>
  <c r="BG65" i="13"/>
  <c r="BX69" i="13"/>
  <c r="CA73" i="13"/>
  <c r="BD56" i="13"/>
  <c r="BX60" i="13"/>
  <c r="AR65" i="13"/>
  <c r="BJ69" i="13"/>
  <c r="BM73" i="13"/>
  <c r="BS51" i="13"/>
  <c r="AN56" i="13"/>
  <c r="BI60" i="13"/>
  <c r="CC64" i="13"/>
  <c r="AV69" i="13"/>
  <c r="AY73" i="13"/>
  <c r="CB54" i="13"/>
  <c r="BD60" i="13"/>
  <c r="AI66" i="13"/>
  <c r="BD71" i="13"/>
  <c r="BC76" i="13"/>
  <c r="AT80" i="13"/>
  <c r="AL54" i="13"/>
  <c r="BR59" i="13"/>
  <c r="AX65" i="13"/>
  <c r="BU70" i="13"/>
  <c r="BS75" i="13"/>
  <c r="BS79" i="13"/>
  <c r="AY53" i="13"/>
  <c r="CB58" i="13"/>
  <c r="BH64" i="13"/>
  <c r="AH70" i="13"/>
  <c r="AL75" i="13"/>
  <c r="AR79" i="13"/>
  <c r="BI52" i="13"/>
  <c r="AO58" i="13"/>
  <c r="BU63" i="13"/>
  <c r="AX69" i="13"/>
  <c r="BB74" i="13"/>
  <c r="BV51" i="13"/>
  <c r="AJ53" i="13"/>
  <c r="BP58" i="13"/>
  <c r="AR64" i="13"/>
  <c r="BT69" i="13"/>
  <c r="BY74" i="13"/>
  <c r="AH79" i="13"/>
  <c r="BR52" i="13"/>
  <c r="AS58" i="13"/>
  <c r="BY63" i="13"/>
  <c r="BC69" i="13"/>
  <c r="BI74" i="13"/>
  <c r="BU78" i="13"/>
  <c r="BW56" i="13"/>
  <c r="BL66" i="13"/>
  <c r="BO75" i="13"/>
  <c r="BY81" i="13"/>
  <c r="BP85" i="13"/>
  <c r="BD89" i="13"/>
  <c r="BH55" i="13"/>
  <c r="AP65" i="13"/>
  <c r="BJ74" i="13"/>
  <c r="AO81" i="13"/>
  <c r="AO85" i="13"/>
  <c r="CC88" i="13"/>
  <c r="CD53" i="13"/>
  <c r="CA63" i="13"/>
  <c r="AT73" i="13"/>
  <c r="BC80" i="13"/>
  <c r="BN84" i="13"/>
  <c r="BB88" i="13"/>
  <c r="BB52" i="13"/>
  <c r="AY52" i="13"/>
  <c r="AM56" i="13"/>
  <c r="CA59" i="13"/>
  <c r="BO63" i="13"/>
  <c r="BC67" i="13"/>
  <c r="CC52" i="13"/>
  <c r="BQ56" i="13"/>
  <c r="BE60" i="13"/>
  <c r="AS64" i="13"/>
  <c r="AG68" i="13"/>
  <c r="BU71" i="13"/>
  <c r="BN52" i="13"/>
  <c r="AI57" i="13"/>
  <c r="BC61" i="13"/>
  <c r="BX65" i="13"/>
  <c r="AM70" i="13"/>
  <c r="AO74" i="13"/>
  <c r="AX52" i="13"/>
  <c r="BT56" i="13"/>
  <c r="AN61" i="13"/>
  <c r="BH65" i="13"/>
  <c r="BY69" i="13"/>
  <c r="CB73" i="13"/>
  <c r="BE56" i="13"/>
  <c r="BY60" i="13"/>
  <c r="AS65" i="13"/>
  <c r="BK69" i="13"/>
  <c r="BN73" i="13"/>
  <c r="AU55" i="13"/>
  <c r="CA60" i="13"/>
  <c r="BD66" i="13"/>
  <c r="BW71" i="13"/>
  <c r="BT76" i="13"/>
  <c r="BH80" i="13"/>
  <c r="BE54" i="13"/>
  <c r="AK60" i="13"/>
  <c r="BQ65" i="13"/>
  <c r="AM71" i="13"/>
  <c r="AM76" i="13"/>
  <c r="AG80" i="13"/>
  <c r="BT53" i="13"/>
  <c r="AX59" i="13"/>
  <c r="CD64" i="13"/>
  <c r="AZ70" i="13"/>
  <c r="BC75" i="13"/>
  <c r="BF79" i="13"/>
  <c r="CD52" i="13"/>
  <c r="BH58" i="13"/>
  <c r="AN64" i="13"/>
  <c r="BQ69" i="13"/>
  <c r="BV74" i="13"/>
  <c r="AQ52" i="13"/>
  <c r="BD53" i="13"/>
  <c r="AI59" i="13"/>
  <c r="BO64" i="13"/>
  <c r="AL70" i="13"/>
  <c r="AP75" i="13"/>
  <c r="AV79" i="13"/>
  <c r="AK53" i="13"/>
  <c r="BQ58" i="13"/>
  <c r="AT64" i="13"/>
  <c r="BU69" i="13"/>
  <c r="BZ74" i="13"/>
  <c r="AI79" i="13"/>
  <c r="BI57" i="13"/>
  <c r="AT67" i="13"/>
  <c r="AU76" i="13"/>
  <c r="AP82" i="13"/>
  <c r="CD85" i="13"/>
  <c r="BR89" i="13"/>
  <c r="AR56" i="13"/>
  <c r="AO53" i="13"/>
  <c r="BC53" i="13"/>
  <c r="AQ57" i="13"/>
  <c r="CE60" i="13"/>
  <c r="BS64" i="13"/>
  <c r="BG68" i="13"/>
  <c r="AG54" i="13"/>
  <c r="BU57" i="13"/>
  <c r="BI61" i="13"/>
  <c r="AW65" i="13"/>
  <c r="AK69" i="13"/>
  <c r="BY72" i="13"/>
  <c r="CA53" i="13"/>
  <c r="AV58" i="13"/>
  <c r="BQ62" i="13"/>
  <c r="AK67" i="13"/>
  <c r="AV71" i="13"/>
  <c r="AS75" i="13"/>
  <c r="BL53" i="13"/>
  <c r="CF57" i="13"/>
  <c r="BB62" i="13"/>
  <c r="BV66" i="13"/>
  <c r="AH71" i="13"/>
  <c r="CF74" i="13"/>
  <c r="AW53" i="13"/>
  <c r="BQ57" i="13"/>
  <c r="AM62" i="13"/>
  <c r="BG66" i="13"/>
  <c r="BT70" i="13"/>
  <c r="BS74" i="13"/>
  <c r="AS51" i="13"/>
  <c r="BZ56" i="13"/>
  <c r="BF62" i="13"/>
  <c r="AL68" i="13"/>
  <c r="AU73" i="13"/>
  <c r="BX77" i="13"/>
  <c r="BL81" i="13"/>
  <c r="AJ56" i="13"/>
  <c r="BP61" i="13"/>
  <c r="AV67" i="13"/>
  <c r="BL72" i="13"/>
  <c r="AW77" i="13"/>
  <c r="AK81" i="13"/>
  <c r="AX55" i="13"/>
  <c r="CC60" i="13"/>
  <c r="BI66" i="13"/>
  <c r="BY71" i="13"/>
  <c r="BV76" i="13"/>
  <c r="BJ80" i="13"/>
  <c r="BL54" i="13"/>
  <c r="AM60" i="13"/>
  <c r="BS65" i="13"/>
  <c r="AO71" i="13"/>
  <c r="AO76" i="13"/>
  <c r="BV53" i="13"/>
  <c r="AH55" i="13"/>
  <c r="BN60" i="13"/>
  <c r="AT66" i="13"/>
  <c r="BN71" i="13"/>
  <c r="BI76" i="13"/>
  <c r="AZ80" i="13"/>
  <c r="BP54" i="13"/>
  <c r="AV60" i="13"/>
  <c r="CB65" i="13"/>
  <c r="AT71" i="13"/>
  <c r="AS76" i="13"/>
  <c r="AM80" i="13"/>
  <c r="F2" i="27"/>
  <c r="E2" i="10"/>
  <c r="AC10" i="13"/>
  <c r="AC14" i="13"/>
  <c r="AC11" i="13"/>
  <c r="AC12" i="13"/>
  <c r="AC13" i="13"/>
  <c r="AC17" i="13"/>
  <c r="AC15" i="13"/>
  <c r="AC16" i="13"/>
  <c r="AC19" i="13"/>
  <c r="AC18" i="13"/>
  <c r="AT41" i="13" l="1"/>
  <c r="AU46" i="13" a="1"/>
  <c r="AU46" i="13" s="1"/>
  <c r="AU42" i="13" a="1"/>
  <c r="AU42" i="13" s="1"/>
  <c r="AU44" i="13" a="1"/>
  <c r="AU44" i="13" s="1"/>
  <c r="AU45" i="13" a="1"/>
  <c r="AU45" i="13" s="1"/>
  <c r="AT32" i="13"/>
  <c r="AV34" i="13"/>
  <c r="AV47" i="13" s="1"/>
  <c r="X53" i="13"/>
  <c r="Y53" i="13"/>
  <c r="I70" i="10" s="1"/>
  <c r="X60" i="13"/>
  <c r="Y60" i="13"/>
  <c r="AC20" i="13"/>
  <c r="AG50" i="13"/>
  <c r="AV45" i="13" l="1" a="1"/>
  <c r="AV45" i="13" s="1"/>
  <c r="AV46" i="13" a="1"/>
  <c r="AV46" i="13" s="1"/>
  <c r="AV44" i="13" a="1"/>
  <c r="AV44" i="13" s="1"/>
  <c r="AV42" i="13" a="1"/>
  <c r="AV42" i="13" s="1"/>
  <c r="AU41" i="13"/>
  <c r="AU32" i="13" s="1"/>
  <c r="AW34" i="13"/>
  <c r="AW47" i="13" s="1"/>
  <c r="Y57" i="13"/>
  <c r="X57" i="13"/>
  <c r="Y54" i="13"/>
  <c r="X54" i="13"/>
  <c r="Y55" i="13"/>
  <c r="X55" i="13"/>
  <c r="Y56" i="13"/>
  <c r="I74" i="10" s="1"/>
  <c r="X56" i="13"/>
  <c r="X58" i="13"/>
  <c r="Y58" i="13"/>
  <c r="Y50" i="13"/>
  <c r="Y51" i="13"/>
  <c r="X51" i="13"/>
  <c r="Y52" i="13"/>
  <c r="X52" i="13"/>
  <c r="X59" i="13"/>
  <c r="Y59" i="13"/>
  <c r="AD11" i="13" s="1"/>
  <c r="AV41" i="13" l="1"/>
  <c r="AV32" i="13" s="1"/>
  <c r="AW46" i="13" a="1"/>
  <c r="AW46" i="13" s="1"/>
  <c r="AW45" i="13" a="1"/>
  <c r="AW45" i="13" s="1"/>
  <c r="AW42" i="13" a="1"/>
  <c r="AW42" i="13" s="1"/>
  <c r="AW44" i="13" a="1"/>
  <c r="AW44" i="13" s="1"/>
  <c r="AX34" i="13"/>
  <c r="AX47" i="13" s="1"/>
  <c r="I71" i="10"/>
  <c r="I73" i="10"/>
  <c r="I69" i="10"/>
  <c r="C72" i="10"/>
  <c r="W21" i="13"/>
  <c r="R11" i="13"/>
  <c r="U19" i="13"/>
  <c r="R12" i="13"/>
  <c r="U21" i="13"/>
  <c r="V24" i="13"/>
  <c r="U25" i="13"/>
  <c r="U23" i="13"/>
  <c r="V26" i="13"/>
  <c r="U22" i="13"/>
  <c r="V18" i="13"/>
  <c r="V19" i="13"/>
  <c r="U18" i="13"/>
  <c r="V25" i="13"/>
  <c r="V21" i="13"/>
  <c r="V22" i="13"/>
  <c r="U24" i="13"/>
  <c r="V23" i="13"/>
  <c r="D27" i="22"/>
  <c r="C28" i="22"/>
  <c r="D28" i="22"/>
  <c r="C27" i="22"/>
  <c r="W25" i="13"/>
  <c r="W22" i="13"/>
  <c r="W20" i="13"/>
  <c r="W18" i="13"/>
  <c r="W26" i="13"/>
  <c r="W19" i="13"/>
  <c r="E27" i="22"/>
  <c r="W24" i="13"/>
  <c r="W23" i="13"/>
  <c r="U20" i="13"/>
  <c r="E28" i="22"/>
  <c r="U26" i="13"/>
  <c r="V20" i="13"/>
  <c r="AD10" i="13"/>
  <c r="AD20" i="13" s="1"/>
  <c r="R10" i="13" s="1"/>
  <c r="AX46" i="13" l="1" a="1"/>
  <c r="AX46" i="13" s="1"/>
  <c r="AX42" i="13" a="1"/>
  <c r="AX42" i="13" s="1"/>
  <c r="AX44" i="13" a="1"/>
  <c r="AX44" i="13" s="1"/>
  <c r="AX45" i="13" a="1"/>
  <c r="AX45" i="13" s="1"/>
  <c r="AW41" i="13"/>
  <c r="AW32" i="13" s="1"/>
  <c r="AY34" i="13"/>
  <c r="AY47" i="13" s="1"/>
  <c r="J69" i="10"/>
  <c r="J71" i="10"/>
  <c r="J70" i="10"/>
  <c r="J68" i="10"/>
  <c r="J73" i="10"/>
  <c r="J74" i="10"/>
  <c r="J72" i="10"/>
  <c r="J67" i="10"/>
  <c r="C20" i="10"/>
  <c r="BG116" i="13"/>
  <c r="AY46" i="13" l="1" a="1"/>
  <c r="AY46" i="13" s="1"/>
  <c r="AY45" i="13" a="1"/>
  <c r="AY45" i="13" s="1"/>
  <c r="AY44" i="13" a="1"/>
  <c r="AY44" i="13" s="1"/>
  <c r="AY42" i="13" a="1"/>
  <c r="AY42" i="13" s="1"/>
  <c r="AY41" i="13" s="1"/>
  <c r="AX41" i="13"/>
  <c r="AX32" i="13" s="1"/>
  <c r="AZ34" i="13"/>
  <c r="AZ47" i="13" s="1"/>
  <c r="C40" i="27"/>
  <c r="E40" i="27" s="1"/>
  <c r="F16" i="10"/>
  <c r="AG102" i="13"/>
  <c r="AW117" i="13"/>
  <c r="AU132" i="13"/>
  <c r="AW103" i="13"/>
  <c r="CC142" i="13"/>
  <c r="BI110" i="13"/>
  <c r="BZ127" i="13"/>
  <c r="AM128" i="13"/>
  <c r="CC103" i="13"/>
  <c r="AZ117" i="13"/>
  <c r="CE134" i="13"/>
  <c r="BH113" i="13"/>
  <c r="BO123" i="13"/>
  <c r="BH145" i="13"/>
  <c r="BQ105" i="13"/>
  <c r="CF107" i="13"/>
  <c r="CE139" i="13"/>
  <c r="BY144" i="13"/>
  <c r="AV149" i="13"/>
  <c r="BU145" i="13"/>
  <c r="BN113" i="13"/>
  <c r="AH139" i="13"/>
  <c r="BX147" i="13"/>
  <c r="BC146" i="13"/>
  <c r="AX135" i="13"/>
  <c r="CF146" i="13"/>
  <c r="AY123" i="13"/>
  <c r="AT149" i="13"/>
  <c r="AP121" i="13"/>
  <c r="AY139" i="13"/>
  <c r="BA137" i="13"/>
  <c r="BA128" i="13"/>
  <c r="BB133" i="13"/>
  <c r="CE117" i="13"/>
  <c r="CC137" i="13"/>
  <c r="BZ119" i="13"/>
  <c r="AM113" i="13"/>
  <c r="AK140" i="13"/>
  <c r="AX115" i="13"/>
  <c r="BT145" i="13"/>
  <c r="AG145" i="13"/>
  <c r="AJ132" i="13"/>
  <c r="BH148" i="13"/>
  <c r="BY140" i="13"/>
  <c r="CB124" i="13"/>
  <c r="BL121" i="13"/>
  <c r="BT104" i="13"/>
  <c r="AX139" i="13"/>
  <c r="AY145" i="13"/>
  <c r="BA135" i="13"/>
  <c r="AV142" i="13"/>
  <c r="AX102" i="13"/>
  <c r="BC123" i="13"/>
  <c r="AV140" i="13"/>
  <c r="AO141" i="13"/>
  <c r="AN134" i="13"/>
  <c r="BA144" i="13"/>
  <c r="AY124" i="13"/>
  <c r="AX130" i="13"/>
  <c r="CC129" i="13"/>
  <c r="BM145" i="13"/>
  <c r="BC102" i="13"/>
  <c r="CB147" i="13"/>
  <c r="BL119" i="13"/>
  <c r="BU149" i="13"/>
  <c r="AZ137" i="13"/>
  <c r="CE129" i="13"/>
  <c r="BV124" i="13"/>
  <c r="AJ141" i="13"/>
  <c r="BD116" i="13"/>
  <c r="CB111" i="13"/>
  <c r="BS121" i="13"/>
  <c r="CC132" i="13"/>
  <c r="AV137" i="13"/>
  <c r="BP114" i="13"/>
  <c r="AG143" i="13"/>
  <c r="AG134" i="13"/>
  <c r="BF131" i="13"/>
  <c r="CF135" i="13"/>
  <c r="AP138" i="13"/>
  <c r="AJ134" i="13"/>
  <c r="AY107" i="13"/>
  <c r="BM107" i="13"/>
  <c r="AL103" i="13"/>
  <c r="AR118" i="13"/>
  <c r="AK117" i="13"/>
  <c r="BG118" i="13"/>
  <c r="BM146" i="13"/>
  <c r="BU127" i="13"/>
  <c r="CE118" i="13"/>
  <c r="BC145" i="13"/>
  <c r="BG109" i="13"/>
  <c r="AY138" i="13"/>
  <c r="BU118" i="13"/>
  <c r="AS125" i="13"/>
  <c r="AV108" i="13"/>
  <c r="AG109" i="13"/>
  <c r="AG113" i="13"/>
  <c r="AG138" i="13"/>
  <c r="AY134" i="13"/>
  <c r="CB106" i="13"/>
  <c r="BC136" i="13"/>
  <c r="BM111" i="13"/>
  <c r="AJ139" i="13"/>
  <c r="AP144" i="13"/>
  <c r="CC104" i="13"/>
  <c r="BW147" i="13"/>
  <c r="AJ103" i="13"/>
  <c r="BM142" i="13"/>
  <c r="BK140" i="13"/>
  <c r="AZ113" i="13"/>
  <c r="BF106" i="13"/>
  <c r="BZ113" i="13"/>
  <c r="AZ119" i="13"/>
  <c r="BN110" i="13"/>
  <c r="AG133" i="13"/>
  <c r="AG139" i="13"/>
  <c r="AN148" i="13"/>
  <c r="AZ105" i="13"/>
  <c r="AQ128" i="13"/>
  <c r="BD149" i="13"/>
  <c r="AK145" i="13"/>
  <c r="BN122" i="13"/>
  <c r="AX120" i="13"/>
  <c r="BG145" i="13"/>
  <c r="CE126" i="13"/>
  <c r="BQ143" i="13"/>
  <c r="AI131" i="13"/>
  <c r="BY117" i="13"/>
  <c r="BO114" i="13"/>
  <c r="BQ128" i="13"/>
  <c r="BW123" i="13"/>
  <c r="AK135" i="13"/>
  <c r="AU114" i="13"/>
  <c r="BA112" i="13"/>
  <c r="BB128" i="13"/>
  <c r="BS145" i="13"/>
  <c r="AK115" i="13"/>
  <c r="AL136" i="13"/>
  <c r="BU144" i="13"/>
  <c r="CE138" i="13"/>
  <c r="AU131" i="13"/>
  <c r="BA119" i="13"/>
  <c r="BG110" i="13"/>
  <c r="BE111" i="13"/>
  <c r="AH122" i="13"/>
  <c r="CC113" i="13"/>
  <c r="AN144" i="13"/>
  <c r="CE119" i="13"/>
  <c r="BT134" i="13"/>
  <c r="AM117" i="13"/>
  <c r="AO104" i="13"/>
  <c r="BX113" i="13"/>
  <c r="AQ108" i="13"/>
  <c r="AL114" i="13"/>
  <c r="AR133" i="13"/>
  <c r="BF133" i="13"/>
  <c r="BH137" i="13"/>
  <c r="AX145" i="13"/>
  <c r="BY105" i="13"/>
  <c r="AN108" i="13"/>
  <c r="BT119" i="13"/>
  <c r="AH120" i="13"/>
  <c r="AV120" i="13"/>
  <c r="AX124" i="13"/>
  <c r="BP139" i="13"/>
  <c r="BF147" i="13"/>
  <c r="BF139" i="13"/>
  <c r="CC107" i="13"/>
  <c r="BL117" i="13"/>
  <c r="BZ117" i="13"/>
  <c r="CF136" i="13"/>
  <c r="AT137" i="13"/>
  <c r="AV141" i="13"/>
  <c r="AL149" i="13"/>
  <c r="BD103" i="13"/>
  <c r="AU102" i="13"/>
  <c r="CD111" i="13"/>
  <c r="BH123" i="13"/>
  <c r="BV123" i="13"/>
  <c r="AJ124" i="13"/>
  <c r="AL128" i="13"/>
  <c r="BD143" i="13"/>
  <c r="CE103" i="13"/>
  <c r="BI143" i="13"/>
  <c r="AZ121" i="13"/>
  <c r="BN121" i="13"/>
  <c r="BT140" i="13"/>
  <c r="AH141" i="13"/>
  <c r="AJ145" i="13"/>
  <c r="BW101" i="13"/>
  <c r="BX107" i="13"/>
  <c r="AI106" i="13"/>
  <c r="BR115" i="13"/>
  <c r="AV127" i="13"/>
  <c r="BJ127" i="13"/>
  <c r="BX127" i="13"/>
  <c r="BZ131" i="13"/>
  <c r="AR147" i="13"/>
  <c r="BS107" i="13"/>
  <c r="AS101" i="13"/>
  <c r="BL147" i="13"/>
  <c r="AN125" i="13"/>
  <c r="BB125" i="13"/>
  <c r="BH144" i="13"/>
  <c r="BV144" i="13"/>
  <c r="BI101" i="13"/>
  <c r="BX148" i="13"/>
  <c r="BK105" i="13"/>
  <c r="AM103" i="13"/>
  <c r="BU105" i="13"/>
  <c r="BP111" i="13"/>
  <c r="BF119" i="13"/>
  <c r="AJ131" i="13"/>
  <c r="AX131" i="13"/>
  <c r="BL131" i="13"/>
  <c r="BN135" i="13"/>
  <c r="BN105" i="13"/>
  <c r="CB128" i="13"/>
  <c r="AP129" i="13"/>
  <c r="AV148" i="13"/>
  <c r="AU101" i="13"/>
  <c r="BJ148" i="13"/>
  <c r="AW105" i="13"/>
  <c r="BH107" i="13"/>
  <c r="BD115" i="13"/>
  <c r="AT123" i="13"/>
  <c r="BX134" i="13"/>
  <c r="AL135" i="13"/>
  <c r="AZ135" i="13"/>
  <c r="BB139" i="13"/>
  <c r="CA103" i="13"/>
  <c r="BV109" i="13"/>
  <c r="BP132" i="13"/>
  <c r="CD132" i="13"/>
  <c r="AI105" i="13"/>
  <c r="BV102" i="13"/>
  <c r="BS101" i="13"/>
  <c r="BB111" i="13"/>
  <c r="AR119" i="13"/>
  <c r="AH127" i="13"/>
  <c r="BL138" i="13"/>
  <c r="BZ138" i="13"/>
  <c r="AN139" i="13"/>
  <c r="AP143" i="13"/>
  <c r="AX105" i="13"/>
  <c r="BO107" i="13"/>
  <c r="BJ113" i="13"/>
  <c r="BD136" i="13"/>
  <c r="BR136" i="13"/>
  <c r="BU104" i="13"/>
  <c r="AP102" i="13"/>
  <c r="BF102" i="13"/>
  <c r="BE101" i="13"/>
  <c r="AR107" i="13"/>
  <c r="BG105" i="13"/>
  <c r="AP115" i="13"/>
  <c r="CF122" i="13"/>
  <c r="BV130" i="13"/>
  <c r="AZ142" i="13"/>
  <c r="BN142" i="13"/>
  <c r="CB142" i="13"/>
  <c r="CD146" i="13"/>
  <c r="BQ103" i="13"/>
  <c r="BH109" i="13"/>
  <c r="AX117" i="13"/>
  <c r="BW105" i="13"/>
  <c r="AR140" i="13"/>
  <c r="BF140" i="13"/>
  <c r="BJ106" i="13"/>
  <c r="AQ101" i="13"/>
  <c r="CA106" i="13"/>
  <c r="AS105" i="13"/>
  <c r="AN111" i="13"/>
  <c r="CD118" i="13"/>
  <c r="BT126" i="13"/>
  <c r="BJ134" i="13"/>
  <c r="AN146" i="13"/>
  <c r="BB146" i="13"/>
  <c r="BP146" i="13"/>
  <c r="BE107" i="13"/>
  <c r="AV113" i="13"/>
  <c r="AL121" i="13"/>
  <c r="BJ110" i="13"/>
  <c r="CD105" i="13"/>
  <c r="BG104" i="13"/>
  <c r="AN118" i="13"/>
  <c r="CB114" i="13"/>
  <c r="AJ104" i="13"/>
  <c r="CA102" i="13"/>
  <c r="AM107" i="13"/>
  <c r="CD139" i="13"/>
  <c r="BU137" i="13"/>
  <c r="AI101" i="13"/>
  <c r="BA129" i="13"/>
  <c r="BZ103" i="13"/>
  <c r="AX119" i="13"/>
  <c r="BB114" i="13"/>
  <c r="BO131" i="13"/>
  <c r="AS127" i="13"/>
  <c r="AU126" i="13"/>
  <c r="BP141" i="13"/>
  <c r="BA145" i="13"/>
  <c r="AP148" i="13"/>
  <c r="BT113" i="13"/>
  <c r="BU141" i="13"/>
  <c r="BP137" i="13"/>
  <c r="BY111" i="13"/>
  <c r="CA134" i="13"/>
  <c r="BS102" i="13"/>
  <c r="BT105" i="13"/>
  <c r="AQ140" i="13"/>
  <c r="BH120" i="13"/>
  <c r="BX137" i="13"/>
  <c r="BC118" i="13"/>
  <c r="AV133" i="13"/>
  <c r="AX149" i="13"/>
  <c r="AH115" i="13"/>
  <c r="AN143" i="13"/>
  <c r="AJ110" i="13"/>
  <c r="AU108" i="13"/>
  <c r="CB121" i="13"/>
  <c r="BP118" i="13"/>
  <c r="AY102" i="13"/>
  <c r="BD108" i="13"/>
  <c r="BO106" i="13"/>
  <c r="BR143" i="13"/>
  <c r="BY141" i="13"/>
  <c r="AI107" i="13"/>
  <c r="AK104" i="13"/>
  <c r="AM134" i="13"/>
  <c r="BQ111" i="13"/>
  <c r="AP125" i="13"/>
  <c r="AM101" i="13"/>
  <c r="BR135" i="13"/>
  <c r="BS136" i="13"/>
  <c r="BV131" i="13"/>
  <c r="AP147" i="13"/>
  <c r="BU111" i="13"/>
  <c r="AJ118" i="13"/>
  <c r="BI146" i="13"/>
  <c r="CF104" i="13"/>
  <c r="BD102" i="13"/>
  <c r="AR143" i="13"/>
  <c r="BY118" i="13"/>
  <c r="AN102" i="13"/>
  <c r="CD138" i="13"/>
  <c r="BO108" i="13"/>
  <c r="AV111" i="13"/>
  <c r="CC144" i="13"/>
  <c r="AK108" i="13"/>
  <c r="AV126" i="13"/>
  <c r="AY143" i="13"/>
  <c r="BE124" i="13"/>
  <c r="AK141" i="13"/>
  <c r="AS119" i="13"/>
  <c r="BZ147" i="13"/>
  <c r="BS106" i="13"/>
  <c r="AQ104" i="13"/>
  <c r="CF143" i="13"/>
  <c r="BQ104" i="13"/>
  <c r="BP125" i="13"/>
  <c r="BD122" i="13"/>
  <c r="BH130" i="13"/>
  <c r="AM106" i="13"/>
  <c r="AR112" i="13"/>
  <c r="BP104" i="13"/>
  <c r="BC103" i="13"/>
  <c r="AJ117" i="13"/>
  <c r="CB145" i="13"/>
  <c r="AY112" i="13"/>
  <c r="BW109" i="13"/>
  <c r="BX138" i="13"/>
  <c r="BS118" i="13"/>
  <c r="BQ130" i="13"/>
  <c r="AW109" i="13"/>
  <c r="AU113" i="13"/>
  <c r="BU139" i="13"/>
  <c r="AH104" i="13"/>
  <c r="BD141" i="13"/>
  <c r="AW137" i="13"/>
  <c r="BE103" i="13"/>
  <c r="AO122" i="13"/>
  <c r="AM122" i="13"/>
  <c r="BO110" i="13"/>
  <c r="BE108" i="13"/>
  <c r="BS148" i="13"/>
  <c r="CF129" i="13"/>
  <c r="AJ138" i="13"/>
  <c r="BI102" i="13"/>
  <c r="CB149" i="13"/>
  <c r="BT112" i="13"/>
  <c r="BL124" i="13"/>
  <c r="AV106" i="13"/>
  <c r="AQ122" i="13"/>
  <c r="AX148" i="13"/>
  <c r="AS113" i="13"/>
  <c r="AR130" i="13"/>
  <c r="BS141" i="13"/>
  <c r="BX122" i="13"/>
  <c r="AO131" i="13"/>
  <c r="CA147" i="13"/>
  <c r="BD113" i="13"/>
  <c r="AS110" i="13"/>
  <c r="AI108" i="13"/>
  <c r="AZ148" i="13"/>
  <c r="BA118" i="13"/>
  <c r="BB101" i="13"/>
  <c r="AS130" i="13"/>
  <c r="BK120" i="13"/>
  <c r="BJ118" i="13"/>
  <c r="AY113" i="13"/>
  <c r="AR116" i="13"/>
  <c r="BG123" i="13"/>
  <c r="BD127" i="13"/>
  <c r="BY142" i="13"/>
  <c r="BJ146" i="13"/>
  <c r="AH108" i="13"/>
  <c r="BB131" i="13"/>
  <c r="CD121" i="13"/>
  <c r="CC119" i="13"/>
  <c r="BZ110" i="13"/>
  <c r="BL145" i="13"/>
  <c r="AK103" i="13"/>
  <c r="BA107" i="13"/>
  <c r="AN132" i="13"/>
  <c r="AN114" i="13"/>
  <c r="BO103" i="13"/>
  <c r="BN131" i="13"/>
  <c r="BX125" i="13"/>
  <c r="AW141" i="13"/>
  <c r="CB133" i="13"/>
  <c r="BX121" i="13"/>
  <c r="AS120" i="13"/>
  <c r="AS118" i="13"/>
  <c r="AQ105" i="13"/>
  <c r="AR111" i="13"/>
  <c r="AZ138" i="13"/>
  <c r="CC101" i="13"/>
  <c r="AJ130" i="13"/>
  <c r="AS104" i="13"/>
  <c r="BZ101" i="13"/>
  <c r="BN114" i="13"/>
  <c r="AZ149" i="13"/>
  <c r="BM102" i="13"/>
  <c r="BY106" i="13"/>
  <c r="CB135" i="13"/>
  <c r="BS108" i="13"/>
  <c r="BA136" i="13"/>
  <c r="BA131" i="13"/>
  <c r="BW146" i="13"/>
  <c r="BD139" i="13"/>
  <c r="AJ101" i="13"/>
  <c r="CA125" i="13"/>
  <c r="CE124" i="13"/>
  <c r="CE122" i="13"/>
  <c r="CA112" i="13"/>
  <c r="AT101" i="13"/>
  <c r="BL115" i="13"/>
  <c r="BC142" i="13"/>
  <c r="CA107" i="13"/>
  <c r="CB104" i="13"/>
  <c r="BU134" i="13"/>
  <c r="BP112" i="13"/>
  <c r="BG131" i="13"/>
  <c r="BG117" i="13"/>
  <c r="BG124" i="13"/>
  <c r="BD111" i="13"/>
  <c r="BE128" i="13"/>
  <c r="AN105" i="13"/>
  <c r="BF142" i="13"/>
  <c r="AX103" i="13"/>
  <c r="AH144" i="13"/>
  <c r="CB112" i="13"/>
  <c r="CC120" i="13"/>
  <c r="BK143" i="13"/>
  <c r="BC109" i="13"/>
  <c r="BP106" i="13"/>
  <c r="AN136" i="13"/>
  <c r="AT106" i="13"/>
  <c r="CE104" i="13"/>
  <c r="BB118" i="13"/>
  <c r="BR122" i="13"/>
  <c r="BA106" i="13"/>
  <c r="AZ104" i="13"/>
  <c r="CF114" i="13"/>
  <c r="AN113" i="13"/>
  <c r="AM141" i="13"/>
  <c r="CC136" i="13"/>
  <c r="CE144" i="13"/>
  <c r="AP106" i="13"/>
  <c r="CD129" i="13"/>
  <c r="BS129" i="13"/>
  <c r="BE104" i="13"/>
  <c r="BS119" i="13"/>
  <c r="BQ101" i="13"/>
  <c r="AK114" i="13"/>
  <c r="BU119" i="13"/>
  <c r="BF146" i="13"/>
  <c r="AK113" i="13"/>
  <c r="BH110" i="13"/>
  <c r="BI139" i="13"/>
  <c r="BP119" i="13"/>
  <c r="AH137" i="13"/>
  <c r="BP123" i="13"/>
  <c r="AR132" i="13"/>
  <c r="AR115" i="13"/>
  <c r="BH132" i="13"/>
  <c r="CF109" i="13"/>
  <c r="AQ147" i="13"/>
  <c r="CA105" i="13"/>
  <c r="AP109" i="13"/>
  <c r="BH149" i="13"/>
  <c r="BV119" i="13"/>
  <c r="BR101" i="13"/>
  <c r="BV103" i="13"/>
  <c r="CF124" i="13"/>
  <c r="BN147" i="13"/>
  <c r="BI114" i="13"/>
  <c r="AX110" i="13"/>
  <c r="AP122" i="13"/>
  <c r="BF126" i="13"/>
  <c r="AK102" i="13"/>
  <c r="BT103" i="13"/>
  <c r="BR108" i="13"/>
  <c r="AO103" i="13"/>
  <c r="AP119" i="13"/>
  <c r="BF117" i="13"/>
  <c r="BC104" i="13"/>
  <c r="AH148" i="13"/>
  <c r="BN149" i="13"/>
  <c r="AT116" i="13"/>
  <c r="BL107" i="13"/>
  <c r="AV115" i="13"/>
  <c r="AN142" i="13"/>
  <c r="AP110" i="13"/>
  <c r="AN131" i="13"/>
  <c r="BP131" i="13"/>
  <c r="CA127" i="13"/>
  <c r="BW106" i="13"/>
  <c r="AQ120" i="13"/>
  <c r="BA111" i="13"/>
  <c r="AP108" i="13"/>
  <c r="BN145" i="13"/>
  <c r="BU133" i="13"/>
  <c r="AP149" i="13"/>
  <c r="BW141" i="13"/>
  <c r="BK123" i="13"/>
  <c r="BC112" i="13"/>
  <c r="AU110" i="13"/>
  <c r="BH103" i="13"/>
  <c r="AN119" i="13"/>
  <c r="AW110" i="13"/>
  <c r="BJ111" i="13"/>
  <c r="BY121" i="13"/>
  <c r="BC132" i="13"/>
  <c r="BX105" i="13"/>
  <c r="BZ115" i="13"/>
  <c r="BW126" i="13"/>
  <c r="AS129" i="13"/>
  <c r="AH118" i="13"/>
  <c r="BE126" i="13"/>
  <c r="BT139" i="13"/>
  <c r="AW149" i="13"/>
  <c r="BO109" i="13"/>
  <c r="AY119" i="13"/>
  <c r="AW126" i="13"/>
  <c r="AX127" i="13"/>
  <c r="AX146" i="13"/>
  <c r="BY125" i="13"/>
  <c r="BC133" i="13"/>
  <c r="CB148" i="13"/>
  <c r="AQ132" i="13"/>
  <c r="CE113" i="13"/>
  <c r="AK130" i="13"/>
  <c r="BC143" i="13"/>
  <c r="AK128" i="13"/>
  <c r="BV104" i="13"/>
  <c r="AI116" i="13"/>
  <c r="BO125" i="13"/>
  <c r="AZ146" i="13"/>
  <c r="BV120" i="13"/>
  <c r="BM117" i="13"/>
  <c r="BI137" i="13"/>
  <c r="AP137" i="13"/>
  <c r="AW108" i="13"/>
  <c r="BI118" i="13"/>
  <c r="AO147" i="13"/>
  <c r="AN122" i="13"/>
  <c r="AI119" i="13"/>
  <c r="BG122" i="13"/>
  <c r="CF106" i="13"/>
  <c r="AL117" i="13"/>
  <c r="BQ127" i="13"/>
  <c r="BJ147" i="13"/>
  <c r="AR137" i="13"/>
  <c r="BJ128" i="13"/>
  <c r="AR122" i="13"/>
  <c r="AK149" i="13"/>
  <c r="AY106" i="13"/>
  <c r="CE114" i="13"/>
  <c r="AL124" i="13"/>
  <c r="AI109" i="13"/>
  <c r="AZ124" i="13"/>
  <c r="CA128" i="13"/>
  <c r="BD125" i="13"/>
  <c r="AP128" i="13"/>
  <c r="AR145" i="13"/>
  <c r="BS126" i="13"/>
  <c r="AS135" i="13"/>
  <c r="AQ118" i="13"/>
  <c r="BB129" i="13"/>
  <c r="BO105" i="13"/>
  <c r="BO145" i="13"/>
  <c r="AU127" i="13"/>
  <c r="BY136" i="13"/>
  <c r="AX142" i="13"/>
  <c r="AH131" i="13"/>
  <c r="CF113" i="13"/>
  <c r="AZ111" i="13"/>
  <c r="BQ135" i="13"/>
  <c r="BP102" i="13"/>
  <c r="AS131" i="13"/>
  <c r="CF108" i="13"/>
  <c r="AT109" i="13"/>
  <c r="BI121" i="13"/>
  <c r="BZ112" i="13"/>
  <c r="BE119" i="13"/>
  <c r="AQ146" i="13"/>
  <c r="AW115" i="13"/>
  <c r="AS106" i="13"/>
  <c r="BN136" i="13"/>
  <c r="BA139" i="13"/>
  <c r="CD131" i="13"/>
  <c r="AS114" i="13"/>
  <c r="CF125" i="13"/>
  <c r="BH135" i="13"/>
  <c r="CF111" i="13"/>
  <c r="AV139" i="13"/>
  <c r="AZ147" i="13"/>
  <c r="AT103" i="13"/>
  <c r="BN127" i="13"/>
  <c r="BI117" i="13"/>
  <c r="BB115" i="13"/>
  <c r="BU108" i="13"/>
  <c r="BV122" i="13"/>
  <c r="AU105" i="13"/>
  <c r="BN109" i="13"/>
  <c r="CC118" i="13"/>
  <c r="BN130" i="13"/>
  <c r="BI140" i="13"/>
  <c r="BB117" i="13"/>
  <c r="AZ103" i="13"/>
  <c r="BT125" i="13"/>
  <c r="BZ106" i="13"/>
  <c r="BF134" i="13"/>
  <c r="AS145" i="13"/>
  <c r="BJ125" i="13"/>
  <c r="AN133" i="13"/>
  <c r="BK148" i="13"/>
  <c r="AT122" i="13"/>
  <c r="BH105" i="13"/>
  <c r="AQ135" i="13"/>
  <c r="CB108" i="13"/>
  <c r="AJ135" i="13"/>
  <c r="AO108" i="13"/>
  <c r="BW132" i="13"/>
  <c r="CE140" i="13"/>
  <c r="CA140" i="13"/>
  <c r="BX124" i="13"/>
  <c r="BW137" i="13"/>
  <c r="CC141" i="13"/>
  <c r="BL103" i="13"/>
  <c r="BG112" i="13"/>
  <c r="CA124" i="13"/>
  <c r="BD133" i="13"/>
  <c r="BJ135" i="13"/>
  <c r="CC126" i="13"/>
  <c r="BI120" i="13"/>
  <c r="BL106" i="13"/>
  <c r="BS116" i="13"/>
  <c r="AZ127" i="13"/>
  <c r="BO136" i="13"/>
  <c r="AJ128" i="13"/>
  <c r="AU140" i="13"/>
  <c r="BR114" i="13"/>
  <c r="CB125" i="13"/>
  <c r="BW135" i="13"/>
  <c r="AY110" i="13"/>
  <c r="BB149" i="13"/>
  <c r="BF109" i="13"/>
  <c r="AY136" i="13"/>
  <c r="CA135" i="13"/>
  <c r="BK139" i="13"/>
  <c r="AX101" i="13"/>
  <c r="BQ138" i="13"/>
  <c r="BA134" i="13"/>
  <c r="AX144" i="13"/>
  <c r="BI112" i="13"/>
  <c r="BA142" i="13"/>
  <c r="AL141" i="13"/>
  <c r="AS141" i="13"/>
  <c r="AH114" i="13"/>
  <c r="BT116" i="13"/>
  <c r="BN141" i="13"/>
  <c r="AK123" i="13"/>
  <c r="AN106" i="13"/>
  <c r="AU139" i="13"/>
  <c r="AM121" i="13"/>
  <c r="AX114" i="13"/>
  <c r="BY127" i="13"/>
  <c r="BI108" i="13"/>
  <c r="BF122" i="13"/>
  <c r="BS130" i="13"/>
  <c r="AV128" i="13"/>
  <c r="BZ129" i="13"/>
  <c r="AV130" i="13"/>
  <c r="BH116" i="13"/>
  <c r="AH113" i="13"/>
  <c r="BL125" i="13"/>
  <c r="CB117" i="13"/>
  <c r="BM104" i="13"/>
  <c r="BI123" i="13"/>
  <c r="BQ113" i="13"/>
  <c r="AP142" i="13"/>
  <c r="AM147" i="13"/>
  <c r="AJ140" i="13"/>
  <c r="CF120" i="13"/>
  <c r="BI142" i="13"/>
  <c r="AO102" i="13"/>
  <c r="AY111" i="13"/>
  <c r="AS115" i="13"/>
  <c r="BC114" i="13"/>
  <c r="AI141" i="13"/>
  <c r="BT115" i="13"/>
  <c r="BW144" i="13"/>
  <c r="BD106" i="13"/>
  <c r="AZ108" i="13"/>
  <c r="BQ131" i="13"/>
  <c r="AU122" i="13"/>
  <c r="AT120" i="13"/>
  <c r="CA115" i="13"/>
  <c r="AQ112" i="13"/>
  <c r="CA131" i="13"/>
  <c r="BS117" i="13"/>
  <c r="AW125" i="13"/>
  <c r="BC139" i="13"/>
  <c r="CF147" i="13"/>
  <c r="AN109" i="13"/>
  <c r="BT118" i="13"/>
  <c r="BM134" i="13"/>
  <c r="BW125" i="13"/>
  <c r="AU142" i="13"/>
  <c r="AT104" i="13"/>
  <c r="AS132" i="13"/>
  <c r="BP140" i="13"/>
  <c r="BD131" i="13"/>
  <c r="BI119" i="13"/>
  <c r="BZ142" i="13"/>
  <c r="CD126" i="13"/>
  <c r="BU142" i="13"/>
  <c r="AQ139" i="13"/>
  <c r="BG148" i="13"/>
  <c r="BE105" i="13"/>
  <c r="BI133" i="13"/>
  <c r="BF145" i="13"/>
  <c r="BH111" i="13"/>
  <c r="BA120" i="13"/>
  <c r="BO132" i="13"/>
  <c r="AS142" i="13"/>
  <c r="BV108" i="13"/>
  <c r="AI146" i="13"/>
  <c r="BR106" i="13"/>
  <c r="BP134" i="13"/>
  <c r="BB109" i="13"/>
  <c r="BP113" i="13"/>
  <c r="BG125" i="13"/>
  <c r="AX104" i="13"/>
  <c r="AJ114" i="13"/>
  <c r="BI125" i="13"/>
  <c r="AM135" i="13"/>
  <c r="BT109" i="13"/>
  <c r="AT148" i="13"/>
  <c r="BN108" i="13"/>
  <c r="BV135" i="13"/>
  <c r="AI111" i="13"/>
  <c r="BR104" i="13"/>
  <c r="AT121" i="13"/>
  <c r="BQ134" i="13"/>
  <c r="AS143" i="13"/>
  <c r="AH121" i="13"/>
  <c r="AN145" i="13"/>
  <c r="BY103" i="13"/>
  <c r="BJ119" i="13"/>
  <c r="BB119" i="13"/>
  <c r="BZ144" i="13"/>
  <c r="CF138" i="13"/>
  <c r="CF119" i="13"/>
  <c r="AJ116" i="13"/>
  <c r="BA117" i="13"/>
  <c r="BT121" i="13"/>
  <c r="AZ106" i="13"/>
  <c r="BT128" i="13"/>
  <c r="CC117" i="13"/>
  <c r="BG127" i="13"/>
  <c r="AI114" i="13"/>
  <c r="AL122" i="13"/>
  <c r="AX143" i="13"/>
  <c r="BM129" i="13"/>
  <c r="AH146" i="13"/>
  <c r="BV127" i="13"/>
  <c r="BC137" i="13"/>
  <c r="BR121" i="13"/>
  <c r="AR101" i="13"/>
  <c r="BX149" i="13"/>
  <c r="AH130" i="13"/>
  <c r="BV116" i="13"/>
  <c r="BX120" i="13"/>
  <c r="BZ124" i="13"/>
  <c r="BO129" i="13"/>
  <c r="BM122" i="13"/>
  <c r="AW112" i="13"/>
  <c r="BT107" i="13"/>
  <c r="BL127" i="13"/>
  <c r="BG120" i="13"/>
  <c r="BQ147" i="13"/>
  <c r="AM144" i="13"/>
  <c r="BN126" i="13"/>
  <c r="AK148" i="13"/>
  <c r="BX114" i="13"/>
  <c r="BA114" i="13"/>
  <c r="BW113" i="13"/>
  <c r="BE116" i="13"/>
  <c r="BU121" i="13"/>
  <c r="AJ121" i="13"/>
  <c r="AH112" i="13"/>
  <c r="CB113" i="13"/>
  <c r="BU112" i="13"/>
  <c r="BT135" i="13"/>
  <c r="CF126" i="13"/>
  <c r="AY122" i="13"/>
  <c r="AT105" i="13"/>
  <c r="AZ107" i="13"/>
  <c r="AT107" i="13"/>
  <c r="BC105" i="13"/>
  <c r="AU124" i="13"/>
  <c r="CF140" i="13"/>
  <c r="BM115" i="13"/>
  <c r="BQ124" i="13"/>
  <c r="BY132" i="13"/>
  <c r="BI147" i="13"/>
  <c r="BX129" i="13"/>
  <c r="CC128" i="13"/>
  <c r="AW142" i="13"/>
  <c r="BN139" i="13"/>
  <c r="BQ106" i="13"/>
  <c r="CB138" i="13"/>
  <c r="AR148" i="13"/>
  <c r="AH105" i="13"/>
  <c r="BG140" i="13"/>
  <c r="BA113" i="13"/>
  <c r="BG129" i="13"/>
  <c r="BU140" i="13"/>
  <c r="AL115" i="13"/>
  <c r="BS146" i="13"/>
  <c r="BT102" i="13"/>
  <c r="BQ114" i="13"/>
  <c r="BU143" i="13"/>
  <c r="AI121" i="13"/>
  <c r="AM112" i="13"/>
  <c r="BL118" i="13"/>
  <c r="CC127" i="13"/>
  <c r="BD140" i="13"/>
  <c r="BR110" i="13"/>
  <c r="BH121" i="13"/>
  <c r="AP118" i="13"/>
  <c r="BG143" i="13"/>
  <c r="AW120" i="13"/>
  <c r="BG132" i="13"/>
  <c r="BG136" i="13"/>
  <c r="AL113" i="13"/>
  <c r="CE120" i="13"/>
  <c r="AZ134" i="13"/>
  <c r="CA142" i="13"/>
  <c r="AT113" i="13"/>
  <c r="BA122" i="13"/>
  <c r="BN119" i="13"/>
  <c r="BN144" i="13"/>
  <c r="BO121" i="13"/>
  <c r="CD116" i="13"/>
  <c r="BB113" i="13"/>
  <c r="BV128" i="13"/>
  <c r="BW142" i="13"/>
  <c r="AT114" i="13"/>
  <c r="AK110" i="13"/>
  <c r="BN129" i="13"/>
  <c r="BJ109" i="13"/>
  <c r="BW127" i="13"/>
  <c r="BK117" i="13"/>
  <c r="BS131" i="13"/>
  <c r="AZ116" i="13"/>
  <c r="AP127" i="13"/>
  <c r="AK143" i="13"/>
  <c r="BJ144" i="13"/>
  <c r="CA145" i="13"/>
  <c r="BB137" i="13"/>
  <c r="BJ105" i="13"/>
  <c r="AJ149" i="13"/>
  <c r="BD126" i="13"/>
  <c r="BP142" i="13"/>
  <c r="BS111" i="13"/>
  <c r="AR138" i="13"/>
  <c r="BU107" i="13"/>
  <c r="AK119" i="13"/>
  <c r="BI148" i="13"/>
  <c r="AI132" i="13"/>
  <c r="BK118" i="13"/>
  <c r="CE142" i="13"/>
  <c r="BW117" i="13"/>
  <c r="AT142" i="13"/>
  <c r="BE143" i="13"/>
  <c r="BN132" i="13"/>
  <c r="AQ116" i="13"/>
  <c r="BX139" i="13"/>
  <c r="BJ124" i="13"/>
  <c r="BV112" i="13"/>
  <c r="BL110" i="13"/>
  <c r="BB132" i="13"/>
  <c r="CE149" i="13"/>
  <c r="AK120" i="13"/>
  <c r="AU147" i="13"/>
  <c r="BA115" i="13"/>
  <c r="AX125" i="13"/>
  <c r="BR147" i="13"/>
  <c r="BX111" i="13"/>
  <c r="BQ122" i="13"/>
  <c r="AU128" i="13"/>
  <c r="BR130" i="13"/>
  <c r="BF138" i="13"/>
  <c r="AV132" i="13"/>
  <c r="CB109" i="13"/>
  <c r="AR108" i="13"/>
  <c r="CF102" i="13"/>
  <c r="AL104" i="13"/>
  <c r="AR121" i="13"/>
  <c r="BZ143" i="13"/>
  <c r="BU109" i="13"/>
  <c r="AJ107" i="13"/>
  <c r="BF136" i="13"/>
  <c r="AT115" i="13"/>
  <c r="BG133" i="13"/>
  <c r="BY119" i="13"/>
  <c r="AT127" i="13"/>
  <c r="BE113" i="13"/>
  <c r="AW123" i="13"/>
  <c r="BN143" i="13"/>
  <c r="BM138" i="13"/>
  <c r="AY147" i="13"/>
  <c r="BU103" i="13"/>
  <c r="BC122" i="13"/>
  <c r="AZ144" i="13"/>
  <c r="CC108" i="13"/>
  <c r="AZ120" i="13"/>
  <c r="BR112" i="13"/>
  <c r="CE121" i="13"/>
  <c r="AO133" i="13"/>
  <c r="BQ119" i="13"/>
  <c r="BF110" i="13"/>
  <c r="BB127" i="13"/>
  <c r="BW111" i="13"/>
  <c r="AR110" i="13"/>
  <c r="BJ143" i="13"/>
  <c r="BP133" i="13"/>
  <c r="AT141" i="13"/>
  <c r="AZ133" i="13"/>
  <c r="BY120" i="13"/>
  <c r="AT136" i="13"/>
  <c r="AJ112" i="13"/>
  <c r="AQ136" i="13"/>
  <c r="CF112" i="13"/>
  <c r="BX117" i="13"/>
  <c r="BR126" i="13"/>
  <c r="AI136" i="13"/>
  <c r="CA149" i="13"/>
  <c r="AP134" i="13"/>
  <c r="CE102" i="13"/>
  <c r="BB123" i="13"/>
  <c r="AY137" i="13"/>
  <c r="AQ115" i="13"/>
  <c r="AU137" i="13"/>
  <c r="BI134" i="13"/>
  <c r="AV143" i="13"/>
  <c r="BK134" i="13"/>
  <c r="CE115" i="13"/>
  <c r="AT132" i="13"/>
  <c r="BP145" i="13"/>
  <c r="BF132" i="13"/>
  <c r="AX133" i="13"/>
  <c r="BY143" i="13"/>
  <c r="BA127" i="13"/>
  <c r="AZ114" i="13"/>
  <c r="AP136" i="13"/>
  <c r="AP104" i="13"/>
  <c r="BD142" i="13"/>
  <c r="BX102" i="13"/>
  <c r="BF101" i="13"/>
  <c r="BD134" i="13"/>
  <c r="AS112" i="13"/>
  <c r="BY109" i="13"/>
  <c r="BH102" i="13"/>
  <c r="AM118" i="13"/>
  <c r="AU144" i="13"/>
  <c r="AY120" i="13"/>
  <c r="BU126" i="13"/>
  <c r="BR137" i="13"/>
  <c r="BF135" i="13"/>
  <c r="BZ148" i="13"/>
  <c r="CB102" i="13"/>
  <c r="AJ115" i="13"/>
  <c r="BC115" i="13"/>
  <c r="BF108" i="13"/>
  <c r="AU125" i="13"/>
  <c r="CC147" i="13"/>
  <c r="CA114" i="13"/>
  <c r="AZ112" i="13"/>
  <c r="AQ141" i="13"/>
  <c r="BA101" i="13"/>
  <c r="BW121" i="13"/>
  <c r="BI144" i="13"/>
  <c r="BN125" i="13"/>
  <c r="CF134" i="13"/>
  <c r="AQ102" i="13"/>
  <c r="BF121" i="13"/>
  <c r="AK132" i="13"/>
  <c r="BN104" i="13"/>
  <c r="AO146" i="13"/>
  <c r="CD101" i="13"/>
  <c r="BE112" i="13"/>
  <c r="BS132" i="13"/>
  <c r="AH119" i="13"/>
  <c r="BG126" i="13"/>
  <c r="BZ108" i="13"/>
  <c r="BA143" i="13"/>
  <c r="BN134" i="13"/>
  <c r="BI127" i="13"/>
  <c r="BC110" i="13"/>
  <c r="AH109" i="13"/>
  <c r="BO102" i="13"/>
  <c r="AS134" i="13"/>
  <c r="AL107" i="13"/>
  <c r="CB122" i="13"/>
  <c r="AY140" i="13"/>
  <c r="BV148" i="13"/>
  <c r="CB105" i="13"/>
  <c r="BE142" i="13"/>
  <c r="BE114" i="13"/>
  <c r="BK130" i="13"/>
  <c r="CE143" i="13"/>
  <c r="AR129" i="13"/>
  <c r="CB143" i="13"/>
  <c r="AI137" i="13"/>
  <c r="BB140" i="13"/>
  <c r="AT134" i="13"/>
  <c r="BR142" i="13"/>
  <c r="BC144" i="13"/>
  <c r="BG115" i="13"/>
  <c r="BR131" i="13"/>
  <c r="AL145" i="13"/>
  <c r="AY131" i="13"/>
  <c r="AI145" i="13"/>
  <c r="AN117" i="13"/>
  <c r="AK142" i="13"/>
  <c r="BP149" i="13"/>
  <c r="AO107" i="13"/>
  <c r="BX144" i="13"/>
  <c r="AQ127" i="13"/>
  <c r="CF139" i="13"/>
  <c r="AW146" i="13"/>
  <c r="AN112" i="13"/>
  <c r="BJ149" i="13"/>
  <c r="BF123" i="13"/>
  <c r="BC120" i="13"/>
  <c r="AY148" i="13"/>
  <c r="CE141" i="13"/>
  <c r="BB145" i="13"/>
  <c r="CE135" i="13"/>
  <c r="BC140" i="13"/>
  <c r="BI122" i="13"/>
  <c r="BG147" i="13"/>
  <c r="BB122" i="13"/>
  <c r="BV107" i="13"/>
  <c r="BW140" i="13"/>
  <c r="BI111" i="13"/>
  <c r="BY147" i="13"/>
  <c r="BJ101" i="13"/>
  <c r="BR129" i="13"/>
  <c r="AW106" i="13"/>
  <c r="BZ145" i="13"/>
  <c r="BF112" i="13"/>
  <c r="AQ107" i="13"/>
  <c r="CE147" i="13"/>
  <c r="AJ109" i="13"/>
  <c r="BO148" i="13"/>
  <c r="AU123" i="13"/>
  <c r="BX123" i="13"/>
  <c r="BI136" i="13"/>
  <c r="BK112" i="13"/>
  <c r="AU106" i="13"/>
  <c r="AV104" i="13"/>
  <c r="AU145" i="13"/>
  <c r="BO133" i="13"/>
  <c r="CC121" i="13"/>
  <c r="AU136" i="13"/>
  <c r="AL101" i="13"/>
  <c r="BX119" i="13"/>
  <c r="AN107" i="13"/>
  <c r="AO134" i="13"/>
  <c r="BS142" i="13"/>
  <c r="BY145" i="13"/>
  <c r="BE129" i="13"/>
  <c r="BK102" i="13"/>
  <c r="AX106" i="13"/>
  <c r="AQ123" i="13"/>
  <c r="AX141" i="13"/>
  <c r="AI133" i="13"/>
  <c r="BC119" i="13"/>
  <c r="BR103" i="13"/>
  <c r="AO130" i="13"/>
  <c r="AW118" i="13"/>
  <c r="CA123" i="13"/>
  <c r="BS135" i="13"/>
  <c r="BO135" i="13"/>
  <c r="AV116" i="13"/>
  <c r="BV115" i="13"/>
  <c r="CB144" i="13"/>
  <c r="AJ111" i="13"/>
  <c r="CE112" i="13"/>
  <c r="BT110" i="13"/>
  <c r="BX126" i="13"/>
  <c r="AH140" i="13"/>
  <c r="CB146" i="13"/>
  <c r="BZ118" i="13"/>
  <c r="BY135" i="13"/>
  <c r="AP135" i="13"/>
  <c r="BD120" i="13"/>
  <c r="AJ148" i="13"/>
  <c r="BO118" i="13"/>
  <c r="AN127" i="13"/>
  <c r="BZ125" i="13"/>
  <c r="BC147" i="13"/>
  <c r="CA139" i="13"/>
  <c r="BK108" i="13"/>
  <c r="BA102" i="13"/>
  <c r="BA103" i="13"/>
  <c r="AV135" i="13"/>
  <c r="BM131" i="13"/>
  <c r="AO120" i="13"/>
  <c r="BZ114" i="13"/>
  <c r="BK128" i="13"/>
  <c r="BK146" i="13"/>
  <c r="CB129" i="13"/>
  <c r="BT142" i="13"/>
  <c r="BQ102" i="13"/>
  <c r="BU128" i="13"/>
  <c r="BD124" i="13"/>
  <c r="AP140" i="13"/>
  <c r="AX113" i="13"/>
  <c r="BO111" i="13"/>
  <c r="AM125" i="13"/>
  <c r="AU104" i="13"/>
  <c r="AO112" i="13"/>
  <c r="AT129" i="13"/>
  <c r="AO119" i="13"/>
  <c r="AM115" i="13"/>
  <c r="CA118" i="13"/>
  <c r="BJ120" i="13"/>
  <c r="BA123" i="13"/>
  <c r="BU117" i="13"/>
  <c r="BW128" i="13"/>
  <c r="AI142" i="13"/>
  <c r="BZ122" i="13"/>
  <c r="BN118" i="13"/>
  <c r="BB116" i="13"/>
  <c r="BS113" i="13"/>
  <c r="BK116" i="13"/>
  <c r="BC138" i="13"/>
  <c r="AM109" i="13"/>
  <c r="BH127" i="13"/>
  <c r="AR106" i="13"/>
  <c r="BI124" i="13"/>
  <c r="BT131" i="13"/>
  <c r="BO139" i="13"/>
  <c r="BG101" i="13"/>
  <c r="BQ139" i="13"/>
  <c r="BA140" i="13"/>
  <c r="BM114" i="13"/>
  <c r="BQ132" i="13"/>
  <c r="BM108" i="13"/>
  <c r="BL149" i="13"/>
  <c r="BV132" i="13"/>
  <c r="AK116" i="13"/>
  <c r="BT146" i="13"/>
  <c r="AV131" i="13"/>
  <c r="AN120" i="13"/>
  <c r="BP135" i="13"/>
  <c r="AK124" i="13"/>
  <c r="BU129" i="13"/>
  <c r="AJ120" i="13"/>
  <c r="AK137" i="13"/>
  <c r="AL129" i="13"/>
  <c r="BF103" i="13"/>
  <c r="AK146" i="13"/>
  <c r="BG113" i="13"/>
  <c r="BO117" i="13"/>
  <c r="BA116" i="13"/>
  <c r="AU109" i="13"/>
  <c r="CD147" i="13"/>
  <c r="AH110" i="13"/>
  <c r="AW107" i="13"/>
  <c r="CD130" i="13"/>
  <c r="BL123" i="13"/>
  <c r="BD118" i="13"/>
  <c r="BQ107" i="13"/>
  <c r="AP130" i="13"/>
  <c r="BU131" i="13"/>
  <c r="CA122" i="13"/>
  <c r="AL148" i="13"/>
  <c r="AJ126" i="13"/>
  <c r="BC127" i="13"/>
  <c r="BK115" i="13"/>
  <c r="BY104" i="13"/>
  <c r="AT143" i="13"/>
  <c r="AO118" i="13"/>
  <c r="BX118" i="13"/>
  <c r="BD129" i="13"/>
  <c r="BC117" i="13"/>
  <c r="AK138" i="13"/>
  <c r="AI102" i="13"/>
  <c r="AX134" i="13"/>
  <c r="BP115" i="13"/>
  <c r="BK147" i="13"/>
  <c r="BX130" i="13"/>
  <c r="BW131" i="13"/>
  <c r="BM125" i="13"/>
  <c r="BZ105" i="13"/>
  <c r="AW116" i="13"/>
  <c r="AJ133" i="13"/>
  <c r="CD110" i="13"/>
  <c r="AU129" i="13"/>
  <c r="CE145" i="13"/>
  <c r="AQ145" i="13"/>
  <c r="AH107" i="13"/>
  <c r="AT111" i="13"/>
  <c r="CC110" i="13"/>
  <c r="CF149" i="13"/>
  <c r="BZ107" i="13"/>
  <c r="BN123" i="13"/>
  <c r="AZ141" i="13"/>
  <c r="CA120" i="13"/>
  <c r="BA141" i="13"/>
  <c r="CE107" i="13"/>
  <c r="CD102" i="13"/>
  <c r="BK107" i="13"/>
  <c r="AW111" i="13"/>
  <c r="CD144" i="13"/>
  <c r="AV125" i="13"/>
  <c r="CC116" i="13"/>
  <c r="AM140" i="13"/>
  <c r="CA133" i="13"/>
  <c r="BX104" i="13"/>
  <c r="AI126" i="13"/>
  <c r="CB137" i="13"/>
  <c r="BP144" i="13"/>
  <c r="AP117" i="13"/>
  <c r="BV141" i="13"/>
  <c r="BD104" i="13"/>
  <c r="AM146" i="13"/>
  <c r="BY101" i="13"/>
  <c r="AL110" i="13"/>
  <c r="CA116" i="13"/>
  <c r="BY126" i="13"/>
  <c r="AM133" i="13"/>
  <c r="CE106" i="13"/>
  <c r="AN128" i="13"/>
  <c r="AR149" i="13"/>
  <c r="AX112" i="13"/>
  <c r="AT146" i="13"/>
  <c r="BK110" i="13"/>
  <c r="BW120" i="13"/>
  <c r="CB136" i="13"/>
  <c r="CD149" i="13"/>
  <c r="BZ132" i="13"/>
  <c r="AI117" i="13"/>
  <c r="BY112" i="13"/>
  <c r="AU120" i="13"/>
  <c r="BZ121" i="13"/>
  <c r="AR139" i="13"/>
  <c r="BS139" i="13"/>
  <c r="BD147" i="13"/>
  <c r="BV139" i="13"/>
  <c r="AP114" i="13"/>
  <c r="BT147" i="13"/>
  <c r="AR126" i="13"/>
  <c r="BN128" i="13"/>
  <c r="CB126" i="13"/>
  <c r="AR102" i="13"/>
  <c r="AR113" i="13"/>
  <c r="BY139" i="13"/>
  <c r="BU115" i="13"/>
  <c r="AJ147" i="13"/>
  <c r="BT133" i="13"/>
  <c r="CB101" i="13"/>
  <c r="BX145" i="13"/>
  <c r="BR124" i="13"/>
  <c r="BM106" i="13"/>
  <c r="BD107" i="13"/>
  <c r="BA104" i="13"/>
  <c r="CF148" i="13"/>
  <c r="BV105" i="13"/>
  <c r="AP103" i="13"/>
  <c r="BQ149" i="13"/>
  <c r="BA148" i="13"/>
  <c r="AV123" i="13"/>
  <c r="AS128" i="13"/>
  <c r="AL144" i="13"/>
  <c r="BQ126" i="13"/>
  <c r="AX129" i="13"/>
  <c r="BH119" i="13"/>
  <c r="BT138" i="13"/>
  <c r="BE127" i="13"/>
  <c r="AK121" i="13"/>
  <c r="BM116" i="13"/>
  <c r="AH125" i="13"/>
  <c r="BZ139" i="13"/>
  <c r="BM121" i="13"/>
  <c r="BT108" i="13"/>
  <c r="BW119" i="13"/>
  <c r="CE123" i="13"/>
  <c r="BZ133" i="13"/>
  <c r="BE109" i="13"/>
  <c r="CA141" i="13"/>
  <c r="BS122" i="13"/>
  <c r="BA126" i="13"/>
  <c r="AH147" i="13"/>
  <c r="AO106" i="13"/>
  <c r="AV117" i="13"/>
  <c r="AQ144" i="13"/>
  <c r="AY121" i="13"/>
  <c r="AM138" i="13"/>
  <c r="BO124" i="13"/>
  <c r="BK124" i="13"/>
  <c r="BE137" i="13"/>
  <c r="AO126" i="13"/>
  <c r="BP143" i="13"/>
  <c r="BK132" i="13"/>
  <c r="BE118" i="13"/>
  <c r="CA137" i="13"/>
  <c r="AN121" i="13"/>
  <c r="AX123" i="13"/>
  <c r="BX141" i="13"/>
  <c r="AS123" i="13"/>
  <c r="CA109" i="13"/>
  <c r="BV117" i="13"/>
  <c r="AQ119" i="13"/>
  <c r="CD123" i="13"/>
  <c r="AP126" i="13"/>
  <c r="BE135" i="13"/>
  <c r="AK112" i="13"/>
  <c r="BC107" i="13"/>
  <c r="AQ142" i="13"/>
  <c r="BD137" i="13"/>
  <c r="AS148" i="13"/>
  <c r="BH138" i="13"/>
  <c r="AP131" i="13"/>
  <c r="AL140" i="13"/>
  <c r="CF116" i="13"/>
  <c r="AH143" i="13"/>
  <c r="BJ103" i="13"/>
  <c r="BK141" i="13"/>
  <c r="BM135" i="13"/>
  <c r="BG142" i="13"/>
  <c r="AY130" i="13"/>
  <c r="AP112" i="13"/>
  <c r="BY116" i="13"/>
  <c r="BS143" i="13"/>
  <c r="AP120" i="13"/>
  <c r="AY142" i="13"/>
  <c r="AR103" i="13"/>
  <c r="AM136" i="13"/>
  <c r="BE122" i="13"/>
  <c r="BP121" i="13"/>
  <c r="AO113" i="13"/>
  <c r="AR114" i="13"/>
  <c r="AN103" i="13"/>
  <c r="AI149" i="13"/>
  <c r="AK109" i="13"/>
  <c r="BR118" i="13"/>
  <c r="CF115" i="13"/>
  <c r="BM103" i="13"/>
  <c r="AW127" i="13"/>
  <c r="AI115" i="13"/>
  <c r="AS136" i="13"/>
  <c r="BH122" i="13"/>
  <c r="AL125" i="13"/>
  <c r="AW134" i="13"/>
  <c r="AV102" i="13"/>
  <c r="AV107" i="13"/>
  <c r="BH139" i="13"/>
  <c r="AR117" i="13"/>
  <c r="BV114" i="13"/>
  <c r="BQ120" i="13"/>
  <c r="BY149" i="13"/>
  <c r="BG141" i="13"/>
  <c r="AK101" i="13"/>
  <c r="AI144" i="13"/>
  <c r="BP136" i="13"/>
  <c r="BL113" i="13"/>
  <c r="BU146" i="13"/>
  <c r="AK131" i="13"/>
  <c r="CA104" i="13"/>
  <c r="BO112" i="13"/>
  <c r="BI106" i="13"/>
  <c r="CD113" i="13"/>
  <c r="AL120" i="13"/>
  <c r="AV124" i="13"/>
  <c r="BF113" i="13"/>
  <c r="AM123" i="13"/>
  <c r="AW136" i="13"/>
  <c r="BJ139" i="13"/>
  <c r="BA109" i="13"/>
  <c r="BQ116" i="13"/>
  <c r="BC129" i="13"/>
  <c r="AT125" i="13"/>
  <c r="BJ142" i="13"/>
  <c r="BI104" i="13"/>
  <c r="AO140" i="13"/>
  <c r="BJ115" i="13"/>
  <c r="BA125" i="13"/>
  <c r="AP111" i="13"/>
  <c r="BL144" i="13"/>
  <c r="AI125" i="13"/>
  <c r="AY149" i="13"/>
  <c r="AY135" i="13"/>
  <c r="AY126" i="13"/>
  <c r="CA119" i="13"/>
  <c r="BL137" i="13"/>
  <c r="AJ113" i="13"/>
  <c r="AJ108" i="13"/>
  <c r="AM127" i="13"/>
  <c r="CC115" i="13"/>
  <c r="BJ126" i="13"/>
  <c r="BF137" i="13"/>
  <c r="AH111" i="13"/>
  <c r="AI139" i="13"/>
  <c r="BT141" i="13"/>
  <c r="AZ131" i="13"/>
  <c r="CB119" i="13"/>
  <c r="BV110" i="13"/>
  <c r="CA110" i="13"/>
  <c r="AR146" i="13"/>
  <c r="BM130" i="13"/>
  <c r="CD106" i="13"/>
  <c r="BK113" i="13"/>
  <c r="BA110" i="13"/>
  <c r="BB124" i="13"/>
  <c r="AV114" i="13"/>
  <c r="AR105" i="13"/>
  <c r="BD112" i="13"/>
  <c r="BO126" i="13"/>
  <c r="BB121" i="13"/>
  <c r="BJ145" i="13"/>
  <c r="BE117" i="13"/>
  <c r="BL104" i="13"/>
  <c r="BI149" i="13"/>
  <c r="AR142" i="13"/>
  <c r="CC102" i="13"/>
  <c r="AQ114" i="13"/>
  <c r="BP124" i="13"/>
  <c r="BJ133" i="13"/>
  <c r="AK118" i="13"/>
  <c r="AJ102" i="13"/>
  <c r="BP107" i="13"/>
  <c r="BF115" i="13"/>
  <c r="AJ127" i="13"/>
  <c r="AK133" i="13"/>
  <c r="BU136" i="13"/>
  <c r="BE110" i="13"/>
  <c r="BF149" i="13"/>
  <c r="AS102" i="13"/>
  <c r="BE139" i="13"/>
  <c r="BY107" i="13"/>
  <c r="AR135" i="13"/>
  <c r="AQ106" i="13"/>
  <c r="CA138" i="13"/>
  <c r="BL139" i="13"/>
  <c r="BC126" i="13"/>
  <c r="AM130" i="13"/>
  <c r="BN137" i="13"/>
  <c r="BX108" i="13"/>
  <c r="BL146" i="13"/>
  <c r="BB102" i="13"/>
  <c r="CF101" i="13"/>
  <c r="AT144" i="13"/>
  <c r="CD125" i="13"/>
  <c r="AZ128" i="13"/>
  <c r="BC135" i="13"/>
  <c r="BN124" i="13"/>
  <c r="CD117" i="13"/>
  <c r="BX143" i="13"/>
  <c r="AO136" i="13"/>
  <c r="CB110" i="13"/>
  <c r="AQ129" i="13"/>
  <c r="BK136" i="13"/>
  <c r="BV118" i="13"/>
  <c r="AU119" i="13"/>
  <c r="BZ116" i="13"/>
  <c r="BC131" i="13"/>
  <c r="AL127" i="13"/>
  <c r="BO104" i="13"/>
  <c r="BM149" i="13"/>
  <c r="BS147" i="13"/>
  <c r="AX109" i="13"/>
  <c r="BF104" i="13"/>
  <c r="AL112" i="13"/>
  <c r="BW110" i="13"/>
  <c r="CD134" i="13"/>
  <c r="CE105" i="13"/>
  <c r="BC148" i="13"/>
  <c r="AR136" i="13"/>
  <c r="BU101" i="13"/>
  <c r="AV105" i="13"/>
  <c r="BU114" i="13"/>
  <c r="AI124" i="13"/>
  <c r="BJ104" i="13"/>
  <c r="CB141" i="13"/>
  <c r="AS108" i="13"/>
  <c r="BP128" i="13"/>
  <c r="BG107" i="13"/>
  <c r="BM113" i="13"/>
  <c r="BG128" i="13"/>
  <c r="BC116" i="13"/>
  <c r="AN147" i="13"/>
  <c r="CE137" i="13"/>
  <c r="BJ114" i="13"/>
  <c r="AW124" i="13"/>
  <c r="BB105" i="13"/>
  <c r="CC140" i="13"/>
  <c r="BV146" i="13"/>
  <c r="AY125" i="13"/>
  <c r="BT123" i="13"/>
  <c r="BH118" i="13"/>
  <c r="BJ108" i="13"/>
  <c r="AW101" i="13"/>
  <c r="BZ120" i="13"/>
  <c r="BF111" i="13"/>
  <c r="AH134" i="13"/>
  <c r="BK106" i="13"/>
  <c r="BR133" i="13"/>
  <c r="BK104" i="13"/>
  <c r="BK127" i="13"/>
  <c r="AP132" i="13"/>
  <c r="AT140" i="13"/>
  <c r="BQ144" i="13"/>
  <c r="CE132" i="13"/>
  <c r="AL133" i="13"/>
  <c r="BD119" i="13"/>
  <c r="AN138" i="13"/>
  <c r="AX138" i="13"/>
  <c r="AZ110" i="13"/>
  <c r="AZ109" i="13"/>
  <c r="BT148" i="13"/>
  <c r="BG103" i="13"/>
  <c r="BZ140" i="13"/>
  <c r="BB106" i="13"/>
  <c r="AL123" i="13"/>
  <c r="AW104" i="13"/>
  <c r="AV121" i="13"/>
  <c r="AM129" i="13"/>
  <c r="CE130" i="13"/>
  <c r="AS137" i="13"/>
  <c r="BW115" i="13"/>
  <c r="BR116" i="13"/>
  <c r="AW140" i="13"/>
  <c r="AO109" i="13"/>
  <c r="BM112" i="13"/>
  <c r="CA108" i="13"/>
  <c r="AY115" i="13"/>
  <c r="BK114" i="13"/>
  <c r="CE125" i="13"/>
  <c r="BE144" i="13"/>
  <c r="BW134" i="13"/>
  <c r="BG108" i="13"/>
  <c r="AJ143" i="13"/>
  <c r="BJ122" i="13"/>
  <c r="BP129" i="13"/>
  <c r="BB108" i="13"/>
  <c r="CF130" i="13"/>
  <c r="BE133" i="13"/>
  <c r="BT144" i="13"/>
  <c r="BI113" i="13"/>
  <c r="BS124" i="13"/>
  <c r="BJ121" i="13"/>
  <c r="AS146" i="13"/>
  <c r="BT136" i="13"/>
  <c r="BA108" i="13"/>
  <c r="AP133" i="13"/>
  <c r="BG146" i="13"/>
  <c r="AZ125" i="13"/>
  <c r="AR128" i="13"/>
  <c r="BA132" i="13"/>
  <c r="AK126" i="13"/>
  <c r="AV119" i="13"/>
  <c r="BQ115" i="13"/>
  <c r="BZ149" i="13"/>
  <c r="BP117" i="13"/>
  <c r="BM133" i="13"/>
  <c r="BG130" i="13"/>
  <c r="BQ108" i="13"/>
  <c r="AJ106" i="13"/>
  <c r="AK122" i="13"/>
  <c r="AY114" i="13"/>
  <c r="BY137" i="13"/>
  <c r="BN117" i="13"/>
  <c r="AM102" i="13"/>
  <c r="BM143" i="13"/>
  <c r="BD130" i="13"/>
  <c r="BS109" i="13"/>
  <c r="BE147" i="13"/>
  <c r="CE111" i="13"/>
  <c r="BI131" i="13"/>
  <c r="AY141" i="13"/>
  <c r="AS107" i="13"/>
  <c r="AO125" i="13"/>
  <c r="CA136" i="13"/>
  <c r="BS138" i="13"/>
  <c r="BP127" i="13"/>
  <c r="AS126" i="13"/>
  <c r="AW139" i="13"/>
  <c r="BL140" i="13"/>
  <c r="BY129" i="13"/>
  <c r="CB127" i="13"/>
  <c r="BW138" i="13"/>
  <c r="BK119" i="13"/>
  <c r="AT139" i="13"/>
  <c r="CA130" i="13"/>
  <c r="AG124" i="13"/>
  <c r="AG148" i="13"/>
  <c r="AG128" i="13"/>
  <c r="AL142" i="13"/>
  <c r="BY122" i="13"/>
  <c r="BC134" i="13"/>
  <c r="BM128" i="13"/>
  <c r="BQ125" i="13"/>
  <c r="BH134" i="13"/>
  <c r="CA111" i="13"/>
  <c r="BQ145" i="13"/>
  <c r="AZ102" i="13"/>
  <c r="AW122" i="13"/>
  <c r="BE125" i="13"/>
  <c r="AL134" i="13"/>
  <c r="BC108" i="13"/>
  <c r="BN133" i="13"/>
  <c r="BS125" i="13"/>
  <c r="BN120" i="13"/>
  <c r="BU102" i="13"/>
  <c r="BR119" i="13"/>
  <c r="BY114" i="13"/>
  <c r="BR139" i="13"/>
  <c r="BY128" i="13"/>
  <c r="AX107" i="13"/>
  <c r="BM124" i="13"/>
  <c r="AO148" i="13"/>
  <c r="AM119" i="13"/>
  <c r="BK129" i="13"/>
  <c r="BC130" i="13"/>
  <c r="AJ142" i="13"/>
  <c r="BP110" i="13"/>
  <c r="AK111" i="13"/>
  <c r="AW119" i="13"/>
  <c r="BH125" i="13"/>
  <c r="AL139" i="13"/>
  <c r="AO124" i="13"/>
  <c r="AU103" i="13"/>
  <c r="BI105" i="13"/>
  <c r="AR134" i="13"/>
  <c r="CB115" i="13"/>
  <c r="BA130" i="13"/>
  <c r="BV149" i="13"/>
  <c r="AS139" i="13"/>
  <c r="BT111" i="13"/>
  <c r="BB141" i="13"/>
  <c r="BW130" i="13"/>
  <c r="AS147" i="13"/>
  <c r="BN115" i="13"/>
  <c r="CB103" i="13"/>
  <c r="BI141" i="13"/>
  <c r="BB126" i="13"/>
  <c r="BR146" i="13"/>
  <c r="BL112" i="13"/>
  <c r="AU149" i="13"/>
  <c r="BS123" i="13"/>
  <c r="BB104" i="13"/>
  <c r="AT126" i="13"/>
  <c r="AU148" i="13"/>
  <c r="AU116" i="13"/>
  <c r="BQ146" i="13"/>
  <c r="BC121" i="13"/>
  <c r="BT127" i="13"/>
  <c r="BS137" i="13"/>
  <c r="CB120" i="13"/>
  <c r="BV101" i="13"/>
  <c r="CC122" i="13"/>
  <c r="AL130" i="13"/>
  <c r="CB118" i="13"/>
  <c r="AU135" i="13"/>
  <c r="AI147" i="13"/>
  <c r="BB112" i="13"/>
  <c r="AP113" i="13"/>
  <c r="BU122" i="13"/>
  <c r="BL122" i="13"/>
  <c r="AH123" i="13"/>
  <c r="BP101" i="13"/>
  <c r="AZ115" i="13"/>
  <c r="CD140" i="13"/>
  <c r="AV136" i="13"/>
  <c r="CE110" i="13"/>
  <c r="BZ135" i="13"/>
  <c r="BQ133" i="13"/>
  <c r="CD120" i="13"/>
  <c r="CD119" i="13"/>
  <c r="CA129" i="13"/>
  <c r="BK149" i="13"/>
  <c r="BL114" i="13"/>
  <c r="AS111" i="13"/>
  <c r="BE134" i="13"/>
  <c r="BN116" i="13"/>
  <c r="AQ133" i="13"/>
  <c r="AV129" i="13"/>
  <c r="AG147" i="13"/>
  <c r="AG107" i="13"/>
  <c r="BQ112" i="13"/>
  <c r="AX132" i="13"/>
  <c r="BW148" i="13"/>
  <c r="AT112" i="13"/>
  <c r="AL108" i="13"/>
  <c r="BD117" i="13"/>
  <c r="BL108" i="13"/>
  <c r="AT117" i="13"/>
  <c r="AM116" i="13"/>
  <c r="BP116" i="13"/>
  <c r="BG102" i="13"/>
  <c r="AN110" i="13"/>
  <c r="CA117" i="13"/>
  <c r="CF127" i="13"/>
  <c r="BT106" i="13"/>
  <c r="BW104" i="13"/>
  <c r="CE116" i="13"/>
  <c r="AL116" i="13"/>
  <c r="AI135" i="13"/>
  <c r="BY124" i="13"/>
  <c r="AR104" i="13"/>
  <c r="BM136" i="13"/>
  <c r="AN140" i="13"/>
  <c r="BV143" i="13"/>
  <c r="AM126" i="13"/>
  <c r="BH112" i="13"/>
  <c r="AM110" i="13"/>
  <c r="BH128" i="13"/>
  <c r="AM143" i="13"/>
  <c r="CC134" i="13"/>
  <c r="AY146" i="13"/>
  <c r="AT128" i="13"/>
  <c r="CC111" i="13"/>
  <c r="AH124" i="13"/>
  <c r="CC130" i="13"/>
  <c r="AQ130" i="13"/>
  <c r="AS133" i="13"/>
  <c r="AO135" i="13"/>
  <c r="BX110" i="13"/>
  <c r="BU123" i="13"/>
  <c r="BM127" i="13"/>
  <c r="BC113" i="13"/>
  <c r="AN116" i="13"/>
  <c r="BK144" i="13"/>
  <c r="BL102" i="13"/>
  <c r="BR125" i="13"/>
  <c r="AQ143" i="13"/>
  <c r="AZ145" i="13"/>
  <c r="AL118" i="13"/>
  <c r="BH133" i="13"/>
  <c r="BW145" i="13"/>
  <c r="BL141" i="13"/>
  <c r="AS122" i="13"/>
  <c r="BC141" i="13"/>
  <c r="BE140" i="13"/>
  <c r="BV113" i="13"/>
  <c r="CE108" i="13"/>
  <c r="AI122" i="13"/>
  <c r="BZ104" i="13"/>
  <c r="AZ130" i="13"/>
  <c r="AY117" i="13"/>
  <c r="AI118" i="13"/>
  <c r="BB135" i="13"/>
  <c r="BR132" i="13"/>
  <c r="BE146" i="13"/>
  <c r="BJ123" i="13"/>
  <c r="BO141" i="13"/>
  <c r="BM118" i="13"/>
  <c r="BR107" i="13"/>
  <c r="BO144" i="13"/>
  <c r="AS138" i="13"/>
  <c r="CF105" i="13"/>
  <c r="AQ148" i="13"/>
  <c r="CF131" i="13"/>
  <c r="BI103" i="13"/>
  <c r="AW148" i="13"/>
  <c r="AG135" i="13"/>
  <c r="AG118" i="13"/>
  <c r="AG122" i="13"/>
  <c r="BW102" i="13"/>
  <c r="BH104" i="13"/>
  <c r="AJ137" i="13"/>
  <c r="BP122" i="13"/>
  <c r="AH116" i="13"/>
  <c r="AI104" i="13"/>
  <c r="CF132" i="13"/>
  <c r="AM124" i="13"/>
  <c r="AM120" i="13"/>
  <c r="BJ130" i="13"/>
  <c r="BG114" i="13"/>
  <c r="BT132" i="13"/>
  <c r="AT110" i="13"/>
  <c r="BY102" i="13"/>
  <c r="BF116" i="13"/>
  <c r="BE138" i="13"/>
  <c r="AO127" i="13"/>
  <c r="AI148" i="13"/>
  <c r="BD121" i="13"/>
  <c r="BA105" i="13"/>
  <c r="CE146" i="13"/>
  <c r="AY128" i="13"/>
  <c r="BB120" i="13"/>
  <c r="BM126" i="13"/>
  <c r="BL130" i="13"/>
  <c r="AP141" i="13"/>
  <c r="AY129" i="13"/>
  <c r="CD145" i="13"/>
  <c r="BI132" i="13"/>
  <c r="BA146" i="13"/>
  <c r="AN130" i="13"/>
  <c r="CD133" i="13"/>
  <c r="BB144" i="13"/>
  <c r="AY133" i="13"/>
  <c r="BF129" i="13"/>
  <c r="BL109" i="13"/>
  <c r="BU138" i="13"/>
  <c r="BN148" i="13"/>
  <c r="AO110" i="13"/>
  <c r="BY131" i="13"/>
  <c r="BZ137" i="13"/>
  <c r="AY108" i="13"/>
  <c r="BY123" i="13"/>
  <c r="BF114" i="13"/>
  <c r="BM141" i="13"/>
  <c r="BK137" i="13"/>
  <c r="AW102" i="13"/>
  <c r="AQ138" i="13"/>
  <c r="AU118" i="13"/>
  <c r="AR131" i="13"/>
  <c r="BE136" i="13"/>
  <c r="AU107" i="13"/>
  <c r="AL109" i="13"/>
  <c r="AX116" i="13"/>
  <c r="CD112" i="13"/>
  <c r="AN135" i="13"/>
  <c r="AI110" i="13"/>
  <c r="BS104" i="13"/>
  <c r="BR138" i="13"/>
  <c r="BX101" i="13"/>
  <c r="AQ117" i="13"/>
  <c r="BM132" i="13"/>
  <c r="AQ149" i="13"/>
  <c r="AM142" i="13"/>
  <c r="BC111" i="13"/>
  <c r="BQ137" i="13"/>
  <c r="BG139" i="13"/>
  <c r="AI103" i="13"/>
  <c r="BR102" i="13"/>
  <c r="AJ105" i="13"/>
  <c r="CC148" i="13"/>
  <c r="BF141" i="13"/>
  <c r="BD148" i="13"/>
  <c r="BH101" i="13"/>
  <c r="AL143" i="13"/>
  <c r="AG110" i="13"/>
  <c r="AG137" i="13"/>
  <c r="AG127" i="13"/>
  <c r="CC114" i="13"/>
  <c r="AP139" i="13"/>
  <c r="AI129" i="13"/>
  <c r="AI134" i="13"/>
  <c r="BU130" i="13"/>
  <c r="BN111" i="13"/>
  <c r="AY144" i="13"/>
  <c r="AK125" i="13"/>
  <c r="BG149" i="13"/>
  <c r="AR120" i="13"/>
  <c r="AV101" i="13"/>
  <c r="AS103" i="13"/>
  <c r="BR105" i="13"/>
  <c r="BX109" i="13"/>
  <c r="AT118" i="13"/>
  <c r="AO145" i="13"/>
  <c r="AM104" i="13"/>
  <c r="BJ140" i="13"/>
  <c r="BK122" i="13"/>
  <c r="BO120" i="13"/>
  <c r="AH135" i="13"/>
  <c r="BH114" i="13"/>
  <c r="BV106" i="13"/>
  <c r="AT145" i="13"/>
  <c r="BB110" i="13"/>
  <c r="CD141" i="13"/>
  <c r="BM148" i="13"/>
  <c r="BQ123" i="13"/>
  <c r="AW129" i="13"/>
  <c r="BZ128" i="13"/>
  <c r="CC135" i="13"/>
  <c r="AL146" i="13"/>
  <c r="AN149" i="13"/>
  <c r="AQ103" i="13"/>
  <c r="AP124" i="13"/>
  <c r="BU125" i="13"/>
  <c r="BR128" i="13"/>
  <c r="BO137" i="13"/>
  <c r="BW143" i="13"/>
  <c r="BT137" i="13"/>
  <c r="BL101" i="13"/>
  <c r="BR117" i="13"/>
  <c r="BV147" i="13"/>
  <c r="BG135" i="13"/>
  <c r="AV112" i="13"/>
  <c r="AL105" i="13"/>
  <c r="AT119" i="13"/>
  <c r="CB132" i="13"/>
  <c r="AP145" i="13"/>
  <c r="BO113" i="13"/>
  <c r="AP116" i="13"/>
  <c r="BS112" i="13"/>
  <c r="AS109" i="13"/>
  <c r="BV142" i="13"/>
  <c r="BZ109" i="13"/>
  <c r="AK147" i="13"/>
  <c r="BO119" i="13"/>
  <c r="AN101" i="13"/>
  <c r="BQ117" i="13"/>
  <c r="AU117" i="13"/>
  <c r="BX140" i="13"/>
  <c r="BI126" i="13"/>
  <c r="AS144" i="13"/>
  <c r="AH145" i="13"/>
  <c r="AI120" i="13"/>
  <c r="AN129" i="13"/>
  <c r="AP146" i="13"/>
  <c r="AS121" i="13"/>
  <c r="BT149" i="13"/>
  <c r="BD105" i="13"/>
  <c r="AV138" i="13"/>
  <c r="AJ144" i="13"/>
  <c r="BX146" i="13"/>
  <c r="AT108" i="13"/>
  <c r="CD127" i="13"/>
  <c r="CE148" i="13"/>
  <c r="AI112" i="13"/>
  <c r="AG141" i="13"/>
  <c r="AG140" i="13"/>
  <c r="AG101" i="13"/>
  <c r="BL143" i="13"/>
  <c r="CC143" i="13"/>
  <c r="AO137" i="13"/>
  <c r="BL132" i="13"/>
  <c r="BF143" i="13"/>
  <c r="CE127" i="13"/>
  <c r="AW138" i="13"/>
  <c r="BG119" i="13"/>
  <c r="BQ136" i="13"/>
  <c r="CD114" i="13"/>
  <c r="AW135" i="13"/>
  <c r="AV103" i="13"/>
  <c r="AV109" i="13"/>
  <c r="AK127" i="13"/>
  <c r="BX116" i="13"/>
  <c r="CC123" i="13"/>
  <c r="AX136" i="13"/>
  <c r="CC146" i="13"/>
  <c r="BV111" i="13"/>
  <c r="BQ142" i="13"/>
  <c r="BM140" i="13"/>
  <c r="AH128" i="13"/>
  <c r="AO139" i="13"/>
  <c r="AQ125" i="13"/>
  <c r="BW114" i="13"/>
  <c r="BS120" i="13"/>
  <c r="AZ118" i="13"/>
  <c r="BK111" i="13"/>
  <c r="AM132" i="13"/>
  <c r="AT133" i="13"/>
  <c r="BF120" i="13"/>
  <c r="BE115" i="13"/>
  <c r="BI128" i="13"/>
  <c r="AZ132" i="13"/>
  <c r="AO105" i="13"/>
  <c r="BO128" i="13"/>
  <c r="AO121" i="13"/>
  <c r="BX106" i="13"/>
  <c r="AM114" i="13"/>
  <c r="BM139" i="13"/>
  <c r="BV125" i="13"/>
  <c r="AI138" i="13"/>
  <c r="BZ134" i="13"/>
  <c r="BF107" i="13"/>
  <c r="BJ116" i="13"/>
  <c r="BN106" i="13"/>
  <c r="BH136" i="13"/>
  <c r="AK136" i="13"/>
  <c r="BD110" i="13"/>
  <c r="BB138" i="13"/>
  <c r="AI113" i="13"/>
  <c r="AQ109" i="13"/>
  <c r="BG121" i="13"/>
  <c r="BW107" i="13"/>
  <c r="AQ134" i="13"/>
  <c r="CB140" i="13"/>
  <c r="AR144" i="13"/>
  <c r="CA148" i="13"/>
  <c r="BV121" i="13"/>
  <c r="BD123" i="13"/>
  <c r="AH101" i="13"/>
  <c r="BX136" i="13"/>
  <c r="AV144" i="13"/>
  <c r="BM137" i="13"/>
  <c r="AM108" i="13"/>
  <c r="AZ122" i="13"/>
  <c r="CB116" i="13"/>
  <c r="CC138" i="13"/>
  <c r="BT101" i="13"/>
  <c r="AU111" i="13"/>
  <c r="BD138" i="13"/>
  <c r="CE101" i="13"/>
  <c r="BL129" i="13"/>
  <c r="CE136" i="13"/>
  <c r="BT143" i="13"/>
  <c r="AH138" i="13"/>
  <c r="AJ125" i="13"/>
  <c r="AX121" i="13"/>
  <c r="AK144" i="13"/>
  <c r="CD108" i="13"/>
  <c r="CB107" i="13"/>
  <c r="CA146" i="13"/>
  <c r="AO143" i="13"/>
  <c r="AG144" i="13"/>
  <c r="AG125" i="13"/>
  <c r="AG131" i="13"/>
  <c r="AG105" i="13"/>
  <c r="CC106" i="13"/>
  <c r="BN101" i="13"/>
  <c r="BX142" i="13"/>
  <c r="AM105" i="13"/>
  <c r="AU121" i="13"/>
  <c r="AR141" i="13"/>
  <c r="BO143" i="13"/>
  <c r="AO117" i="13"/>
  <c r="AY118" i="13"/>
  <c r="AY132" i="13"/>
  <c r="BG134" i="13"/>
  <c r="CD109" i="13"/>
  <c r="BK145" i="13"/>
  <c r="BK133" i="13"/>
  <c r="AN126" i="13"/>
  <c r="AI143" i="13"/>
  <c r="BE148" i="13"/>
  <c r="AZ126" i="13"/>
  <c r="AO116" i="13"/>
  <c r="BW122" i="13"/>
  <c r="BJ102" i="13"/>
  <c r="AR109" i="13"/>
  <c r="BO146" i="13"/>
  <c r="BB107" i="13"/>
  <c r="AW132" i="13"/>
  <c r="AM137" i="13"/>
  <c r="BI109" i="13"/>
  <c r="BQ140" i="13"/>
  <c r="BH141" i="13"/>
  <c r="BP148" i="13"/>
  <c r="BZ123" i="13"/>
  <c r="AZ139" i="13"/>
  <c r="BE120" i="13"/>
  <c r="BM120" i="13"/>
  <c r="AJ136" i="13"/>
  <c r="AU134" i="13"/>
  <c r="BP109" i="13"/>
  <c r="AL138" i="13"/>
  <c r="AJ129" i="13"/>
  <c r="BX132" i="13"/>
  <c r="CE131" i="13"/>
  <c r="AO138" i="13"/>
  <c r="BM101" i="13"/>
  <c r="CC133" i="13"/>
  <c r="AR125" i="13"/>
  <c r="BF127" i="13"/>
  <c r="BT120" i="13"/>
  <c r="BB134" i="13"/>
  <c r="BY134" i="13"/>
  <c r="BG137" i="13"/>
  <c r="BG111" i="13"/>
  <c r="BE141" i="13"/>
  <c r="BH143" i="13"/>
  <c r="BH115" i="13"/>
  <c r="BD109" i="13"/>
  <c r="BR127" i="13"/>
  <c r="BJ129" i="13"/>
  <c r="AQ124" i="13"/>
  <c r="BB142" i="13"/>
  <c r="BU120" i="13"/>
  <c r="AW143" i="13"/>
  <c r="BX103" i="13"/>
  <c r="CD148" i="13"/>
  <c r="AY101" i="13"/>
  <c r="AH106" i="13"/>
  <c r="BZ141" i="13"/>
  <c r="AL106" i="13"/>
  <c r="AX122" i="13"/>
  <c r="CC131" i="13"/>
  <c r="AW145" i="13"/>
  <c r="AM131" i="13"/>
  <c r="BE102" i="13"/>
  <c r="CC145" i="13"/>
  <c r="CD135" i="13"/>
  <c r="BD145" i="13"/>
  <c r="BS103" i="13"/>
  <c r="BP105" i="13"/>
  <c r="AU138" i="13"/>
  <c r="AG112" i="13"/>
  <c r="AG103" i="13"/>
  <c r="AG114" i="13"/>
  <c r="AG126" i="13"/>
  <c r="AG117" i="13"/>
  <c r="BM105" i="13"/>
  <c r="BF125" i="13"/>
  <c r="BM110" i="13"/>
  <c r="BA133" i="13"/>
  <c r="BJ132" i="13"/>
  <c r="BL142" i="13"/>
  <c r="BD146" i="13"/>
  <c r="CA113" i="13"/>
  <c r="BD135" i="13"/>
  <c r="AH132" i="13"/>
  <c r="CF123" i="13"/>
  <c r="AM145" i="13"/>
  <c r="AH136" i="13"/>
  <c r="AN124" i="13"/>
  <c r="BW129" i="13"/>
  <c r="AZ143" i="13"/>
  <c r="BH126" i="13"/>
  <c r="AQ137" i="13"/>
  <c r="BV145" i="13"/>
  <c r="BO142" i="13"/>
  <c r="BH131" i="13"/>
  <c r="BR120" i="13"/>
  <c r="BK101" i="13"/>
  <c r="AI123" i="13"/>
  <c r="AS116" i="13"/>
  <c r="BO138" i="13"/>
  <c r="BI116" i="13"/>
  <c r="BU148" i="13"/>
  <c r="CA143" i="13"/>
  <c r="BL133" i="13"/>
  <c r="BW136" i="13"/>
  <c r="CF103" i="13"/>
  <c r="BV140" i="13"/>
  <c r="AO111" i="13"/>
  <c r="AW133" i="13"/>
  <c r="AS140" i="13"/>
  <c r="CA126" i="13"/>
  <c r="BI115" i="13"/>
  <c r="CC149" i="13"/>
  <c r="AI140" i="13"/>
  <c r="AO129" i="13"/>
  <c r="BJ117" i="13"/>
  <c r="BO130" i="13"/>
  <c r="BL126" i="13"/>
  <c r="AH117" i="13"/>
  <c r="BA121" i="13"/>
  <c r="CD122" i="13"/>
  <c r="AY109" i="13"/>
  <c r="BE131" i="13"/>
  <c r="BE130" i="13"/>
  <c r="BP108" i="13"/>
  <c r="BK109" i="13"/>
  <c r="AR127" i="13"/>
  <c r="AP101" i="13"/>
  <c r="BY110" i="13"/>
  <c r="BV136" i="13"/>
  <c r="CF137" i="13"/>
  <c r="AK107" i="13"/>
  <c r="BW149" i="13"/>
  <c r="AH102" i="13"/>
  <c r="AU130" i="13"/>
  <c r="BI135" i="13"/>
  <c r="BK135" i="13"/>
  <c r="BM119" i="13"/>
  <c r="BZ136" i="13"/>
  <c r="BL111" i="13"/>
  <c r="CF141" i="13"/>
  <c r="CD103" i="13"/>
  <c r="CA144" i="13"/>
  <c r="BS115" i="13"/>
  <c r="AL132" i="13"/>
  <c r="BN107" i="13"/>
  <c r="BS149" i="13"/>
  <c r="CD104" i="13"/>
  <c r="AG119" i="13"/>
  <c r="AG116" i="13"/>
  <c r="BU135" i="13"/>
  <c r="BK125" i="13"/>
  <c r="AY127" i="13"/>
  <c r="BK138" i="13"/>
  <c r="BD114" i="13"/>
  <c r="AW130" i="13"/>
  <c r="BN102" i="13"/>
  <c r="BM123" i="13"/>
  <c r="BS105" i="13"/>
  <c r="BE145" i="13"/>
  <c r="BA124" i="13"/>
  <c r="BA149" i="13"/>
  <c r="BR145" i="13"/>
  <c r="BI129" i="13"/>
  <c r="BU147" i="13"/>
  <c r="BF105" i="13"/>
  <c r="BE132" i="13"/>
  <c r="CC109" i="13"/>
  <c r="BZ130" i="13"/>
  <c r="AO149" i="13"/>
  <c r="BF128" i="13"/>
  <c r="AL102" i="13"/>
  <c r="BA147" i="13"/>
  <c r="BX128" i="13"/>
  <c r="BP138" i="13"/>
  <c r="AM111" i="13"/>
  <c r="AJ122" i="13"/>
  <c r="AQ113" i="13"/>
  <c r="AJ123" i="13"/>
  <c r="BM144" i="13"/>
  <c r="BR148" i="13"/>
  <c r="AQ131" i="13"/>
  <c r="BF130" i="13"/>
  <c r="CC125" i="13"/>
  <c r="AO128" i="13"/>
  <c r="BC124" i="13"/>
  <c r="BF144" i="13"/>
  <c r="CE133" i="13"/>
  <c r="BW133" i="13"/>
  <c r="BN146" i="13"/>
  <c r="CF142" i="13"/>
  <c r="AZ140" i="13"/>
  <c r="BC125" i="13"/>
  <c r="BX115" i="13"/>
  <c r="CB123" i="13"/>
  <c r="BO140" i="13"/>
  <c r="AH103" i="13"/>
  <c r="CF117" i="13"/>
  <c r="AW128" i="13"/>
  <c r="BV134" i="13"/>
  <c r="BY138" i="13"/>
  <c r="AO132" i="13"/>
  <c r="AJ119" i="13"/>
  <c r="AQ126" i="13"/>
  <c r="AW144" i="13"/>
  <c r="BC106" i="13"/>
  <c r="BR140" i="13"/>
  <c r="AT147" i="13"/>
  <c r="CD115" i="13"/>
  <c r="BG138" i="13"/>
  <c r="AZ136" i="13"/>
  <c r="BL136" i="13"/>
  <c r="BK121" i="13"/>
  <c r="BW112" i="13"/>
  <c r="BK126" i="13"/>
  <c r="BB148" i="13"/>
  <c r="AU112" i="13"/>
  <c r="AN141" i="13"/>
  <c r="BH140" i="13"/>
  <c r="AL137" i="13"/>
  <c r="CF128" i="13"/>
  <c r="AG130" i="13"/>
  <c r="AG108" i="13"/>
  <c r="AG106" i="13"/>
  <c r="AG136" i="13"/>
  <c r="AT130" i="13"/>
  <c r="AY103" i="13"/>
  <c r="AX111" i="13"/>
  <c r="BR134" i="13"/>
  <c r="BK103" i="13"/>
  <c r="BO149" i="13"/>
  <c r="AO101" i="13"/>
  <c r="CC112" i="13"/>
  <c r="AK139" i="13"/>
  <c r="AI130" i="13"/>
  <c r="AO115" i="13"/>
  <c r="CD142" i="13"/>
  <c r="BI107" i="13"/>
  <c r="BO115" i="13"/>
  <c r="BG106" i="13"/>
  <c r="BL134" i="13"/>
  <c r="BO134" i="13"/>
  <c r="BD128" i="13"/>
  <c r="BR141" i="13"/>
  <c r="BP120" i="13"/>
  <c r="AH149" i="13"/>
  <c r="CE109" i="13"/>
  <c r="AO123" i="13"/>
  <c r="BC101" i="13"/>
  <c r="BE149" i="13"/>
  <c r="BR111" i="13"/>
  <c r="BP126" i="13"/>
  <c r="BS127" i="13"/>
  <c r="AY104" i="13"/>
  <c r="AZ123" i="13"/>
  <c r="AH129" i="13"/>
  <c r="BI138" i="13"/>
  <c r="BT129" i="13"/>
  <c r="CD124" i="13"/>
  <c r="AT131" i="13"/>
  <c r="CF144" i="13"/>
  <c r="BW118" i="13"/>
  <c r="BE121" i="13"/>
  <c r="BO116" i="13"/>
  <c r="BR123" i="13"/>
  <c r="BR149" i="13"/>
  <c r="BS114" i="13"/>
  <c r="AS117" i="13"/>
  <c r="AX147" i="13"/>
  <c r="AW147" i="13"/>
  <c r="BN103" i="13"/>
  <c r="BO101" i="13"/>
  <c r="BS134" i="13"/>
  <c r="CD107" i="13"/>
  <c r="BK131" i="13"/>
  <c r="BB103" i="13"/>
  <c r="BT117" i="13"/>
  <c r="AK134" i="13"/>
  <c r="AU133" i="13"/>
  <c r="BH147" i="13"/>
  <c r="BT114" i="13"/>
  <c r="AL111" i="13"/>
  <c r="BL116" i="13"/>
  <c r="AM139" i="13"/>
  <c r="AH142" i="13"/>
  <c r="BE106" i="13"/>
  <c r="BQ109" i="13"/>
  <c r="BR144" i="13"/>
  <c r="BQ129" i="13"/>
  <c r="BU106" i="13"/>
  <c r="AN104" i="13"/>
  <c r="BL120" i="13"/>
  <c r="BJ137" i="13"/>
  <c r="BP103" i="13"/>
  <c r="BT122" i="13"/>
  <c r="AZ129" i="13"/>
  <c r="BI130" i="13"/>
  <c r="BU132" i="13"/>
  <c r="AL131" i="13"/>
  <c r="BI145" i="13"/>
  <c r="CF118" i="13"/>
  <c r="AI128" i="13"/>
  <c r="AG121" i="13"/>
  <c r="AG123" i="13"/>
  <c r="AG120" i="13"/>
  <c r="BH106" i="13"/>
  <c r="BN140" i="13"/>
  <c r="BT130" i="13"/>
  <c r="BW139" i="13"/>
  <c r="BU116" i="13"/>
  <c r="BQ118" i="13"/>
  <c r="BO147" i="13"/>
  <c r="BU110" i="13"/>
  <c r="AP123" i="13"/>
  <c r="BR109" i="13"/>
  <c r="AV122" i="13"/>
  <c r="BZ126" i="13"/>
  <c r="AS149" i="13"/>
  <c r="AJ146" i="13"/>
  <c r="BL148" i="13"/>
  <c r="AY105" i="13"/>
  <c r="AK105" i="13"/>
  <c r="AU143" i="13"/>
  <c r="BY146" i="13"/>
  <c r="AY116" i="13"/>
  <c r="BR113" i="13"/>
  <c r="BP130" i="13"/>
  <c r="AT124" i="13"/>
  <c r="AT138" i="13"/>
  <c r="BU113" i="13"/>
  <c r="AV146" i="13"/>
  <c r="CA132" i="13"/>
  <c r="BH142" i="13"/>
  <c r="BN112" i="13"/>
  <c r="BQ110" i="13"/>
  <c r="BC128" i="13"/>
  <c r="AW121" i="13"/>
  <c r="BM147" i="13"/>
  <c r="BF118" i="13"/>
  <c r="AS124" i="13"/>
  <c r="AV110" i="13"/>
  <c r="AV147" i="13"/>
  <c r="BX131" i="13"/>
  <c r="AQ110" i="13"/>
  <c r="BY133" i="13"/>
  <c r="AK106" i="13"/>
  <c r="CB139" i="13"/>
  <c r="AX128" i="13"/>
  <c r="AT135" i="13"/>
  <c r="BX112" i="13"/>
  <c r="BV133" i="13"/>
  <c r="CF121" i="13"/>
  <c r="AW114" i="13"/>
  <c r="AP107" i="13"/>
  <c r="BV129" i="13"/>
  <c r="BO127" i="13"/>
  <c r="BH108" i="13"/>
  <c r="BO122" i="13"/>
  <c r="CD143" i="13"/>
  <c r="AI127" i="13"/>
  <c r="BD144" i="13"/>
  <c r="BQ121" i="13"/>
  <c r="BY108" i="13"/>
  <c r="AV118" i="13"/>
  <c r="CA101" i="13"/>
  <c r="BB130" i="13"/>
  <c r="AX118" i="13"/>
  <c r="BS144" i="13"/>
  <c r="CE128" i="13"/>
  <c r="BJ131" i="13"/>
  <c r="BW103" i="13"/>
  <c r="BF148" i="13"/>
  <c r="AU146" i="13"/>
  <c r="AM148" i="13"/>
  <c r="BX135" i="13"/>
  <c r="AX140" i="13"/>
  <c r="AN123" i="13"/>
  <c r="BY115" i="13"/>
  <c r="AN115" i="13"/>
  <c r="AU115" i="13"/>
  <c r="BZ146" i="13"/>
  <c r="CD128" i="13"/>
  <c r="AG115" i="13"/>
  <c r="BD101" i="13"/>
  <c r="BJ138" i="13"/>
  <c r="AO114" i="13"/>
  <c r="BY148" i="13"/>
  <c r="AT102" i="13"/>
  <c r="BH146" i="13"/>
  <c r="BW116" i="13"/>
  <c r="AW131" i="13"/>
  <c r="BE123" i="13"/>
  <c r="AH126" i="13"/>
  <c r="CC105" i="13"/>
  <c r="BP147" i="13"/>
  <c r="AW113" i="13"/>
  <c r="BL135" i="13"/>
  <c r="BQ141" i="13"/>
  <c r="AR124" i="13"/>
  <c r="AG129" i="13"/>
  <c r="AZ101" i="13"/>
  <c r="BJ136" i="13"/>
  <c r="CB131" i="13"/>
  <c r="BJ112" i="13"/>
  <c r="BG144" i="13"/>
  <c r="BS128" i="13"/>
  <c r="AL147" i="13"/>
  <c r="BH124" i="13"/>
  <c r="AN137" i="13"/>
  <c r="BB136" i="13"/>
  <c r="BW124" i="13"/>
  <c r="BS140" i="13"/>
  <c r="BF124" i="13"/>
  <c r="AM149" i="13"/>
  <c r="AL126" i="13"/>
  <c r="BN138" i="13"/>
  <c r="BH117" i="13"/>
  <c r="BZ111" i="13"/>
  <c r="BV126" i="13"/>
  <c r="AG149" i="13"/>
  <c r="AX108" i="13"/>
  <c r="BH129" i="13"/>
  <c r="CD136" i="13"/>
  <c r="BS110" i="13"/>
  <c r="AP105" i="13"/>
  <c r="AL119" i="13"/>
  <c r="AO144" i="13"/>
  <c r="AQ111" i="13"/>
  <c r="AQ121" i="13"/>
  <c r="AX126" i="13"/>
  <c r="BL105" i="13"/>
  <c r="AX137" i="13"/>
  <c r="AV134" i="13"/>
  <c r="AG142" i="13"/>
  <c r="AG146" i="13"/>
  <c r="AG104" i="13"/>
  <c r="BL128" i="13"/>
  <c r="BB147" i="13"/>
  <c r="BZ102" i="13"/>
  <c r="AU141" i="13"/>
  <c r="CD137" i="13"/>
  <c r="CC124" i="13"/>
  <c r="BV138" i="13"/>
  <c r="CF145" i="13"/>
  <c r="AK129" i="13"/>
  <c r="BD132" i="13"/>
  <c r="CF133" i="13"/>
  <c r="BU124" i="13"/>
  <c r="CB134" i="13"/>
  <c r="AV145" i="13"/>
  <c r="CC139" i="13"/>
  <c r="BW108" i="13"/>
  <c r="AO142" i="13"/>
  <c r="AH133" i="13"/>
  <c r="BM109" i="13"/>
  <c r="BJ141" i="13"/>
  <c r="AG111" i="13"/>
  <c r="AG132" i="13"/>
  <c r="BC149" i="13"/>
  <c r="AR123" i="13"/>
  <c r="BY130" i="13"/>
  <c r="BQ148" i="13"/>
  <c r="BA138" i="13"/>
  <c r="BS133" i="13"/>
  <c r="BX133" i="13"/>
  <c r="CB130" i="13"/>
  <c r="BB143" i="13"/>
  <c r="CF110" i="13"/>
  <c r="BK142" i="13"/>
  <c r="CA121" i="13"/>
  <c r="BY113" i="13"/>
  <c r="BT124" i="13"/>
  <c r="BJ107" i="13"/>
  <c r="BV137" i="13"/>
  <c r="AZ44" i="13" l="1" a="1"/>
  <c r="AZ44" i="13" s="1"/>
  <c r="AZ45" i="13" a="1"/>
  <c r="AZ45" i="13" s="1"/>
  <c r="AZ46" i="13" a="1"/>
  <c r="AZ46" i="13" s="1"/>
  <c r="AZ42" i="13" a="1"/>
  <c r="AZ42" i="13" s="1"/>
  <c r="AY32" i="13"/>
  <c r="BA34" i="13"/>
  <c r="BA47" i="13" s="1"/>
  <c r="CH51" i="13"/>
  <c r="CH55" i="13"/>
  <c r="X68" i="13"/>
  <c r="Y68" i="13"/>
  <c r="CH68" i="13" s="1"/>
  <c r="X85" i="13"/>
  <c r="BV49" i="13"/>
  <c r="X89" i="13"/>
  <c r="CH54" i="13"/>
  <c r="E82" i="10" s="1"/>
  <c r="X66" i="13"/>
  <c r="Y65" i="13"/>
  <c r="CH65" i="13" s="1"/>
  <c r="CI55" i="13"/>
  <c r="X73" i="13"/>
  <c r="Y73" i="13"/>
  <c r="BZ49" i="13"/>
  <c r="Y78" i="13"/>
  <c r="X67" i="13"/>
  <c r="Y67" i="13"/>
  <c r="BQ49" i="13"/>
  <c r="AI49" i="13"/>
  <c r="CE49" i="13"/>
  <c r="BD49" i="13"/>
  <c r="X118" i="13"/>
  <c r="Y118" i="13"/>
  <c r="CH118" i="13" s="1"/>
  <c r="Y89" i="13"/>
  <c r="BB49" i="13"/>
  <c r="BM49" i="13"/>
  <c r="BH49" i="13"/>
  <c r="AH49" i="13"/>
  <c r="AM49" i="13"/>
  <c r="Y110" i="13"/>
  <c r="CH110" i="13" s="1"/>
  <c r="X110" i="13"/>
  <c r="Y111" i="13"/>
  <c r="CH111" i="13" s="1"/>
  <c r="X111" i="13"/>
  <c r="X114" i="13"/>
  <c r="Y114" i="13"/>
  <c r="CH114" i="13" s="1"/>
  <c r="AV49" i="13"/>
  <c r="X101" i="13"/>
  <c r="Y101" i="13"/>
  <c r="CH101" i="13" s="1"/>
  <c r="X135" i="13"/>
  <c r="Y135" i="13"/>
  <c r="CH135" i="13" s="1"/>
  <c r="Y85" i="13"/>
  <c r="Y138" i="13"/>
  <c r="CH138" i="13" s="1"/>
  <c r="X138" i="13"/>
  <c r="Y83" i="13"/>
  <c r="X83" i="13"/>
  <c r="X145" i="13"/>
  <c r="Y145" i="13"/>
  <c r="CH145" i="13" s="1"/>
  <c r="AT49" i="13"/>
  <c r="X115" i="13"/>
  <c r="Y115" i="13"/>
  <c r="CH115" i="13" s="1"/>
  <c r="X64" i="13"/>
  <c r="Y64" i="13"/>
  <c r="X149" i="13"/>
  <c r="Y149" i="13"/>
  <c r="CH149" i="13" s="1"/>
  <c r="X105" i="13"/>
  <c r="Y105" i="13"/>
  <c r="CH105" i="13" s="1"/>
  <c r="X62" i="13"/>
  <c r="Y62" i="13"/>
  <c r="X81" i="13"/>
  <c r="Y81" i="13"/>
  <c r="X90" i="13"/>
  <c r="Y90" i="13"/>
  <c r="Y79" i="13"/>
  <c r="X79" i="13"/>
  <c r="X93" i="13"/>
  <c r="Y93" i="13"/>
  <c r="X95" i="13"/>
  <c r="Y95" i="13"/>
  <c r="Y94" i="13"/>
  <c r="X94" i="13"/>
  <c r="X75" i="13"/>
  <c r="Y75" i="13"/>
  <c r="X91" i="13"/>
  <c r="Y91" i="13"/>
  <c r="AZ49" i="13"/>
  <c r="BF49" i="13"/>
  <c r="BP49" i="13"/>
  <c r="X140" i="13"/>
  <c r="Y140" i="13"/>
  <c r="CH140" i="13" s="1"/>
  <c r="BN49" i="13"/>
  <c r="X113" i="13"/>
  <c r="Y113" i="13"/>
  <c r="CH113" i="13" s="1"/>
  <c r="BL49" i="13"/>
  <c r="X137" i="13"/>
  <c r="Y137" i="13"/>
  <c r="CH137" i="13" s="1"/>
  <c r="BO49" i="13"/>
  <c r="AW49" i="13"/>
  <c r="CC49" i="13"/>
  <c r="Y117" i="13"/>
  <c r="CH117" i="13" s="1"/>
  <c r="X117" i="13"/>
  <c r="X76" i="13"/>
  <c r="Y76" i="13"/>
  <c r="Y66" i="13"/>
  <c r="X97" i="13"/>
  <c r="Y97" i="13"/>
  <c r="BX49" i="13"/>
  <c r="Y116" i="13"/>
  <c r="CH116" i="13" s="1"/>
  <c r="X116" i="13"/>
  <c r="Y103" i="13"/>
  <c r="CH103" i="13" s="1"/>
  <c r="X103" i="13"/>
  <c r="Y131" i="13"/>
  <c r="CH131" i="13" s="1"/>
  <c r="X131" i="13"/>
  <c r="Y141" i="13"/>
  <c r="CH141" i="13" s="1"/>
  <c r="X141" i="13"/>
  <c r="Y128" i="13"/>
  <c r="CH128" i="13" s="1"/>
  <c r="X128" i="13"/>
  <c r="Y109" i="13"/>
  <c r="CH109" i="13" s="1"/>
  <c r="X109" i="13"/>
  <c r="BG49" i="13"/>
  <c r="BY49" i="13"/>
  <c r="CA49" i="13"/>
  <c r="BE49" i="13"/>
  <c r="AG49" i="13"/>
  <c r="CB49" i="13"/>
  <c r="AX49" i="13"/>
  <c r="X50" i="13"/>
  <c r="X70" i="13"/>
  <c r="Y70" i="13"/>
  <c r="X133" i="13"/>
  <c r="Y133" i="13"/>
  <c r="CH133" i="13" s="1"/>
  <c r="X92" i="13"/>
  <c r="Y92" i="13"/>
  <c r="AY49" i="13"/>
  <c r="Y130" i="13"/>
  <c r="CH130" i="13" s="1"/>
  <c r="X130" i="13"/>
  <c r="X98" i="13"/>
  <c r="Y98" i="13"/>
  <c r="Y69" i="13"/>
  <c r="X69" i="13"/>
  <c r="Y126" i="13"/>
  <c r="CH126" i="13" s="1"/>
  <c r="X126" i="13"/>
  <c r="AK49" i="13"/>
  <c r="CF49" i="13"/>
  <c r="Y129" i="13"/>
  <c r="CH129" i="13" s="1"/>
  <c r="X129" i="13"/>
  <c r="X136" i="13"/>
  <c r="Y136" i="13"/>
  <c r="CH136" i="13" s="1"/>
  <c r="X119" i="13"/>
  <c r="Y119" i="13"/>
  <c r="CH119" i="13" s="1"/>
  <c r="AU49" i="13"/>
  <c r="Y144" i="13"/>
  <c r="CH144" i="13" s="1"/>
  <c r="X144" i="13"/>
  <c r="AJ49" i="13"/>
  <c r="BA49" i="13"/>
  <c r="X78" i="13"/>
  <c r="BU49" i="13"/>
  <c r="X65" i="13"/>
  <c r="X134" i="13"/>
  <c r="Y134" i="13"/>
  <c r="CH134" i="13" s="1"/>
  <c r="Y102" i="13"/>
  <c r="CH102" i="13" s="1"/>
  <c r="X102" i="13"/>
  <c r="X82" i="13"/>
  <c r="Y82" i="13"/>
  <c r="BC49" i="13"/>
  <c r="X72" i="13"/>
  <c r="Y72" i="13"/>
  <c r="BI49" i="13"/>
  <c r="BK49" i="13"/>
  <c r="X87" i="13"/>
  <c r="Y87" i="13"/>
  <c r="X112" i="13"/>
  <c r="Y112" i="13"/>
  <c r="CH112" i="13" s="1"/>
  <c r="BW49" i="13"/>
  <c r="X124" i="13"/>
  <c r="Y124" i="13"/>
  <c r="CH124" i="13" s="1"/>
  <c r="X100" i="13"/>
  <c r="Y100" i="13"/>
  <c r="BT49" i="13"/>
  <c r="X80" i="13"/>
  <c r="Y80" i="13"/>
  <c r="Y142" i="13"/>
  <c r="CH142" i="13" s="1"/>
  <c r="X142" i="13"/>
  <c r="BS49" i="13"/>
  <c r="X148" i="13"/>
  <c r="Y148" i="13"/>
  <c r="CH148" i="13" s="1"/>
  <c r="X84" i="13"/>
  <c r="Y84" i="13"/>
  <c r="AS49" i="13"/>
  <c r="AL49" i="13"/>
  <c r="Y74" i="13"/>
  <c r="X74" i="13"/>
  <c r="X99" i="13"/>
  <c r="Y99" i="13"/>
  <c r="X106" i="13"/>
  <c r="Y106" i="13"/>
  <c r="CH106" i="13" s="1"/>
  <c r="CD49" i="13"/>
  <c r="Y96" i="13"/>
  <c r="X96" i="13"/>
  <c r="AO49" i="13"/>
  <c r="X61" i="13"/>
  <c r="Y61" i="13"/>
  <c r="AQ49" i="13"/>
  <c r="X121" i="13"/>
  <c r="Y121" i="13"/>
  <c r="CH121" i="13" s="1"/>
  <c r="X132" i="13"/>
  <c r="Y132" i="13"/>
  <c r="CH132" i="13" s="1"/>
  <c r="Y88" i="13"/>
  <c r="X88" i="13"/>
  <c r="X77" i="13"/>
  <c r="Y77" i="13"/>
  <c r="Y120" i="13"/>
  <c r="CH120" i="13" s="1"/>
  <c r="X120" i="13"/>
  <c r="AP49" i="13"/>
  <c r="AN49" i="13"/>
  <c r="X107" i="13"/>
  <c r="Y107" i="13"/>
  <c r="CH107" i="13" s="1"/>
  <c r="X63" i="13"/>
  <c r="Y63" i="13"/>
  <c r="X143" i="13"/>
  <c r="Y143" i="13"/>
  <c r="CH143" i="13" s="1"/>
  <c r="X108" i="13"/>
  <c r="Y108" i="13"/>
  <c r="CH108" i="13" s="1"/>
  <c r="X122" i="13"/>
  <c r="Y122" i="13"/>
  <c r="CH122" i="13" s="1"/>
  <c r="Y125" i="13"/>
  <c r="CH125" i="13" s="1"/>
  <c r="X125" i="13"/>
  <c r="Y104" i="13"/>
  <c r="CH104" i="13" s="1"/>
  <c r="X104" i="13"/>
  <c r="AR49" i="13"/>
  <c r="X146" i="13"/>
  <c r="Y146" i="13"/>
  <c r="CH146" i="13" s="1"/>
  <c r="Y123" i="13"/>
  <c r="CH123" i="13" s="1"/>
  <c r="X123" i="13"/>
  <c r="BR49" i="13"/>
  <c r="X127" i="13"/>
  <c r="Y127" i="13"/>
  <c r="CH127" i="13" s="1"/>
  <c r="BJ49" i="13"/>
  <c r="X147" i="13"/>
  <c r="Y147" i="13"/>
  <c r="CH147" i="13" s="1"/>
  <c r="X86" i="13"/>
  <c r="Y86" i="13"/>
  <c r="Y139" i="13"/>
  <c r="CH139" i="13" s="1"/>
  <c r="X139" i="13"/>
  <c r="X71" i="13"/>
  <c r="Y71" i="13"/>
  <c r="AZ41" i="13" l="1"/>
  <c r="AZ32" i="13" s="1"/>
  <c r="BA42" i="13" a="1"/>
  <c r="BA42" i="13" s="1"/>
  <c r="BA46" i="13" a="1"/>
  <c r="BA46" i="13" s="1"/>
  <c r="BA44" i="13" a="1"/>
  <c r="BA44" i="13" s="1"/>
  <c r="BA45" i="13" a="1"/>
  <c r="BA45" i="13" s="1"/>
  <c r="BB34" i="13"/>
  <c r="BB47" i="13" s="1"/>
  <c r="R23" i="13"/>
  <c r="R16" i="13"/>
  <c r="R29" i="13"/>
  <c r="R19" i="13"/>
  <c r="R30" i="13"/>
  <c r="R28" i="13"/>
  <c r="R27" i="13"/>
  <c r="R25" i="13"/>
  <c r="R22" i="13"/>
  <c r="R26" i="13"/>
  <c r="R24" i="13"/>
  <c r="R18" i="13"/>
  <c r="R21" i="13"/>
  <c r="R20" i="13"/>
  <c r="R17" i="13"/>
  <c r="Y49" i="13"/>
  <c r="B18" i="26" s="1"/>
  <c r="C3" i="26" s="1"/>
  <c r="D3" i="26" s="1"/>
  <c r="CI65" i="13"/>
  <c r="CI68" i="13"/>
  <c r="E84" i="10"/>
  <c r="R14" i="13"/>
  <c r="CI51" i="13"/>
  <c r="CI54" i="13"/>
  <c r="D82" i="10" s="1"/>
  <c r="CI62" i="13"/>
  <c r="CH62" i="13"/>
  <c r="CH82" i="13"/>
  <c r="CI82" i="13"/>
  <c r="CH83" i="13"/>
  <c r="CI83" i="13"/>
  <c r="CI94" i="13"/>
  <c r="CH94" i="13"/>
  <c r="CH84" i="13"/>
  <c r="CI84" i="13"/>
  <c r="C68" i="10"/>
  <c r="CH58" i="13"/>
  <c r="CI58" i="13"/>
  <c r="CH97" i="13"/>
  <c r="CI97" i="13"/>
  <c r="CI95" i="13"/>
  <c r="CH95" i="13"/>
  <c r="CI85" i="13"/>
  <c r="CH85" i="13"/>
  <c r="CH74" i="13"/>
  <c r="CI74" i="13"/>
  <c r="CH61" i="13"/>
  <c r="CI61" i="13"/>
  <c r="CH96" i="13"/>
  <c r="CI96" i="13"/>
  <c r="C67" i="10"/>
  <c r="CH100" i="13"/>
  <c r="CI100" i="13"/>
  <c r="CH69" i="13"/>
  <c r="CI69" i="13"/>
  <c r="CH66" i="13"/>
  <c r="CI66" i="13"/>
  <c r="CH93" i="13"/>
  <c r="CI93" i="13"/>
  <c r="CH64" i="13"/>
  <c r="CI64" i="13"/>
  <c r="CH72" i="13"/>
  <c r="CI72" i="13"/>
  <c r="CI86" i="13"/>
  <c r="CH86" i="13"/>
  <c r="CH88" i="13"/>
  <c r="CI88" i="13"/>
  <c r="CH53" i="13"/>
  <c r="R15" i="13"/>
  <c r="CI53" i="13"/>
  <c r="CH98" i="13"/>
  <c r="CI98" i="13"/>
  <c r="CI76" i="13"/>
  <c r="CH76" i="13"/>
  <c r="CI81" i="13"/>
  <c r="CH81" i="13"/>
  <c r="CI52" i="13"/>
  <c r="CH52" i="13"/>
  <c r="CI89" i="13"/>
  <c r="CH89" i="13"/>
  <c r="CH87" i="13"/>
  <c r="CI87" i="13"/>
  <c r="CI67" i="13"/>
  <c r="CH67" i="13"/>
  <c r="CH92" i="13"/>
  <c r="CI92" i="13"/>
  <c r="CH91" i="13"/>
  <c r="CI91" i="13"/>
  <c r="CH73" i="13"/>
  <c r="CI73" i="13"/>
  <c r="CI70" i="13"/>
  <c r="CH70" i="13"/>
  <c r="CI79" i="13"/>
  <c r="CH79" i="13"/>
  <c r="CH99" i="13"/>
  <c r="CI99" i="13"/>
  <c r="CH90" i="13"/>
  <c r="CI90" i="13"/>
  <c r="CH60" i="13"/>
  <c r="CI60" i="13"/>
  <c r="CH78" i="13"/>
  <c r="CI78" i="13"/>
  <c r="CI75" i="13"/>
  <c r="CH75" i="13"/>
  <c r="CI59" i="13"/>
  <c r="CH59" i="13"/>
  <c r="CH71" i="13"/>
  <c r="CI71" i="13"/>
  <c r="CI57" i="13"/>
  <c r="CH57" i="13"/>
  <c r="R13" i="13"/>
  <c r="CH77" i="13"/>
  <c r="CI77" i="13"/>
  <c r="CH63" i="13"/>
  <c r="CI63" i="13"/>
  <c r="CI56" i="13"/>
  <c r="D83" i="10" s="1"/>
  <c r="CH56" i="13"/>
  <c r="CI80" i="13"/>
  <c r="CH80" i="13"/>
  <c r="BB44" i="13" l="1" a="1"/>
  <c r="BB44" i="13" s="1"/>
  <c r="BB42" i="13" a="1"/>
  <c r="BB42" i="13" s="1"/>
  <c r="BB45" i="13" a="1"/>
  <c r="BB45" i="13" s="1"/>
  <c r="BB46" i="13" a="1"/>
  <c r="BB46" i="13" s="1"/>
  <c r="BA41" i="13"/>
  <c r="BA32" i="13" s="1"/>
  <c r="BC34" i="13"/>
  <c r="BC47" i="13" s="1"/>
  <c r="E89" i="10"/>
  <c r="E87" i="10"/>
  <c r="D85" i="10"/>
  <c r="E88" i="10"/>
  <c r="E90" i="10"/>
  <c r="E91" i="10"/>
  <c r="E100" i="10"/>
  <c r="D86" i="10"/>
  <c r="D100" i="10"/>
  <c r="D98" i="10"/>
  <c r="D99" i="10"/>
  <c r="D97" i="10"/>
  <c r="D95" i="10"/>
  <c r="D93" i="10"/>
  <c r="D96" i="10"/>
  <c r="D92" i="10"/>
  <c r="D94" i="10"/>
  <c r="D91" i="10"/>
  <c r="D90" i="10"/>
  <c r="D88" i="10"/>
  <c r="D87" i="10"/>
  <c r="D89" i="10"/>
  <c r="E95" i="10"/>
  <c r="E86" i="10"/>
  <c r="E97" i="10"/>
  <c r="E92" i="10"/>
  <c r="E98" i="10"/>
  <c r="E94" i="10"/>
  <c r="E93" i="10"/>
  <c r="E96" i="10"/>
  <c r="E99" i="10"/>
  <c r="D24" i="27"/>
  <c r="E85" i="10"/>
  <c r="E72" i="10"/>
  <c r="AF11" i="13"/>
  <c r="D47" i="22"/>
  <c r="F47" i="22"/>
  <c r="C21" i="22"/>
  <c r="D21" i="22"/>
  <c r="D84" i="10"/>
  <c r="E83" i="10"/>
  <c r="D10" i="22"/>
  <c r="D24" i="22" s="1"/>
  <c r="V11" i="13"/>
  <c r="V12" i="13" s="1"/>
  <c r="D20" i="22"/>
  <c r="F46" i="22"/>
  <c r="D22" i="22"/>
  <c r="AE11" i="13"/>
  <c r="D68" i="10"/>
  <c r="R31" i="13"/>
  <c r="AF10" i="13"/>
  <c r="C54" i="10"/>
  <c r="C24" i="27" s="1"/>
  <c r="E68" i="10"/>
  <c r="AY152" i="13"/>
  <c r="AN152" i="13"/>
  <c r="BT152" i="13"/>
  <c r="BO152" i="13"/>
  <c r="AI152" i="13"/>
  <c r="AS152" i="13"/>
  <c r="AO152" i="13"/>
  <c r="AX152" i="13"/>
  <c r="BK152" i="13"/>
  <c r="AM152" i="13"/>
  <c r="C61" i="10"/>
  <c r="BM152" i="13"/>
  <c r="BC152" i="13"/>
  <c r="BH152" i="13"/>
  <c r="CF152" i="13"/>
  <c r="BE152" i="13"/>
  <c r="BW152" i="13"/>
  <c r="CD152" i="13"/>
  <c r="AT152" i="13"/>
  <c r="AH152" i="13"/>
  <c r="AJ152" i="13"/>
  <c r="AV152" i="13"/>
  <c r="BP152" i="13"/>
  <c r="BS152" i="13"/>
  <c r="AR152" i="13"/>
  <c r="D71" i="10"/>
  <c r="CA152" i="13"/>
  <c r="BA152" i="13"/>
  <c r="BZ152" i="13"/>
  <c r="BF152" i="13"/>
  <c r="D69" i="10"/>
  <c r="CE152" i="13"/>
  <c r="AQ152" i="13"/>
  <c r="D70" i="10"/>
  <c r="D72" i="10"/>
  <c r="BV152" i="13"/>
  <c r="BI152" i="13"/>
  <c r="BU152" i="13"/>
  <c r="BY152" i="13"/>
  <c r="BQ152" i="13"/>
  <c r="AL152" i="13"/>
  <c r="BX152" i="13"/>
  <c r="CB152" i="13"/>
  <c r="BR152" i="13"/>
  <c r="BN152" i="13"/>
  <c r="AZ152" i="13"/>
  <c r="AK152" i="13"/>
  <c r="BL152" i="13"/>
  <c r="C60" i="10"/>
  <c r="AU152" i="13"/>
  <c r="BG152" i="13"/>
  <c r="BD152" i="13"/>
  <c r="BB152" i="13"/>
  <c r="AG152" i="13"/>
  <c r="AW152" i="13"/>
  <c r="AP152" i="13"/>
  <c r="CC152" i="13"/>
  <c r="D74" i="10"/>
  <c r="BJ152" i="13"/>
  <c r="D67" i="10"/>
  <c r="BC42" i="13" l="1" a="1"/>
  <c r="BC42" i="13" s="1"/>
  <c r="BC44" i="13" a="1"/>
  <c r="BC44" i="13" s="1"/>
  <c r="BC45" i="13" a="1"/>
  <c r="BC45" i="13" s="1"/>
  <c r="BC46" i="13" a="1"/>
  <c r="BC46" i="13" s="1"/>
  <c r="BB41" i="13"/>
  <c r="BB32" i="13"/>
  <c r="BD34" i="13"/>
  <c r="BD47" i="13" s="1"/>
  <c r="E24" i="27"/>
  <c r="AF20" i="13"/>
  <c r="BD42" i="13" l="1" a="1"/>
  <c r="BD42" i="13" s="1"/>
  <c r="BD44" i="13" a="1"/>
  <c r="BD44" i="13" s="1"/>
  <c r="BD45" i="13" a="1"/>
  <c r="BD45" i="13" s="1"/>
  <c r="BD46" i="13" a="1"/>
  <c r="BD46" i="13" s="1"/>
  <c r="BC41" i="13"/>
  <c r="BC32" i="13" s="1"/>
  <c r="BE34" i="13"/>
  <c r="BE47" i="13" s="1"/>
  <c r="CI50" i="13"/>
  <c r="CJ50" i="13"/>
  <c r="W11" i="13" l="1"/>
  <c r="W12" i="13" s="1"/>
  <c r="E10" i="22"/>
  <c r="E24" i="22" s="1"/>
  <c r="BD41" i="13"/>
  <c r="BE45" i="13" a="1"/>
  <c r="BE45" i="13" s="1"/>
  <c r="BE46" i="13" a="1"/>
  <c r="BE46" i="13" s="1"/>
  <c r="BE42" i="13" a="1"/>
  <c r="BE42" i="13" s="1"/>
  <c r="BE44" i="13" a="1"/>
  <c r="BE44" i="13" s="1"/>
  <c r="BD32" i="13"/>
  <c r="BF34" i="13"/>
  <c r="BF47" i="13" s="1"/>
  <c r="U11" i="13"/>
  <c r="U12" i="13" s="1"/>
  <c r="C10" i="22"/>
  <c r="C24" i="22" s="1"/>
  <c r="D23" i="27"/>
  <c r="D81" i="10"/>
  <c r="CA158" i="13"/>
  <c r="BS158" i="13"/>
  <c r="BK158" i="13"/>
  <c r="BY158" i="13"/>
  <c r="AG158" i="13"/>
  <c r="AP158" i="13"/>
  <c r="AQ158" i="13"/>
  <c r="BB158" i="13"/>
  <c r="AJ158" i="13"/>
  <c r="CD158" i="13"/>
  <c r="BV158" i="13"/>
  <c r="AM158" i="13"/>
  <c r="AX158" i="13"/>
  <c r="AY158" i="13"/>
  <c r="BC158" i="13"/>
  <c r="BH158" i="13"/>
  <c r="AU158" i="13"/>
  <c r="AW158" i="13"/>
  <c r="BF158" i="13"/>
  <c r="BQ158" i="13"/>
  <c r="BI158" i="13"/>
  <c r="BA158" i="13"/>
  <c r="CB158" i="13"/>
  <c r="BT158" i="13"/>
  <c r="AV158" i="13"/>
  <c r="AO158" i="13"/>
  <c r="BN158" i="13"/>
  <c r="AH158" i="13"/>
  <c r="BL158" i="13"/>
  <c r="AZ158" i="13"/>
  <c r="AS158" i="13"/>
  <c r="AK158" i="13"/>
  <c r="CE158" i="13"/>
  <c r="BW158" i="13"/>
  <c r="AN158" i="13"/>
  <c r="BD158" i="13"/>
  <c r="BO158" i="13"/>
  <c r="BG158" i="13"/>
  <c r="BZ158" i="13"/>
  <c r="BR158" i="13"/>
  <c r="BJ158" i="13"/>
  <c r="BM158" i="13"/>
  <c r="CC158" i="13"/>
  <c r="BU158" i="13"/>
  <c r="BX158" i="13"/>
  <c r="AI158" i="13"/>
  <c r="AT158" i="13"/>
  <c r="AL158" i="13"/>
  <c r="CF158" i="13"/>
  <c r="AR158" i="13"/>
  <c r="BE158" i="13"/>
  <c r="BP158" i="13"/>
  <c r="CJ152" i="13"/>
  <c r="AQ155" i="13"/>
  <c r="AN155" i="13"/>
  <c r="AK155" i="13"/>
  <c r="AR155" i="13"/>
  <c r="BY155" i="13"/>
  <c r="AG155" i="13"/>
  <c r="AU155" i="13"/>
  <c r="AH155" i="13"/>
  <c r="AI155" i="13"/>
  <c r="CB155" i="13"/>
  <c r="AJ155" i="13"/>
  <c r="CD155" i="13"/>
  <c r="AS155" i="13"/>
  <c r="CF155" i="13"/>
  <c r="AO155" i="13"/>
  <c r="AP155" i="13"/>
  <c r="AM155" i="13"/>
  <c r="BZ155" i="13"/>
  <c r="CE155" i="13"/>
  <c r="CA155" i="13"/>
  <c r="CC155" i="13"/>
  <c r="AL155" i="13"/>
  <c r="AV155" i="13"/>
  <c r="AT155" i="13"/>
  <c r="CH50" i="13"/>
  <c r="C44" i="10"/>
  <c r="AE10" i="13"/>
  <c r="AE20" i="13" s="1"/>
  <c r="CI152" i="13"/>
  <c r="D28" i="13"/>
  <c r="E22" i="22" l="1"/>
  <c r="H46" i="22"/>
  <c r="E20" i="22"/>
  <c r="BF42" i="13" a="1"/>
  <c r="BF42" i="13" s="1"/>
  <c r="BF45" i="13" a="1"/>
  <c r="BF45" i="13" s="1"/>
  <c r="BF46" i="13" a="1"/>
  <c r="BF46" i="13" s="1"/>
  <c r="BF44" i="13" a="1"/>
  <c r="BF44" i="13" s="1"/>
  <c r="BE41" i="13"/>
  <c r="BE32" i="13" s="1"/>
  <c r="BG34" i="13"/>
  <c r="BG47" i="13" s="1"/>
  <c r="F21" i="31"/>
  <c r="H21" i="31"/>
  <c r="G21" i="31"/>
  <c r="E21" i="31"/>
  <c r="E81" i="10"/>
  <c r="C22" i="22"/>
  <c r="C20" i="22"/>
  <c r="D46" i="22"/>
  <c r="CH152" i="13"/>
  <c r="E67" i="10"/>
  <c r="C55" i="10"/>
  <c r="C23" i="27" s="1"/>
  <c r="E23" i="27" s="1"/>
  <c r="D25" i="13"/>
  <c r="C48" i="10"/>
  <c r="D22" i="27"/>
  <c r="BF41" i="13" l="1"/>
  <c r="BG44" i="13" a="1"/>
  <c r="BG44" i="13" s="1"/>
  <c r="BG42" i="13" a="1"/>
  <c r="BG42" i="13" s="1"/>
  <c r="BG45" i="13" a="1"/>
  <c r="BG45" i="13" s="1"/>
  <c r="BG46" i="13" a="1"/>
  <c r="BG46" i="13" s="1"/>
  <c r="BF32" i="13"/>
  <c r="BH34" i="13"/>
  <c r="BH47" i="13" s="1"/>
  <c r="E22" i="31"/>
  <c r="E23" i="31"/>
  <c r="G23" i="31"/>
  <c r="G22" i="31"/>
  <c r="H23" i="31"/>
  <c r="H22" i="31"/>
  <c r="F22" i="31"/>
  <c r="F23" i="31"/>
  <c r="D30" i="10"/>
  <c r="B17" i="31"/>
  <c r="E17" i="31" s="1"/>
  <c r="F17" i="31"/>
  <c r="F67" i="10"/>
  <c r="C32" i="31"/>
  <c r="C34" i="31" s="1"/>
  <c r="F32" i="31"/>
  <c r="F34" i="31" s="1"/>
  <c r="V10" i="13"/>
  <c r="W10" i="13"/>
  <c r="U10" i="13"/>
  <c r="D27" i="13"/>
  <c r="C19" i="27"/>
  <c r="E19" i="27" s="1"/>
  <c r="C57" i="10"/>
  <c r="F74" i="10"/>
  <c r="F68" i="10"/>
  <c r="F69" i="10"/>
  <c r="F71" i="10"/>
  <c r="F70" i="10"/>
  <c r="F72" i="10"/>
  <c r="C43" i="10"/>
  <c r="D31" i="10"/>
  <c r="D29" i="13" s="1"/>
  <c r="C22" i="27" s="1"/>
  <c r="E22" i="27" s="1"/>
  <c r="BH44" i="13" l="1" a="1"/>
  <c r="BH44" i="13" s="1"/>
  <c r="BH45" i="13" a="1"/>
  <c r="BH45" i="13" s="1"/>
  <c r="BH46" i="13" a="1"/>
  <c r="BH46" i="13" s="1"/>
  <c r="BH42" i="13" a="1"/>
  <c r="BH42" i="13" s="1"/>
  <c r="BG41" i="13"/>
  <c r="BG32" i="13" s="1"/>
  <c r="D33" i="10"/>
  <c r="D36" i="10" s="1"/>
  <c r="D37" i="10" s="1"/>
  <c r="BI34" i="13"/>
  <c r="BI47" i="13" s="1"/>
  <c r="D30" i="13"/>
  <c r="C20" i="27" s="1"/>
  <c r="E20" i="27" s="1"/>
  <c r="B56" i="27" s="1" a="1"/>
  <c r="B56" i="27" s="1"/>
  <c r="F3" i="27" s="1"/>
  <c r="F11" i="10"/>
  <c r="C9" i="22"/>
  <c r="C13" i="22" s="1"/>
  <c r="U13" i="13"/>
  <c r="D9" i="22"/>
  <c r="D13" i="22" s="1"/>
  <c r="V13" i="13"/>
  <c r="E9" i="22"/>
  <c r="E13" i="22" s="1"/>
  <c r="W13" i="13"/>
  <c r="BH41" i="13" l="1"/>
  <c r="BH32" i="13" s="1"/>
  <c r="BI44" i="13" a="1"/>
  <c r="BI44" i="13" s="1"/>
  <c r="BI42" i="13" a="1"/>
  <c r="BI42" i="13" s="1"/>
  <c r="BI45" i="13" a="1"/>
  <c r="BI45" i="13" s="1"/>
  <c r="BI46" i="13" a="1"/>
  <c r="BI46" i="13" s="1"/>
  <c r="BJ34" i="13"/>
  <c r="BJ47" i="13" s="1"/>
  <c r="F14" i="10"/>
  <c r="F10" i="10"/>
  <c r="C56" i="27"/>
  <c r="BI41" i="13" l="1"/>
  <c r="BJ45" i="13" a="1"/>
  <c r="BJ45" i="13" s="1"/>
  <c r="BJ44" i="13" a="1"/>
  <c r="BJ44" i="13" s="1"/>
  <c r="BJ46" i="13" a="1"/>
  <c r="BJ46" i="13" s="1"/>
  <c r="BJ42" i="13" a="1"/>
  <c r="BJ42" i="13" s="1"/>
  <c r="BI32" i="13"/>
  <c r="BK34" i="13"/>
  <c r="BK47" i="13" s="1"/>
  <c r="BK42" i="13" l="1" a="1"/>
  <c r="BK42" i="13" s="1"/>
  <c r="BK44" i="13" a="1"/>
  <c r="BK44" i="13" s="1"/>
  <c r="BK46" i="13" a="1"/>
  <c r="BK46" i="13" s="1"/>
  <c r="BK45" i="13" a="1"/>
  <c r="BK45" i="13" s="1"/>
  <c r="BJ41" i="13"/>
  <c r="BJ32" i="13" s="1"/>
  <c r="BL34" i="13"/>
  <c r="BL47" i="13" s="1"/>
  <c r="BL45" i="13" l="1" a="1"/>
  <c r="BL45" i="13" s="1"/>
  <c r="BL46" i="13" a="1"/>
  <c r="BL46" i="13" s="1"/>
  <c r="BL42" i="13" a="1"/>
  <c r="BL42" i="13" s="1"/>
  <c r="BL44" i="13" a="1"/>
  <c r="BL44" i="13" s="1"/>
  <c r="BK41" i="13"/>
  <c r="BK32" i="13" s="1"/>
  <c r="BM34" i="13"/>
  <c r="BM47" i="13" s="1"/>
  <c r="BM42" i="13" l="1" a="1"/>
  <c r="BM42" i="13" s="1"/>
  <c r="BM44" i="13" a="1"/>
  <c r="BM44" i="13" s="1"/>
  <c r="BM45" i="13" a="1"/>
  <c r="BM45" i="13" s="1"/>
  <c r="BM46" i="13" a="1"/>
  <c r="BM46" i="13" s="1"/>
  <c r="BL41" i="13"/>
  <c r="BL32" i="13" s="1"/>
  <c r="BN34" i="13"/>
  <c r="BN47" i="13" s="1"/>
  <c r="BM41" i="13" l="1"/>
  <c r="BM32" i="13" s="1"/>
  <c r="BN44" i="13" a="1"/>
  <c r="BN44" i="13" s="1"/>
  <c r="BN42" i="13" a="1"/>
  <c r="BN42" i="13" s="1"/>
  <c r="BN46" i="13" a="1"/>
  <c r="BN46" i="13" s="1"/>
  <c r="BN45" i="13" a="1"/>
  <c r="BN45" i="13" s="1"/>
  <c r="BO34" i="13"/>
  <c r="BO47" i="13" s="1"/>
  <c r="BO42" i="13" l="1" a="1"/>
  <c r="BO42" i="13" s="1"/>
  <c r="BO44" i="13" a="1"/>
  <c r="BO44" i="13" s="1"/>
  <c r="BO46" i="13" a="1"/>
  <c r="BO46" i="13" s="1"/>
  <c r="BO45" i="13" a="1"/>
  <c r="BO45" i="13" s="1"/>
  <c r="BN41" i="13"/>
  <c r="BN32" i="13"/>
  <c r="BP34" i="13"/>
  <c r="BP47" i="13" s="1"/>
  <c r="BP46" i="13" l="1" a="1"/>
  <c r="BP46" i="13" s="1"/>
  <c r="BP42" i="13" a="1"/>
  <c r="BP42" i="13" s="1"/>
  <c r="BP45" i="13" a="1"/>
  <c r="BP45" i="13" s="1"/>
  <c r="BP44" i="13" a="1"/>
  <c r="BP44" i="13" s="1"/>
  <c r="BO41" i="13"/>
  <c r="BO32" i="13" s="1"/>
  <c r="BQ34" i="13"/>
  <c r="BQ47" i="13" s="1"/>
  <c r="BP41" i="13" l="1"/>
  <c r="BQ46" i="13" a="1"/>
  <c r="BQ46" i="13" s="1"/>
  <c r="BQ45" i="13" a="1"/>
  <c r="BQ45" i="13" s="1"/>
  <c r="BQ42" i="13" a="1"/>
  <c r="BQ42" i="13" s="1"/>
  <c r="BQ44" i="13" a="1"/>
  <c r="BQ44" i="13" s="1"/>
  <c r="BP32" i="13"/>
  <c r="BR34" i="13"/>
  <c r="BR47" i="13" s="1"/>
  <c r="BQ41" i="13" l="1"/>
  <c r="BR44" i="13" a="1"/>
  <c r="BR44" i="13" s="1"/>
  <c r="BR46" i="13" a="1"/>
  <c r="BR46" i="13" s="1"/>
  <c r="BR42" i="13" a="1"/>
  <c r="BR42" i="13" s="1"/>
  <c r="BR45" i="13" a="1"/>
  <c r="BR45" i="13" s="1"/>
  <c r="BQ32" i="13"/>
  <c r="BS34" i="13"/>
  <c r="BS47" i="13" s="1"/>
  <c r="BS46" i="13" l="1" a="1"/>
  <c r="BS46" i="13" s="1"/>
  <c r="BS45" i="13" a="1"/>
  <c r="BS45" i="13" s="1"/>
  <c r="BS44" i="13" a="1"/>
  <c r="BS44" i="13" s="1"/>
  <c r="BS42" i="13" a="1"/>
  <c r="BS42" i="13" s="1"/>
  <c r="BR41" i="13"/>
  <c r="BR32" i="13"/>
  <c r="BT34" i="13"/>
  <c r="BT47" i="13" s="1"/>
  <c r="BS41" i="13" l="1"/>
  <c r="BT46" i="13" a="1"/>
  <c r="BT46" i="13" s="1"/>
  <c r="BT45" i="13" a="1"/>
  <c r="BT45" i="13" s="1"/>
  <c r="BT44" i="13" a="1"/>
  <c r="BT44" i="13" s="1"/>
  <c r="BT42" i="13" a="1"/>
  <c r="BT42" i="13" s="1"/>
  <c r="BS32" i="13"/>
  <c r="BU34" i="13"/>
  <c r="BU47" i="13" s="1"/>
  <c r="BT41" i="13" l="1"/>
  <c r="BU42" i="13" a="1"/>
  <c r="BU42" i="13" s="1"/>
  <c r="BU44" i="13" a="1"/>
  <c r="BU44" i="13" s="1"/>
  <c r="BU46" i="13" a="1"/>
  <c r="BU46" i="13" s="1"/>
  <c r="BU45" i="13" a="1"/>
  <c r="BU45" i="13" s="1"/>
  <c r="BT32" i="13"/>
  <c r="BV34" i="13"/>
  <c r="BV47" i="13" s="1"/>
  <c r="BV42" i="13" l="1" a="1"/>
  <c r="BV42" i="13" s="1"/>
  <c r="BV44" i="13" a="1"/>
  <c r="BV44" i="13" s="1"/>
  <c r="BV46" i="13" a="1"/>
  <c r="BV46" i="13" s="1"/>
  <c r="BV45" i="13" a="1"/>
  <c r="BV45" i="13" s="1"/>
  <c r="BU41" i="13"/>
  <c r="BU32" i="13"/>
  <c r="BW34" i="13"/>
  <c r="BW47" i="13" s="1"/>
  <c r="BW44" i="13" l="1" a="1"/>
  <c r="BW44" i="13" s="1"/>
  <c r="BW42" i="13" a="1"/>
  <c r="BW42" i="13" s="1"/>
  <c r="BW45" i="13" a="1"/>
  <c r="BW45" i="13" s="1"/>
  <c r="BW46" i="13" a="1"/>
  <c r="BW46" i="13" s="1"/>
  <c r="BV41" i="13"/>
  <c r="BV32" i="13"/>
  <c r="BX34" i="13"/>
  <c r="BX47" i="13" s="1"/>
  <c r="BX46" i="13" l="1" a="1"/>
  <c r="BX46" i="13" s="1"/>
  <c r="BX42" i="13" a="1"/>
  <c r="BX42" i="13" s="1"/>
  <c r="BX45" i="13" a="1"/>
  <c r="BX45" i="13" s="1"/>
  <c r="BX44" i="13" a="1"/>
  <c r="BX44" i="13" s="1"/>
  <c r="BW41" i="13"/>
  <c r="BW32" i="13"/>
  <c r="BY34" i="13"/>
  <c r="BY47" i="13" s="1"/>
  <c r="BX41" i="13" l="1"/>
  <c r="BY45" i="13" a="1"/>
  <c r="BY45" i="13" s="1"/>
  <c r="BY42" i="13" a="1"/>
  <c r="BY42" i="13" s="1"/>
  <c r="BY44" i="13" a="1"/>
  <c r="BY44" i="13" s="1"/>
  <c r="BY46" i="13" a="1"/>
  <c r="BY46" i="13" s="1"/>
  <c r="BX32" i="13"/>
  <c r="BZ34" i="13"/>
  <c r="BZ47" i="13" s="1"/>
  <c r="BY41" i="13" l="1"/>
  <c r="BZ44" i="13" a="1"/>
  <c r="BZ44" i="13" s="1"/>
  <c r="BZ42" i="13" a="1"/>
  <c r="BZ42" i="13" s="1"/>
  <c r="BZ45" i="13" a="1"/>
  <c r="BZ45" i="13" s="1"/>
  <c r="BZ46" i="13" a="1"/>
  <c r="BZ46" i="13" s="1"/>
  <c r="BY32" i="13"/>
  <c r="CA34" i="13"/>
  <c r="CA47" i="13" s="1"/>
  <c r="BZ41" i="13" l="1"/>
  <c r="CA44" i="13" a="1"/>
  <c r="CA44" i="13" s="1"/>
  <c r="CA45" i="13" a="1"/>
  <c r="CA45" i="13" s="1"/>
  <c r="CA46" i="13" a="1"/>
  <c r="CA46" i="13" s="1"/>
  <c r="CA42" i="13" a="1"/>
  <c r="CA42" i="13" s="1"/>
  <c r="BZ32" i="13"/>
  <c r="CB34" i="13"/>
  <c r="CB47" i="13" s="1"/>
  <c r="CA41" i="13" l="1"/>
  <c r="CB46" i="13" a="1"/>
  <c r="CB46" i="13" s="1"/>
  <c r="CB44" i="13" a="1"/>
  <c r="CB44" i="13" s="1"/>
  <c r="CB45" i="13" a="1"/>
  <c r="CB45" i="13" s="1"/>
  <c r="CB42" i="13" a="1"/>
  <c r="CB42" i="13" s="1"/>
  <c r="CA32" i="13"/>
  <c r="CC34" i="13"/>
  <c r="CC47" i="13" s="1"/>
  <c r="CC46" i="13" l="1" a="1"/>
  <c r="CC46" i="13" s="1"/>
  <c r="CC45" i="13" a="1"/>
  <c r="CC45" i="13" s="1"/>
  <c r="CC44" i="13" a="1"/>
  <c r="CC44" i="13" s="1"/>
  <c r="CC42" i="13" a="1"/>
  <c r="CC42" i="13" s="1"/>
  <c r="CB41" i="13"/>
  <c r="CB32" i="13"/>
  <c r="CD34" i="13"/>
  <c r="CD47" i="13" s="1"/>
  <c r="CD42" i="13" l="1" a="1"/>
  <c r="CD42" i="13" s="1"/>
  <c r="CD44" i="13" a="1"/>
  <c r="CD44" i="13" s="1"/>
  <c r="CD45" i="13" a="1"/>
  <c r="CD45" i="13" s="1"/>
  <c r="CD46" i="13" a="1"/>
  <c r="CD46" i="13" s="1"/>
  <c r="CC41" i="13"/>
  <c r="CC32" i="13"/>
  <c r="CE34" i="13"/>
  <c r="CE47" i="13" s="1"/>
  <c r="CE42" i="13" l="1" a="1"/>
  <c r="CE42" i="13" s="1"/>
  <c r="CE44" i="13" a="1"/>
  <c r="CE44" i="13" s="1"/>
  <c r="CE45" i="13" a="1"/>
  <c r="CE45" i="13" s="1"/>
  <c r="CE46" i="13" a="1"/>
  <c r="CE46" i="13" s="1"/>
  <c r="CD41" i="13"/>
  <c r="CD32" i="13"/>
  <c r="CF34" i="13"/>
  <c r="CF47" i="13" s="1"/>
  <c r="CF46" i="13" l="1" a="1"/>
  <c r="CF46" i="13" s="1"/>
  <c r="CF42" i="13" a="1"/>
  <c r="CF42" i="13" s="1"/>
  <c r="CF44" i="13" a="1"/>
  <c r="CF44" i="13" s="1"/>
  <c r="CF45" i="13" a="1"/>
  <c r="CF45" i="13" s="1"/>
  <c r="CE41" i="13"/>
  <c r="CE32" i="13"/>
  <c r="CF41" i="13" l="1"/>
  <c r="F17" i="10" s="1"/>
  <c r="CH47" i="13" s="1"/>
  <c r="CF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tc={E264E545-2087-439C-9C78-9A7960D53E20}</author>
    <author>Samantha Abel</author>
  </authors>
  <commentList>
    <comment ref="C7" authorId="0" shapeId="0" xr:uid="{E264E545-2087-439C-9C78-9A7960D53E20}">
      <text>
        <t>[Threaded comment]
Your version of Excel allows you to read this threaded comment; however, any edits to it will get removed if the file is opened in a newer version of Excel. Learn more: https://go.microsoft.com/fwlink/?linkid=870924
Comment:
    Which checklist? #5 Projector Check List?</t>
      </text>
    </comment>
    <comment ref="C38" authorId="1" shapeId="0" xr:uid="{E064E15B-3DD6-8E4C-AABA-DEDEE2C51F8A}">
      <text>
        <r>
          <rPr>
            <b/>
            <sz val="10"/>
            <color rgb="FF000000"/>
            <rFont val="Tahoma"/>
            <family val="2"/>
          </rPr>
          <t>Samantha Abel:</t>
        </r>
        <r>
          <rPr>
            <sz val="10"/>
            <color rgb="FF000000"/>
            <rFont val="Tahoma"/>
            <family val="2"/>
          </rPr>
          <t xml:space="preserve">
</t>
        </r>
        <r>
          <rPr>
            <sz val="10"/>
            <color rgb="FF000000"/>
            <rFont val="Tahoma"/>
            <family val="2"/>
          </rPr>
          <t>This is the largest know use case for the RPE!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tc={0C9B29A7-D4C1-4A5D-9E52-5EDC06746626}</author>
    <author>Samantha Abel</author>
    <author>tc={78C04221-0F47-4E0D-8B7E-DF89A57B28D2}</author>
    <author>tc={F4BEA96E-01BC-4E7A-A3B3-5AC0932DE0E6}</author>
    <author>tc={327A0112-EB50-4A36-8BA4-E113BD4D2AF7}</author>
  </authors>
  <commentList>
    <comment ref="E11" authorId="0" shapeId="0" xr:uid="{0C9B29A7-D4C1-4A5D-9E52-5EDC06746626}">
      <text>
        <t>[Threaded comment]
Your version of Excel allows you to read this threaded comment; however, any edits to it will get removed if the file is opened in a newer version of Excel. Learn more: https://go.microsoft.com/fwlink/?linkid=870924
Comment:
    Do we add a quick CredUS pricing calculator</t>
      </text>
    </comment>
    <comment ref="B18" authorId="1" shapeId="0" xr:uid="{00B6C834-8369-5349-89DF-FC138E94FB8D}">
      <text>
        <r>
          <rPr>
            <b/>
            <sz val="10"/>
            <color rgb="FF000000"/>
            <rFont val="Tahoma"/>
            <family val="2"/>
          </rPr>
          <t>Samantha Abel:</t>
        </r>
        <r>
          <rPr>
            <sz val="10"/>
            <color rgb="FF000000"/>
            <rFont val="Tahoma"/>
            <family val="2"/>
          </rPr>
          <t xml:space="preserve">
</t>
        </r>
        <r>
          <rPr>
            <sz val="10"/>
            <color rgb="FF000000"/>
            <rFont val="Tahoma"/>
            <family val="2"/>
          </rPr>
          <t>Not sure what to select? Check out the RPE QRG or refer to section on How to Use Guide tab for help</t>
        </r>
      </text>
    </comment>
    <comment ref="E33" authorId="2" shapeId="0" xr:uid="{78C04221-0F47-4E0D-8B7E-DF89A57B28D2}">
      <text>
        <t xml:space="preserve">[Threaded comment]
Your version of Excel allows you to read this threaded comment; however, any edits to it will get removed if the file is opened in a newer version of Excel. Learn more: https://go.microsoft.com/fwlink/?linkid=870924
Comment:
    Kill this table
</t>
      </text>
    </comment>
    <comment ref="I33" authorId="3" shapeId="0" xr:uid="{F4BEA96E-01BC-4E7A-A3B3-5AC0932DE0E6}">
      <text>
        <t>[Threaded comment]
Your version of Excel allows you to read this threaded comment; however, any edits to it will get removed if the file is opened in a newer version of Excel. Learn more: https://go.microsoft.com/fwlink/?linkid=870924
Comment:
    kill</t>
      </text>
    </comment>
    <comment ref="J34" authorId="4" shapeId="0" xr:uid="{327A0112-EB50-4A36-8BA4-E113BD4D2AF7}">
      <text>
        <t>[Threaded comment]
Your version of Excel allows you to read this threaded comment; however, any edits to it will get removed if the file is opened in a newer version of Excel. Learn more: https://go.microsoft.com/fwlink/?linkid=870924
Comment:
    Do we kill this?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Samantha Abel</author>
    <author>tc={EF6B77D9-0670-474E-A4BB-B848A820787C}</author>
    <author>tc={1E5BB24F-5B52-425B-B629-840D32443525}</author>
    <author>tc={D3917580-775E-4A4B-B07F-26B8116DBCAA}</author>
    <author>tc={EB628F9C-EE94-455F-8D99-7C4E9F63731E}</author>
  </authors>
  <commentList>
    <comment ref="X2" authorId="0" shapeId="0" xr:uid="{783433FA-276B-274C-A73D-5B78E5E5DA3C}">
      <text>
        <r>
          <rPr>
            <b/>
            <sz val="10"/>
            <color rgb="FF000000"/>
            <rFont val="Tahoma"/>
            <family val="2"/>
          </rPr>
          <t xml:space="preserve">Samantha Abel:
</t>
        </r>
        <r>
          <rPr>
            <sz val="10"/>
            <color rgb="FF000000"/>
            <rFont val="Tahoma"/>
            <family val="2"/>
          </rPr>
          <t xml:space="preserve">
</t>
        </r>
        <r>
          <rPr>
            <sz val="10"/>
            <color rgb="FF000000"/>
            <rFont val="Tahoma"/>
            <family val="2"/>
          </rPr>
          <t>Click the "+" to exapand these cells if you need to evaluate multiple pricing scenarios!</t>
        </r>
      </text>
    </comment>
    <comment ref="C13" authorId="1" shapeId="0" xr:uid="{EF6B77D9-0670-474E-A4BB-B848A820787C}">
      <text>
        <t>[Threaded comment]
Your version of Excel allows you to read this threaded comment; however, any edits to it will get removed if the file is opened in a newer version of Excel. Learn more: https://go.microsoft.com/fwlink/?linkid=870924
Comment:
    Can we just call this Project/Opportunity Code so that it can be agnostic for Dynamics as well?</t>
      </text>
    </comment>
    <comment ref="AH34" authorId="2" shapeId="0" xr:uid="{1E5BB24F-5B52-425B-B629-840D32443525}">
      <text>
        <t>[Threaded comment]
Your version of Excel allows you to read this threaded comment; however, any edits to it will get removed if the file is opened in a newer version of Excel. Learn more: https://go.microsoft.com/fwlink/?linkid=870924
Comment:
    Update this to be next Monday after start date</t>
      </text>
    </comment>
    <comment ref="C48" authorId="3" shapeId="0" xr:uid="{D3917580-775E-4A4B-B07F-26B8116DBCAA}">
      <text>
        <t xml:space="preserve">[Threaded comment]
Your version of Excel allows you to read this threaded comment; however, any edits to it will get removed if the file is opened in a newer version of Excel. Learn more: https://go.microsoft.com/fwlink/?linkid=870924
Comment:
    Do we even need this column? Need to check the requirements. </t>
      </text>
    </comment>
    <comment ref="D48" authorId="4" shapeId="0" xr:uid="{EB628F9C-EE94-455F-8D99-7C4E9F63731E}">
      <text>
        <t>[Threaded comment]
Your version of Excel allows you to read this threaded comment; however, any edits to it will get removed if the file is opened in a newer version of Excel. Learn more: https://go.microsoft.com/fwlink/?linkid=870924
Comment:
    @Haley Heard (Credera) @Charlotte Hackney (Credera) can we move all the required to the left or have conditional formatting for highlighting? But then we need to figure out how to be clear with difference between int. required and like user required (Charlotte’s example of what if they choose TADIndia, can it make the three columns look required but indicate nothing is needed if CredUS resource?)</t>
      </text>
    </comment>
    <comment ref="AG48" authorId="0" shapeId="0" xr:uid="{1BDB72E3-DBCA-4DCA-A1B3-01B4DEEDC4E2}">
      <text>
        <r>
          <rPr>
            <sz val="10"/>
            <color rgb="FF000000"/>
            <rFont val="Tahoma"/>
            <family val="2"/>
          </rPr>
          <t>Important: RPE does not account for holidays automatically, you must manually adjust hr/wk for resources as applicable for holidays</t>
        </r>
      </text>
    </comment>
    <comment ref="C100" authorId="0" shapeId="0" xr:uid="{5F8483CA-5B1C-F94F-AFAD-829639C9D36E}">
      <text>
        <r>
          <rPr>
            <b/>
            <sz val="10"/>
            <color rgb="FF000000"/>
            <rFont val="Tahoma"/>
            <family val="2"/>
          </rPr>
          <t>Samantha Abel:</t>
        </r>
        <r>
          <rPr>
            <sz val="10"/>
            <color rgb="FF000000"/>
            <rFont val="Tahoma"/>
            <family val="2"/>
          </rPr>
          <t xml:space="preserve">
</t>
        </r>
        <r>
          <rPr>
            <sz val="10"/>
            <color rgb="FF000000"/>
            <rFont val="Tahoma"/>
            <family val="2"/>
          </rPr>
          <t>Click expand with the + for additional rows as needed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tc={54F849C0-DA4D-46BD-ABB1-39718E5F5760}</author>
  </authors>
  <commentList>
    <comment ref="B16" authorId="0" shapeId="0" xr:uid="{1EFCCB57-69AF-4284-9E36-CF37AF167DFD}">
      <text>
        <r>
          <rPr>
            <b/>
            <sz val="9"/>
            <color indexed="81"/>
            <rFont val="Tahoma"/>
            <family val="2"/>
          </rPr>
          <t>Calculated based off pure resource rates and cost calculations.</t>
        </r>
      </text>
    </comment>
    <comment ref="C67" authorId="1" shapeId="0" xr:uid="{54F849C0-DA4D-46BD-ABB1-39718E5F5760}">
      <text>
        <t>[Threaded comment]
Your version of Excel allows you to read this threaded comment; however, any edits to it will get removed if the file is opened in a newer version of Excel. Learn more: https://go.microsoft.com/fwlink/?linkid=870924
Comment:
    Does this formula change based on expenses being billable/non-billable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Marleta Hansen (Credera)</author>
  </authors>
  <commentList>
    <comment ref="B19" authorId="0"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0" authorId="0"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C21" authorId="0"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D21" authorId="0" shapeId="0" xr:uid="{D01E151F-63C5-4C3A-9E9D-38F01FF3CC71}">
      <text>
        <r>
          <rPr>
            <b/>
            <sz val="9"/>
            <color indexed="81"/>
            <rFont val="Tahoma"/>
            <family val="2"/>
          </rPr>
          <t xml:space="preserve">Blended Cost = 
Estimated Total Cost / Estimated Hours
</t>
        </r>
        <r>
          <rPr>
            <sz val="9"/>
            <color indexed="81"/>
            <rFont val="Tahoma"/>
            <family val="2"/>
          </rPr>
          <t xml:space="preserve">
</t>
        </r>
      </text>
    </comment>
    <comment ref="B22" authorId="0"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23" authorId="0" shapeId="0" xr:uid="{6CE45B72-2238-4D25-964F-9993A6884F9D}">
      <text>
        <r>
          <rPr>
            <sz val="9"/>
            <color indexed="81"/>
            <rFont val="Tahoma"/>
            <family val="2"/>
          </rPr>
          <t>Calculate Blended Rate and Cost across onshore planned resources.
Include any and all onshore resources expected to work on the project even if some resources time will not be directly billed to the client.</t>
        </r>
      </text>
    </comment>
    <comment ref="B24" authorId="0"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27" authorId="0" shapeId="0" xr:uid="{8B764EB5-7F2D-4685-A32E-4114944C238B}">
      <text>
        <r>
          <rPr>
            <sz val="9"/>
            <color indexed="81"/>
            <rFont val="Tahoma"/>
            <family val="2"/>
          </rPr>
          <t>Select the appropriate Deal Type from the drop down options.
Staffing / Staff Aug projects should select Time &amp; Materials (no cap)</t>
        </r>
      </text>
    </comment>
    <comment ref="B28" authorId="0"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1" authorId="0"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32" authorId="0" shapeId="0" xr:uid="{A39CF8EE-73AD-4370-AAB0-70BD89311A34}">
      <text>
        <r>
          <rPr>
            <b/>
            <sz val="9"/>
            <color indexed="81"/>
            <rFont val="Tahoma"/>
            <family val="2"/>
          </rPr>
          <t>TBD: Need to provide guidance on who to contact for GDC Consultations.</t>
        </r>
      </text>
    </comment>
    <comment ref="C33" authorId="0" shapeId="0" xr:uid="{6324914E-896D-4222-9FEE-11653EAED0E8}">
      <text>
        <r>
          <rPr>
            <b/>
            <sz val="9"/>
            <color indexed="81"/>
            <rFont val="Tahoma"/>
            <family val="2"/>
          </rPr>
          <t xml:space="preserve">GDC Hours = 
Estimated GDC Hours
</t>
        </r>
        <r>
          <rPr>
            <sz val="9"/>
            <color indexed="81"/>
            <rFont val="Tahoma"/>
            <family val="2"/>
          </rPr>
          <t xml:space="preserve">These fields are optional, but including estimated hours by practice can help depict the spread of effort across the practices, which can add context to understanding the GDC blend.  </t>
        </r>
      </text>
    </comment>
    <comment ref="D33" authorId="0" shapeId="0" xr:uid="{B8BFCD1A-623D-44F6-9D39-A086B6554C0F}">
      <text>
        <r>
          <rPr>
            <b/>
            <sz val="9"/>
            <color indexed="81"/>
            <rFont val="Tahoma"/>
            <family val="2"/>
          </rPr>
          <t>GDC % = 
Total Estimated GDC Hours / Total Estimated Hours</t>
        </r>
        <r>
          <rPr>
            <sz val="9"/>
            <color indexed="81"/>
            <rFont val="Tahoma"/>
            <family val="2"/>
          </rPr>
          <t xml:space="preserve">
</t>
        </r>
      </text>
    </comment>
    <comment ref="B34" authorId="0"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35" authorId="0" shapeId="0" xr:uid="{87423044-88E7-42D0-A69D-E3AADDEEEB81}">
      <text>
        <r>
          <rPr>
            <b/>
            <sz val="9"/>
            <color indexed="81"/>
            <rFont val="Tahoma"/>
            <family val="2"/>
          </rPr>
          <t xml:space="preserve">[Practice] GDC % = 
Total Estimated [Practice] GDC Hours / 
Total Estimated [Practice] Hours
</t>
        </r>
        <r>
          <rPr>
            <sz val="9"/>
            <color indexed="81"/>
            <rFont val="Tahoma"/>
            <family val="2"/>
          </rPr>
          <t xml:space="preserve">
If there are no planned roles from a practice (Estimated Practice Hours = 0), put N/A for this field.</t>
        </r>
      </text>
    </comment>
    <comment ref="B36" authorId="0" shapeId="0" xr:uid="{64A13CD5-CEBD-4A04-99CE-A7AB323388D5}">
      <text>
        <r>
          <rPr>
            <b/>
            <sz val="9"/>
            <color indexed="81"/>
            <rFont val="Tahoma"/>
            <family val="2"/>
          </rPr>
          <t xml:space="preserve">[Practice] GDC % = 
Total Estimated [Practice] GDC Hours / 
Total Estimated [Practice] Hours
</t>
        </r>
        <r>
          <rPr>
            <sz val="9"/>
            <color indexed="81"/>
            <rFont val="Tahoma"/>
            <family val="2"/>
          </rPr>
          <t>If there are no planned roles from a practice (Estimated Practice Hours = 0), put N/A for this field.</t>
        </r>
      </text>
    </comment>
    <comment ref="B37" authorId="0" shapeId="0" xr:uid="{0D9B2505-08D5-49B6-B1D5-FE0FEC0DC61D}">
      <text>
        <r>
          <rPr>
            <b/>
            <sz val="9"/>
            <color indexed="81"/>
            <rFont val="Tahoma"/>
            <family val="2"/>
          </rPr>
          <t xml:space="preserve">[Practice] GDC % = 
Total Estimated [Practice] GDC Hours / 
Total Estimated [Practice] Hours
</t>
        </r>
        <r>
          <rPr>
            <sz val="9"/>
            <color indexed="81"/>
            <rFont val="Tahoma"/>
            <family val="2"/>
          </rPr>
          <t xml:space="preserve">
If there are no planned roles from a practice (Estimated Practice Hours = 0), put N/A for this field.</t>
        </r>
      </text>
    </comment>
    <comment ref="B38" authorId="0" shapeId="0" xr:uid="{EF12CC76-3144-41F0-B8B3-D4C9DA16F1D3}">
      <text>
        <r>
          <rPr>
            <b/>
            <sz val="9"/>
            <color indexed="81"/>
            <rFont val="Tahoma"/>
            <family val="2"/>
          </rPr>
          <t xml:space="preserve">[Practice] GDC % = 
Total Estimated [Practice] GDC Hours / 
Total Estimated [Practice] Hours
</t>
        </r>
        <r>
          <rPr>
            <sz val="9"/>
            <color indexed="81"/>
            <rFont val="Tahoma"/>
            <family val="2"/>
          </rPr>
          <t xml:space="preserve">
If there are no planned roles from a practice (Estimated Practice Hours = 0), put N/A for this field.</t>
        </r>
      </text>
    </comment>
    <comment ref="B39" authorId="0" shapeId="0" xr:uid="{15EB16A0-0005-4364-8048-5ED73E9F0985}">
      <text>
        <r>
          <rPr>
            <b/>
            <sz val="9"/>
            <color indexed="81"/>
            <rFont val="Tahoma"/>
            <family val="2"/>
          </rPr>
          <t xml:space="preserve">[Practice] GDC % = 
Total Estimated [Practice] GDC Hours / 
Total Estimated [Practice] Hours
</t>
        </r>
        <r>
          <rPr>
            <sz val="9"/>
            <color indexed="81"/>
            <rFont val="Tahoma"/>
            <family val="2"/>
          </rPr>
          <t xml:space="preserve">
If there are no planned roles from a practice (Estimated Practice Hours = 0), put N/A for this field.</t>
        </r>
      </text>
    </comment>
    <comment ref="B40" authorId="0" shapeId="0" xr:uid="{92994F64-DFA7-426E-B636-B4AA45D39406}">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3" authorId="0" shapeId="0" xr:uid="{27BE00FE-45E9-4F01-A8F9-CEEE9FDDB386}">
      <text>
        <r>
          <rPr>
            <sz val="9"/>
            <color indexed="81"/>
            <rFont val="Tahoma"/>
            <family val="2"/>
          </rPr>
          <t>Select the appropriate answer from the drop down options.</t>
        </r>
      </text>
    </comment>
    <comment ref="B44" authorId="0" shapeId="0" xr:uid="{659CB303-6A8C-4D28-A200-19B570AB8320}">
      <text>
        <r>
          <rPr>
            <sz val="9"/>
            <color indexed="81"/>
            <rFont val="Tahoma"/>
            <family val="2"/>
          </rPr>
          <t>Select the appropriate answer from the drop down options.</t>
        </r>
      </text>
    </comment>
    <comment ref="B47" authorId="0" shapeId="0" xr:uid="{D9703DD4-27C7-4E09-B339-0301F688C198}">
      <text>
        <r>
          <rPr>
            <sz val="9"/>
            <color indexed="81"/>
            <rFont val="Tahoma"/>
            <family val="2"/>
          </rPr>
          <t>Select the appropriate answer from the drop down options.</t>
        </r>
      </text>
    </comment>
    <comment ref="B48" authorId="0" shapeId="0" xr:uid="{6A467FF3-DB4A-4ABE-91D9-3590CA1E74D3}">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49" authorId="0" shapeId="0" xr:uid="{12FCCEE5-196C-4DFD-93DE-3DAA8D3668E9}">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B50" authorId="0" shapeId="0" xr:uid="{E7314D63-3603-4790-8022-9B1A3ACC042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51" authorId="0" shapeId="0" xr:uid="{41827851-50A5-46FB-B50E-76A7D612C82E}">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Samantha Abel</author>
    <author>tc={31083D05-3E87-4DA5-939D-C7DABFC68AD8}</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L31" authorId="0" shapeId="0" xr:uid="{941B6E50-F671-444E-8903-38594E05BCAC}">
      <text>
        <r>
          <rPr>
            <b/>
            <sz val="10"/>
            <color rgb="FF000000"/>
            <rFont val="Tahoma"/>
            <family val="2"/>
          </rPr>
          <t>Samantha Abel:</t>
        </r>
        <r>
          <rPr>
            <sz val="10"/>
            <color rgb="FF000000"/>
            <rFont val="Tahoma"/>
            <family val="2"/>
          </rPr>
          <t xml:space="preserve">
</t>
        </r>
        <r>
          <rPr>
            <sz val="10"/>
            <color rgb="FF000000"/>
            <rFont val="Tahoma"/>
            <family val="2"/>
          </rPr>
          <t>Reminder! If you need to review multiple scope options to see the different durations for including tasks or not - please expand the columns above!</t>
        </r>
      </text>
    </comment>
    <comment ref="L35" authorId="1" shapeId="0" xr:uid="{31083D05-3E87-4DA5-939D-C7DABFC68AD8}">
      <text>
        <t xml:space="preserve">[Threaded comment]
Your version of Excel allows you to read this threaded comment; however, any edits to it will get removed if the file is opened in a newer version of Excel. Learn more: https://go.microsoft.com/fwlink/?linkid=870924
Comment:
    Why is this calculating 6 if I add External Dependencies?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AL15" authorId="2" shapeId="0" xr:uid="{BC4AC0FD-C229-4FFC-85CE-821CC4DEB3A3}">
      <text>
        <r>
          <rPr>
            <b/>
            <sz val="10"/>
            <color rgb="FF000000"/>
            <rFont val="Tahoma"/>
            <family val="2"/>
          </rPr>
          <t>DO NOT UPDATE</t>
        </r>
      </text>
    </comment>
    <comment ref="AM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AP15" authorId="0" shapeId="0" xr:uid="{EC8FCFCB-55A7-4CEF-B23C-ECEAB38542AB}">
      <text>
        <r>
          <rPr>
            <b/>
            <sz val="10"/>
            <color rgb="FF000000"/>
            <rFont val="Tahoma"/>
            <family val="2"/>
          </rPr>
          <t>Multiply by 1.2 for Fixed Bid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<sst xmlns="http://schemas.openxmlformats.org/spreadsheetml/2006/main" count="9097" uniqueCount="2485">
  <si>
    <t>Welcome to the Credera RPE Tool!</t>
  </si>
  <si>
    <t>LEGEND</t>
  </si>
  <si>
    <t>Optional</t>
  </si>
  <si>
    <t>1. OVERVIEW OF TOOL PURPOSE</t>
  </si>
  <si>
    <t>Required Cell - Will be imported into Projector</t>
  </si>
  <si>
    <t>Calculated Cell</t>
  </si>
  <si>
    <t>To list out line items to estimate and document assumptions</t>
  </si>
  <si>
    <t>Bold Italics</t>
  </si>
  <si>
    <t>Instructions</t>
  </si>
  <si>
    <t>To package estimated items into different scope options and quickly adjust based on feedback</t>
  </si>
  <si>
    <t>Manual Entry</t>
  </si>
  <si>
    <t>Enter applicable information</t>
  </si>
  <si>
    <t>To high-level plan out estimated hours across unnamed roles and role durations to consume estimates</t>
  </si>
  <si>
    <t>To model out detailed pricing options based on level and rate by role</t>
  </si>
  <si>
    <t xml:space="preserve">To evaluate multiple project financials when selling work such as margin, blended rate, etc. </t>
  </si>
  <si>
    <t>2. WHAT TO EXPECT</t>
  </si>
  <si>
    <t>5. PROJECTOR CHECK LIST</t>
  </si>
  <si>
    <t>y</t>
  </si>
  <si>
    <t>These instructions detail how to add RPE Roles/Schedule/Pricing to Projector and the items to check</t>
  </si>
  <si>
    <t>Tab Name</t>
  </si>
  <si>
    <t>Key Action</t>
  </si>
  <si>
    <t>1. Project Inputs</t>
  </si>
  <si>
    <t>Enter project-level information, define Scope buckets and different approach names, and determine complexity factors to find weighted estimated days while scoping - all info will be used on other tabs</t>
  </si>
  <si>
    <t>Confirm you entered the correct Project Code in cell C12 on the Project Inputs tab</t>
  </si>
  <si>
    <t>Optional - Scope Estimation</t>
  </si>
  <si>
    <t>Plan your work by bucket of work or phase required and estimate level of effort with tasks, select tasks for various scope options</t>
  </si>
  <si>
    <t>Confirm you have selected the correct rates and have reviewed the roles, duration, cost &amp; revenue</t>
  </si>
  <si>
    <t>Optional - Scope Options Review</t>
  </si>
  <si>
    <t>Evaluate your scope options based on selections from the Scope Estimation tab</t>
  </si>
  <si>
    <t xml:space="preserve"> </t>
  </si>
  <si>
    <t>2. Projector Pricing &amp; Import</t>
  </si>
  <si>
    <t>Plan your roles &amp; resources to estimate project pricing based on buckets of work from your Scope Estimation tab</t>
  </si>
  <si>
    <t>Review your margin and blended rates against our recommend margins</t>
  </si>
  <si>
    <t>3. Summary &amp; Totals</t>
  </si>
  <si>
    <t xml:space="preserve">Review the summary tab for resource and financial project totals </t>
  </si>
  <si>
    <t>Ensure you have accounted for additional buckets during estimation for PM hours etc. that cover over all buckets of work</t>
  </si>
  <si>
    <t>Optional - Pricing Scenario Eval</t>
  </si>
  <si>
    <t>Review the pricing totals for each pricing scenario based on inclusion of specific resources/roles within Projector Pricing &amp; Import tab</t>
  </si>
  <si>
    <t>If evaluating different pricing scenarios, ensure you have deleted ALL roles and resources who are NOT included in final team</t>
  </si>
  <si>
    <t>Note that your estimation does NOT account for holidays automatically, you can manually adjust this in the schedule on the Projector Pricing &amp; Import tab by resource in the schedule</t>
  </si>
  <si>
    <t>3. STEPS BY STEP GUIDE</t>
  </si>
  <si>
    <t>These instructions detail full tool use for both estimation and pricing, you can customize use based on your needs and can use this only for pricing or only for estimation if needed.</t>
  </si>
  <si>
    <t>Before using this tool, it is assumed that you have done some sort of requirements gathering and approach/solution design to be able to create an estimate</t>
  </si>
  <si>
    <r>
      <t xml:space="preserve">STEP 1
</t>
    </r>
    <r>
      <rPr>
        <i/>
        <sz val="14"/>
        <color theme="1"/>
        <rFont val="Lato Regular"/>
      </rPr>
      <t>Enter project info</t>
    </r>
  </si>
  <si>
    <r>
      <rPr>
        <sz val="14"/>
        <color rgb="FF000000"/>
        <rFont val="Lato"/>
        <family val="2"/>
      </rPr>
      <t xml:space="preserve">Start in the </t>
    </r>
    <r>
      <rPr>
        <b/>
        <sz val="14"/>
        <color rgb="FF156082"/>
        <rFont val="Lato"/>
        <family val="2"/>
      </rPr>
      <t xml:space="preserve">Projector Inputs </t>
    </r>
    <r>
      <rPr>
        <sz val="14"/>
        <color rgb="FF000000"/>
        <rFont val="Lato"/>
        <family val="2"/>
      </rPr>
      <t xml:space="preserve">tab by entering Project Information in the top left, if estimating scope continue down the page and follow instructions. If not estimating scope, skip to Step 4 &amp; </t>
    </r>
    <r>
      <rPr>
        <b/>
        <sz val="14"/>
        <color rgb="FF215C98"/>
        <rFont val="Lato"/>
        <family val="2"/>
      </rPr>
      <t xml:space="preserve">Projector Pricing &amp; Import
</t>
    </r>
    <r>
      <rPr>
        <i/>
        <sz val="12"/>
        <color rgb="FF000000"/>
        <rFont val="Lato"/>
        <family val="2"/>
      </rPr>
      <t xml:space="preserve">- Select the applicable project type in the project information table, this is very import to estimation
- Note: If you have a Consulting or Digital - MarTech Strategy project type, you will need to specify risk % and estimated bucket names, but for Digital - Staff Augmentation or Systems Implementation projects, risk % and estimated bucket names will be automated
</t>
    </r>
    <r>
      <rPr>
        <b/>
        <i/>
        <sz val="12"/>
        <color rgb="FF000000"/>
        <rFont val="Lato"/>
        <family val="2"/>
      </rPr>
      <t>- Estimated Buckets</t>
    </r>
    <r>
      <rPr>
        <i/>
        <sz val="12"/>
        <color rgb="FF000000"/>
        <rFont val="Lato"/>
        <family val="2"/>
      </rPr>
      <t xml:space="preserve"> are groupings that you want to detail out and estimate at the line-item level. Examples could be: Front-End Development, Mobile, Automation, User Interviews
</t>
    </r>
    <r>
      <rPr>
        <b/>
        <i/>
        <sz val="12"/>
        <color rgb="FF000000"/>
        <rFont val="Lato"/>
        <family val="2"/>
      </rPr>
      <t>- Additional Buckets</t>
    </r>
    <r>
      <rPr>
        <i/>
        <sz val="12"/>
        <color rgb="FF000000"/>
        <rFont val="Lato"/>
        <family val="2"/>
      </rPr>
      <t xml:space="preserve"> at the bottom of the tab are groupings that you do NOT want to line-item estimate but want to include as a percentage of the estimated items or a flat hours add (ex. 40 hrs on Onboarding)</t>
    </r>
  </si>
  <si>
    <r>
      <t xml:space="preserve">STEP 2
</t>
    </r>
    <r>
      <rPr>
        <i/>
        <sz val="14"/>
        <color theme="1"/>
        <rFont val="Lato"/>
        <family val="2"/>
      </rPr>
      <t>Estimate scope</t>
    </r>
  </si>
  <si>
    <r>
      <t xml:space="preserve">STEP 3
</t>
    </r>
    <r>
      <rPr>
        <i/>
        <sz val="14"/>
        <color theme="1"/>
        <rFont val="Lato"/>
        <family val="2"/>
      </rPr>
      <t>Analyze scope options &amp; durations</t>
    </r>
  </si>
  <si>
    <r>
      <rPr>
        <sz val="14"/>
        <color rgb="FF000000"/>
        <rFont val="Lato"/>
        <family val="2"/>
      </rPr>
      <t>Next, move to the</t>
    </r>
    <r>
      <rPr>
        <b/>
        <sz val="14"/>
        <color rgb="FF215C98"/>
        <rFont val="Lato"/>
        <family val="2"/>
      </rPr>
      <t xml:space="preserve"> Optional - Scope Options Review</t>
    </r>
    <r>
      <rPr>
        <sz val="14"/>
        <color rgb="FF000000"/>
        <rFont val="Lato"/>
        <family val="2"/>
      </rPr>
      <t xml:space="preserve"> if evaluating different scope options to see option durations by your "yes/no" selections on Scope Estimation 
</t>
    </r>
    <r>
      <rPr>
        <i/>
        <sz val="12"/>
        <color rgb="FF000000"/>
        <rFont val="Lato"/>
        <family val="2"/>
      </rPr>
      <t>- Evaluate estimates by option to determine best-fit solution for Projector Pricing &amp; Import and follow instructions to refresh pivot tables</t>
    </r>
  </si>
  <si>
    <r>
      <t xml:space="preserve">STEP 4
</t>
    </r>
    <r>
      <rPr>
        <i/>
        <sz val="14"/>
        <color theme="1"/>
        <rFont val="Lato"/>
        <family val="2"/>
      </rPr>
      <t>Plan roles and resources to receive project pricing</t>
    </r>
  </si>
  <si>
    <r>
      <t xml:space="preserve">STEP 5
</t>
    </r>
    <r>
      <rPr>
        <i/>
        <sz val="14"/>
        <color theme="1"/>
        <rFont val="Lato"/>
        <family val="2"/>
      </rPr>
      <t>Review different pricing scenarios to select best-fit team and price</t>
    </r>
  </si>
  <si>
    <r>
      <t xml:space="preserve">Review your financial and resource totals for each pricing scenario to determine which team makeup is the best fit for your project scope and client on the </t>
    </r>
    <r>
      <rPr>
        <b/>
        <sz val="14"/>
        <color rgb="FF215C98"/>
        <rFont val="Lato"/>
        <family val="2"/>
      </rPr>
      <t>Optional Pricing Scenarios Eval</t>
    </r>
    <r>
      <rPr>
        <sz val="14"/>
        <rFont val="Lato"/>
        <family val="2"/>
      </rPr>
      <t xml:space="preserve"> tab.
</t>
    </r>
    <r>
      <rPr>
        <i/>
        <sz val="12"/>
        <rFont val="Lato"/>
        <family val="2"/>
      </rPr>
      <t xml:space="preserve">- Start by reviewing financials and resource breakdowns
- Determine which scenario is best-fit
- Go back to </t>
    </r>
    <r>
      <rPr>
        <b/>
        <i/>
        <sz val="12"/>
        <color rgb="FF215C98"/>
        <rFont val="Lato"/>
        <family val="2"/>
      </rPr>
      <t xml:space="preserve">Projector Pricing &amp; Import </t>
    </r>
    <r>
      <rPr>
        <i/>
        <sz val="12"/>
        <color theme="1"/>
        <rFont val="Lato"/>
        <family val="2"/>
      </rPr>
      <t xml:space="preserve">tab </t>
    </r>
    <r>
      <rPr>
        <i/>
        <sz val="12"/>
        <rFont val="Lato"/>
        <family val="2"/>
      </rPr>
      <t xml:space="preserve">and remove all roles/resources NOT needed in final determined scenario, this ensures only the correct roles/schedules will be imported to Projector. Please ensure you only have 1 COLUMN filled in as "Yes" for the pricing options and need to delete the contents from additional options to make to finalize your pricing option selection and team. </t>
    </r>
  </si>
  <si>
    <r>
      <t xml:space="preserve">STEP 6
</t>
    </r>
    <r>
      <rPr>
        <i/>
        <sz val="14"/>
        <color theme="1"/>
        <rFont val="Lato"/>
        <family val="2"/>
      </rPr>
      <t>Review financials and totals</t>
    </r>
  </si>
  <si>
    <r>
      <t xml:space="preserve">Finish your Estimation by reviewing the </t>
    </r>
    <r>
      <rPr>
        <b/>
        <sz val="14"/>
        <color rgb="FF215C98"/>
        <rFont val="Lato"/>
        <family val="2"/>
      </rPr>
      <t>Summary &amp; Totals</t>
    </r>
    <r>
      <rPr>
        <sz val="14"/>
        <rFont val="Lato"/>
        <family val="2"/>
      </rPr>
      <t xml:space="preserve"> tab - you will find totals for both financials and resources and below optional additional information if needed (expenses, assumptions, etc.) to fill out for your project
</t>
    </r>
    <r>
      <rPr>
        <i/>
        <sz val="12"/>
        <rFont val="Lato"/>
        <family val="2"/>
      </rPr>
      <t xml:space="preserve">- Start at the top of the page for </t>
    </r>
    <r>
      <rPr>
        <b/>
        <i/>
        <sz val="12"/>
        <rFont val="Lato"/>
        <family val="2"/>
      </rPr>
      <t>all project totals</t>
    </r>
    <r>
      <rPr>
        <i/>
        <sz val="12"/>
        <rFont val="Lato"/>
        <family val="2"/>
      </rPr>
      <t xml:space="preserve">
- If you need to </t>
    </r>
    <r>
      <rPr>
        <b/>
        <i/>
        <sz val="12"/>
        <rFont val="Lato"/>
        <family val="2"/>
      </rPr>
      <t>add expenses, assumptions or evaluate different margins</t>
    </r>
    <r>
      <rPr>
        <i/>
        <sz val="12"/>
        <rFont val="Lato"/>
        <family val="2"/>
      </rPr>
      <t xml:space="preserve"> continue down the page for further evaluations
- Review the final </t>
    </r>
    <r>
      <rPr>
        <b/>
        <i/>
        <sz val="12"/>
        <rFont val="Lato"/>
        <family val="2"/>
      </rPr>
      <t xml:space="preserve">Projector Import checklist on the </t>
    </r>
    <r>
      <rPr>
        <b/>
        <i/>
        <sz val="12"/>
        <color rgb="FF215C98"/>
        <rFont val="Lato"/>
        <family val="2"/>
      </rPr>
      <t>How to Use Guide</t>
    </r>
    <r>
      <rPr>
        <b/>
        <i/>
        <sz val="12"/>
        <rFont val="Lato"/>
        <family val="2"/>
      </rPr>
      <t xml:space="preserve"> </t>
    </r>
    <r>
      <rPr>
        <i/>
        <sz val="12"/>
        <rFont val="Lato"/>
        <family val="2"/>
      </rPr>
      <t>and prepare the your project roles/schedule to add to Projector manually while the integration for upload is being completed!</t>
    </r>
    <r>
      <rPr>
        <b/>
        <i/>
        <sz val="12"/>
        <rFont val="Lato"/>
        <family val="2"/>
      </rPr>
      <t xml:space="preserve">
 </t>
    </r>
  </si>
  <si>
    <t>4. COMMON SCENARIOS FOR USING THE RPE &amp; PROCESS STEPS</t>
  </si>
  <si>
    <t>Use Case</t>
  </si>
  <si>
    <t>RPE Process</t>
  </si>
  <si>
    <t>"I am working on a pitch and need to provide pricing, I have good idea of duration already"</t>
  </si>
  <si>
    <r>
      <rPr>
        <b/>
        <sz val="12"/>
        <color rgb="FF000000"/>
        <rFont val="Lato"/>
        <family val="2"/>
      </rPr>
      <t xml:space="preserve">1. </t>
    </r>
    <r>
      <rPr>
        <b/>
        <sz val="12"/>
        <color rgb="FF215C98"/>
        <rFont val="Lato"/>
        <family val="2"/>
      </rPr>
      <t>Project Inputs</t>
    </r>
    <r>
      <rPr>
        <b/>
        <sz val="12"/>
        <color rgb="FF000000"/>
        <rFont val="Lato"/>
        <family val="2"/>
      </rPr>
      <t xml:space="preserve"> </t>
    </r>
    <r>
      <rPr>
        <sz val="12"/>
        <color rgb="FF000000"/>
        <rFont val="Lato"/>
        <family val="2"/>
      </rPr>
      <t xml:space="preserve">- Fill out project level information here in the top left corner
</t>
    </r>
    <r>
      <rPr>
        <b/>
        <sz val="12"/>
        <color rgb="FF000000"/>
        <rFont val="Lato"/>
        <family val="2"/>
      </rPr>
      <t xml:space="preserve">2. </t>
    </r>
    <r>
      <rPr>
        <b/>
        <sz val="12"/>
        <color rgb="FF215C98"/>
        <rFont val="Lato"/>
        <family val="2"/>
      </rPr>
      <t>Projector Pricing &amp; Import</t>
    </r>
    <r>
      <rPr>
        <sz val="12"/>
        <color rgb="FF000000"/>
        <rFont val="Lato"/>
        <family val="2"/>
      </rPr>
      <t xml:space="preserve"> - Start filling out roles in the table based on project needs and select a "yes" no "no" for each role to include or not in the relevant pricing scenario
</t>
    </r>
    <r>
      <rPr>
        <i/>
        <sz val="12"/>
        <color rgb="FF000000"/>
        <rFont val="Lato"/>
        <family val="2"/>
      </rPr>
      <t xml:space="preserve">- To fill out the schedule start with manual entry of hrs/wk by role, manually update the calendar to remove any unneeded weeks
- See your total project duration based on scheduled hrs/wk OR manually enter total project duration if known and the SAME duration for all resources on the project, then your schedule will be automatically reflected based on your inputted duration
</t>
    </r>
    <r>
      <rPr>
        <b/>
        <sz val="12"/>
        <color rgb="FF000000"/>
        <rFont val="Lato"/>
        <family val="2"/>
      </rPr>
      <t xml:space="preserve">3. </t>
    </r>
    <r>
      <rPr>
        <b/>
        <sz val="12"/>
        <color rgb="FF215C98"/>
        <rFont val="Lato"/>
        <family val="2"/>
      </rPr>
      <t>Optional - Pricing Scenarios Eval</t>
    </r>
    <r>
      <rPr>
        <b/>
        <sz val="12"/>
        <color rgb="FF000000"/>
        <rFont val="Lato"/>
        <family val="2"/>
      </rPr>
      <t xml:space="preserve"> - </t>
    </r>
    <r>
      <rPr>
        <sz val="12"/>
        <color rgb="FF000000"/>
        <rFont val="Lato"/>
        <family val="2"/>
      </rPr>
      <t xml:space="preserve">Evaluate each pricing scenario based on included resources and determine which scenario you are moving forward with
</t>
    </r>
    <r>
      <rPr>
        <b/>
        <sz val="12"/>
        <color rgb="FF000000"/>
        <rFont val="Lato"/>
        <family val="2"/>
      </rPr>
      <t xml:space="preserve">4. </t>
    </r>
    <r>
      <rPr>
        <b/>
        <sz val="12"/>
        <color rgb="FF215C98"/>
        <rFont val="Lato"/>
        <family val="2"/>
      </rPr>
      <t>Projector Import -</t>
    </r>
    <r>
      <rPr>
        <sz val="12"/>
        <color rgb="FF000000"/>
        <rFont val="Lato"/>
        <family val="2"/>
      </rPr>
      <t xml:space="preserve"> Once you determine final scenario remove all roles / hours associated with other scenarios
</t>
    </r>
    <r>
      <rPr>
        <b/>
        <sz val="12"/>
        <color rgb="FF000000"/>
        <rFont val="Lato"/>
        <family val="2"/>
      </rPr>
      <t xml:space="preserve">5. </t>
    </r>
    <r>
      <rPr>
        <b/>
        <sz val="12"/>
        <color rgb="FF215C98"/>
        <rFont val="Lato"/>
        <family val="2"/>
      </rPr>
      <t>Summary and Totals</t>
    </r>
    <r>
      <rPr>
        <sz val="12"/>
        <color rgb="FF215C98"/>
        <rFont val="Lato"/>
        <family val="2"/>
      </rPr>
      <t xml:space="preserve"> </t>
    </r>
    <r>
      <rPr>
        <sz val="12"/>
        <color rgb="FF000000"/>
        <rFont val="Lato"/>
        <family val="2"/>
      </rPr>
      <t>- Review detailed financial and resource totals of final pricing option</t>
    </r>
  </si>
  <si>
    <t>"I am estimating a Digital-  Development &amp; Implementation project or a Staff Augmentation Project"</t>
  </si>
  <si>
    <t>Coming Soon!</t>
  </si>
  <si>
    <t>"I need to evaluate different options for scope"</t>
  </si>
  <si>
    <t>"I need to both scope AND pricing, plus I want to see how much each bucket/phase/workstream will cost to upload roles to Projector"</t>
  </si>
  <si>
    <t>PROJECT INPUTS</t>
  </si>
  <si>
    <t>VERSION 1</t>
  </si>
  <si>
    <r>
      <t xml:space="preserve">1. Project Information </t>
    </r>
    <r>
      <rPr>
        <b/>
        <sz val="14"/>
        <color theme="1"/>
        <rFont val="Lato Regular"/>
      </rPr>
      <t>- REQUIRED for ALL Projects</t>
    </r>
  </si>
  <si>
    <r>
      <t>Manual Entry Inputs -</t>
    </r>
    <r>
      <rPr>
        <sz val="11"/>
        <color rgb="FF000000"/>
        <rFont val="Lato Regular"/>
      </rPr>
      <t xml:space="preserve"> ALL PROJECTS </t>
    </r>
  </si>
  <si>
    <r>
      <t xml:space="preserve">Manual Entry Inputs - </t>
    </r>
    <r>
      <rPr>
        <sz val="11"/>
        <color rgb="FF000000"/>
        <rFont val="Lato Regular"/>
      </rPr>
      <t xml:space="preserve">OPTIONAL / IF NEEDED </t>
    </r>
    <r>
      <rPr>
        <b/>
        <sz val="11"/>
        <color rgb="FF000000"/>
        <rFont val="Lato Regular"/>
      </rPr>
      <t>Digital Staff Augmentation and Systems Implementation</t>
    </r>
    <r>
      <rPr>
        <sz val="11"/>
        <color rgb="FF000000"/>
        <rFont val="Lato Regular"/>
      </rPr>
      <t xml:space="preserve"> PROJECTS ONLY</t>
    </r>
  </si>
  <si>
    <t>Office</t>
  </si>
  <si>
    <t>CMS</t>
  </si>
  <si>
    <t>Client:</t>
  </si>
  <si>
    <t>Select E-Commerce</t>
  </si>
  <si>
    <t>OMC Client &amp; OMC Agencies Involved?</t>
  </si>
  <si>
    <t>Select</t>
  </si>
  <si>
    <t>In Unit Testing Deliverable to Client</t>
  </si>
  <si>
    <t>Credera Entities Involved:</t>
  </si>
  <si>
    <t>Projector Project Code</t>
  </si>
  <si>
    <t>Project Name</t>
  </si>
  <si>
    <t>Project Type</t>
  </si>
  <si>
    <t>Rate / Margin Class</t>
  </si>
  <si>
    <r>
      <t xml:space="preserve">Client Rate Card </t>
    </r>
    <r>
      <rPr>
        <i/>
        <sz val="11"/>
        <color theme="1"/>
        <rFont val="Lato Regular"/>
      </rPr>
      <t>(only select if Custom Rates selected for Margin Class)</t>
    </r>
  </si>
  <si>
    <t>Start Date:</t>
  </si>
  <si>
    <t>Billing Type</t>
  </si>
  <si>
    <r>
      <t>Project Estimation Buckets -</t>
    </r>
    <r>
      <rPr>
        <sz val="14"/>
        <color theme="1"/>
        <rFont val="Lato Regular"/>
      </rPr>
      <t xml:space="preserve"> Consulting AND Digital - MarTech Consulting/Strategy Project Types ONLY</t>
    </r>
  </si>
  <si>
    <r>
      <t xml:space="preserve">Complexity and Difficulty Levels - </t>
    </r>
    <r>
      <rPr>
        <sz val="14"/>
        <color theme="1"/>
        <rFont val="Lato Regular"/>
      </rPr>
      <t>Consulting and Digital - MarTech Consulting/Strategy Project Types ONLY</t>
    </r>
  </si>
  <si>
    <t>Optional information if you are using tool for estimation purposes, note these updates will reflect in Work Estimation tab for weighted number of days by task</t>
  </si>
  <si>
    <t xml:space="preserve">Estimated Buckets (Ex: QA, UX) </t>
  </si>
  <si>
    <t>Additional Buckets</t>
  </si>
  <si>
    <t>Percent</t>
  </si>
  <si>
    <t>Generic Complexity Options</t>
  </si>
  <si>
    <r>
      <rPr>
        <b/>
        <sz val="10"/>
        <color theme="1"/>
        <rFont val="Lato Regular"/>
      </rPr>
      <t xml:space="preserve">Estimated Buckets: </t>
    </r>
    <r>
      <rPr>
        <sz val="10"/>
        <color theme="1"/>
        <rFont val="Lato Regular"/>
      </rPr>
      <t>work effort that you want to line-item estimate, like development tasks. Can be thought of as Role buckets but don't have to be
You don't have to use all 10 buckets</t>
    </r>
  </si>
  <si>
    <t>Additional Buckets: work effort that you want apply as a percentage of the estimated line items (like project management) or as flat hours (like 40 hrs/person of upfront onboarding)</t>
  </si>
  <si>
    <t>Manual Entry %</t>
  </si>
  <si>
    <t>Complexity / Difficult Level</t>
  </si>
  <si>
    <t>Credera Complexity Factors</t>
  </si>
  <si>
    <t>External Dependencies</t>
  </si>
  <si>
    <t>External Dependency Risk Fctors</t>
  </si>
  <si>
    <t>Recommended Risk Fctors</t>
  </si>
  <si>
    <t>Complex</t>
  </si>
  <si>
    <t>Many External Dependencies</t>
  </si>
  <si>
    <t>TBD</t>
  </si>
  <si>
    <t>Very Large</t>
  </si>
  <si>
    <t>Some External Dependencies</t>
  </si>
  <si>
    <t>Large</t>
  </si>
  <si>
    <t>Not Many External Dependencies</t>
  </si>
  <si>
    <t>Medium</t>
  </si>
  <si>
    <t>No External Dependencies</t>
  </si>
  <si>
    <t>Small</t>
  </si>
  <si>
    <t>Not Specifying Dependency Risk</t>
  </si>
  <si>
    <t>[Estimated Bucket 7]</t>
  </si>
  <si>
    <t>Very Small</t>
  </si>
  <si>
    <t>[Estimated Bucket 8]</t>
  </si>
  <si>
    <t>None</t>
  </si>
  <si>
    <t>[Estimated Bucket 9]</t>
  </si>
  <si>
    <t>[Estimated Bucket 10]</t>
  </si>
  <si>
    <t>[Estimated Bucket 11]</t>
  </si>
  <si>
    <t>[Estimated Bucket 12]</t>
  </si>
  <si>
    <t>[Estimated Bucket 13]</t>
  </si>
  <si>
    <t>[Estimated Bucket 14]</t>
  </si>
  <si>
    <t>[Estimated Bucket 15]</t>
  </si>
  <si>
    <t>[Estimated Bucket 16]</t>
  </si>
  <si>
    <t>[Estimated Bucket 17]</t>
  </si>
  <si>
    <t>[Estimated Bucket 18]</t>
  </si>
  <si>
    <t>[Estimated Bucket 19]</t>
  </si>
  <si>
    <t>[Estimated Bucket 20]</t>
  </si>
  <si>
    <r>
      <rPr>
        <b/>
        <sz val="14"/>
        <color rgb="FF215C98"/>
        <rFont val="Lato Regular"/>
      </rPr>
      <t>3. Scope Option Names</t>
    </r>
    <r>
      <rPr>
        <sz val="14"/>
        <color rgb="FF215C98"/>
        <rFont val="Lato Regular"/>
      </rPr>
      <t xml:space="preserve"> -</t>
    </r>
    <r>
      <rPr>
        <i/>
        <sz val="11"/>
        <color theme="1"/>
        <rFont val="Lato Regular"/>
      </rPr>
      <t xml:space="preserve"> If you are evaluating various scope options (i.e., do you include a specific workstream or bucket of work) then please provide a name for each option below</t>
    </r>
  </si>
  <si>
    <t>Option 1</t>
  </si>
  <si>
    <t>Manual Entry Option 1 Name</t>
  </si>
  <si>
    <t>Option 2</t>
  </si>
  <si>
    <t>Manual Entry Option 2 Name</t>
  </si>
  <si>
    <t>Option 3</t>
  </si>
  <si>
    <t>Manual Entry Option 3 Name</t>
  </si>
  <si>
    <t>Note: If evaluating scope options, remember to expand columns where noted on the Scope Estimation tab</t>
  </si>
  <si>
    <t>SCOPE ESTIMATION</t>
  </si>
  <si>
    <r>
      <t xml:space="preserve">1. Project Information - </t>
    </r>
    <r>
      <rPr>
        <i/>
        <sz val="12"/>
        <color theme="1"/>
        <rFont val="Lato Regular"/>
      </rPr>
      <t>These details come from the Project Inputs tab</t>
    </r>
  </si>
  <si>
    <t>Project Details</t>
  </si>
  <si>
    <t xml:space="preserve">Estimated Buckets </t>
  </si>
  <si>
    <t>Op1</t>
  </si>
  <si>
    <t>Op2</t>
  </si>
  <si>
    <t>Op3</t>
  </si>
  <si>
    <r>
      <rPr>
        <b/>
        <sz val="10"/>
        <color theme="1"/>
        <rFont val="Lato Regular"/>
      </rPr>
      <t xml:space="preserve">Estimated Buckets: </t>
    </r>
    <r>
      <rPr>
        <sz val="10"/>
        <color theme="1"/>
        <rFont val="Lato Regular"/>
      </rPr>
      <t>work effort that you want to line-item estimate, like development tasks. Can be thought of as Role buckets but don't have to be
You don't have to use all buckets</t>
    </r>
  </si>
  <si>
    <t>OMC Client?</t>
  </si>
  <si>
    <t>Entities Involved:</t>
  </si>
  <si>
    <t>Margin Class</t>
  </si>
  <si>
    <t>Project Duration (Weeks)</t>
  </si>
  <si>
    <r>
      <rPr>
        <b/>
        <sz val="14"/>
        <color rgb="FF215C98"/>
        <rFont val="Lato Regular"/>
      </rPr>
      <t xml:space="preserve">SCOPING AND ESTIMATION - </t>
    </r>
    <r>
      <rPr>
        <b/>
        <i/>
        <sz val="12"/>
        <color theme="1"/>
        <rFont val="Lato Regular"/>
      </rPr>
      <t>Estimate your project work by bucket,workstream,and  task with or without adding complexities to get to total days and include each line item in scope options if you need to review various scopes</t>
    </r>
  </si>
  <si>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</si>
  <si>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</si>
  <si>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</si>
  <si>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</si>
  <si>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</si>
  <si>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</si>
  <si>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</si>
  <si>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</si>
  <si>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</si>
  <si>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</si>
  <si>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</si>
  <si>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</si>
  <si>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</si>
  <si>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</si>
  <si>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</si>
  <si>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</si>
  <si>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</si>
  <si>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</si>
  <si>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</si>
  <si>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</si>
  <si>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</si>
  <si>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</si>
  <si>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</si>
  <si>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</si>
  <si>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</si>
  <si>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</si>
  <si>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</si>
  <si>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</si>
  <si>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COMPLEXITY INFORMATION &amp; TOTALS</t>
  </si>
  <si>
    <t>Efforts Summary Table</t>
  </si>
  <si>
    <t>Additional Buckets Total Days</t>
  </si>
  <si>
    <t>Weighted Person Days</t>
  </si>
  <si>
    <t>Total Effort Days</t>
  </si>
  <si>
    <t>Use this to quickly estimate a project based on component complexities rather than tasks for systens implementation projects</t>
  </si>
  <si>
    <t>SI Quick Total Estimation Calculator - Digital Projects ONLY</t>
  </si>
  <si>
    <t>Component</t>
  </si>
  <si>
    <t>Quantity</t>
  </si>
  <si>
    <t>Weighted Days</t>
  </si>
  <si>
    <t>Totals</t>
  </si>
  <si>
    <t>SUMMARY TABLES NEED TO BE MANUALLY REFRESHED. CLICK ANY TABLE IN SECTION 1 BELOW, CLICK THE PIVOT TABLE ANAYLYZE BUTTON IN THE TOP RIBBON, AND CLICK REFRESH ALL.</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</si>
  <si>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</si>
  <si>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</si>
  <si>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</si>
  <si>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</si>
  <si>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</si>
  <si>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</si>
  <si>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Option Start Date</t>
  </si>
  <si>
    <t># of Weeks</t>
  </si>
  <si>
    <t>1. Review Estimated Buckets, Activities &amp; Totals</t>
  </si>
  <si>
    <t>Work Buckets</t>
  </si>
  <si>
    <t>Option 1 Weighted Effort Days</t>
  </si>
  <si>
    <t>Row Labels</t>
  </si>
  <si>
    <t>(blank)</t>
  </si>
  <si>
    <t>Grand Total</t>
  </si>
  <si>
    <r>
      <t>2. Additional Buckets by Approch &amp; Totals -</t>
    </r>
    <r>
      <rPr>
        <b/>
        <sz val="12"/>
        <color rgb="FF215C98"/>
        <rFont val="Lato Regular"/>
      </rPr>
      <t xml:space="preserve"> </t>
    </r>
    <r>
      <rPr>
        <i/>
        <sz val="12"/>
        <color theme="1"/>
        <rFont val="Lato Regular"/>
      </rPr>
      <t>These are the same for all options and pull from Project Inputs Tab</t>
    </r>
  </si>
  <si>
    <t>Estimated Hours</t>
  </si>
  <si>
    <t>Percent-Based Totals</t>
  </si>
  <si>
    <t>Total Person Days</t>
  </si>
  <si>
    <t>Duration (wks)</t>
  </si>
  <si>
    <t>PROJECTOR PRICING &amp; IMPORT</t>
  </si>
  <si>
    <t>1. Project Information &amp; High-Level Totals</t>
  </si>
  <si>
    <t>Instructions/ Guidelines</t>
  </si>
  <si>
    <t>This information is copied from Projects inputs tab, no action</t>
  </si>
  <si>
    <t xml:space="preserve">Basic Financial Comparison for Pricing Option. Use columns in table below to select "Yes" or "No" to include a roll in a pricing option. </t>
  </si>
  <si>
    <t>Select Approach Option</t>
  </si>
  <si>
    <t>Phases/Buckets</t>
  </si>
  <si>
    <t>Total Days</t>
  </si>
  <si>
    <t>Total Hours</t>
  </si>
  <si>
    <t>Remaining Hours</t>
  </si>
  <si>
    <t>Pricing Option 1</t>
  </si>
  <si>
    <t>Pricing Option 2</t>
  </si>
  <si>
    <t>Pricing Option 3</t>
  </si>
  <si>
    <t>Estimated Cost</t>
  </si>
  <si>
    <t>Estimated Revenue</t>
  </si>
  <si>
    <t>Revenue</t>
  </si>
  <si>
    <t>Cost</t>
  </si>
  <si>
    <t>Blended Rate</t>
  </si>
  <si>
    <t>Margin</t>
  </si>
  <si>
    <t>Team Composition Comparison. Shows breakdown of % team makeup based on the below resource characteristics</t>
  </si>
  <si>
    <r>
      <t>Client Rate Card</t>
    </r>
    <r>
      <rPr>
        <sz val="11"/>
        <color theme="1"/>
        <rFont val="Lato Regular"/>
      </rPr>
      <t xml:space="preserve"> (only if Client Custom Rates selected)</t>
    </r>
  </si>
  <si>
    <t>L1</t>
  </si>
  <si>
    <t>L2</t>
  </si>
  <si>
    <t>L3</t>
  </si>
  <si>
    <t>L4</t>
  </si>
  <si>
    <t>L5</t>
  </si>
  <si>
    <t>High-Level Financial Totals, for full totals please see the Summary and Totals tab</t>
  </si>
  <si>
    <t>L6</t>
  </si>
  <si>
    <t>Basic Financial Totals (Populates onces Roles and Rates are added)</t>
  </si>
  <si>
    <t>L7</t>
  </si>
  <si>
    <t>Onshore</t>
  </si>
  <si>
    <t>Offshore</t>
  </si>
  <si>
    <t>Total # Resources</t>
  </si>
  <si>
    <t>2. Roles and Pricing Details</t>
  </si>
  <si>
    <t>Follow the instructions for each column and fill out roles for your team based on project needs</t>
  </si>
  <si>
    <t>NOTE: You need to update the full schedule to right to adjust for when roles should end, or manually override hrs to ramp up or ramp down resources.</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</si>
  <si>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</si>
  <si>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</si>
  <si>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</si>
  <si>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</si>
  <si>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</si>
  <si>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</si>
  <si>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</si>
  <si>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</si>
  <si>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</si>
  <si>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</si>
  <si>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</si>
  <si>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</si>
  <si>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</si>
  <si>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</si>
  <si>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</si>
  <si>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</si>
  <si>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</si>
  <si>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</si>
  <si>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</si>
  <si>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</si>
  <si>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</si>
  <si>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</si>
  <si>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</si>
  <si>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</si>
  <si>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</si>
  <si>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</si>
  <si>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</si>
  <si>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</si>
  <si>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</si>
  <si>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</si>
  <si>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</si>
  <si>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</si>
  <si>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</si>
  <si>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</si>
  <si>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</si>
  <si>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</si>
  <si>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</si>
  <si>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</si>
  <si>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</si>
  <si>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</si>
  <si>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</si>
  <si>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</si>
  <si>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</si>
  <si>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</si>
  <si>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</si>
  <si>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</si>
  <si>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</si>
  <si>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</si>
  <si>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</si>
  <si>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</si>
  <si>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</si>
  <si>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</si>
  <si>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Note: You cannot change these fields</t>
  </si>
  <si>
    <t>Organization (Required)</t>
  </si>
  <si>
    <t>Platforms</t>
  </si>
  <si>
    <t>Level</t>
  </si>
  <si>
    <t>On/Offshore (hidden)</t>
  </si>
  <si>
    <t>Location
(Optional)</t>
  </si>
  <si>
    <r>
      <t xml:space="preserve">Bucket / Phase
</t>
    </r>
    <r>
      <rPr>
        <b/>
        <sz val="10"/>
        <color theme="1"/>
        <rFont val="Lato Regular"/>
      </rPr>
      <t>(Optional if you want to assign resources phases of work)</t>
    </r>
  </si>
  <si>
    <t>Total Duration</t>
  </si>
  <si>
    <t>Total Hrs</t>
  </si>
  <si>
    <r>
      <t xml:space="preserve">Hrs/Wk Allocation 
</t>
    </r>
    <r>
      <rPr>
        <b/>
        <sz val="10"/>
        <color theme="1"/>
        <rFont val="Lato Regular"/>
      </rPr>
      <t>(Manual entry of total hrs/wk for each resource as starting point)</t>
    </r>
  </si>
  <si>
    <t xml:space="preserve">Revenue </t>
  </si>
  <si>
    <r>
      <t xml:space="preserve">STD. T&amp;M Rate </t>
    </r>
    <r>
      <rPr>
        <b/>
        <i/>
        <sz val="8"/>
        <color theme="1"/>
        <rFont val="Lato Regular"/>
      </rPr>
      <t>($/Hr)</t>
    </r>
  </si>
  <si>
    <t xml:space="preserve">Client Rate </t>
  </si>
  <si>
    <r>
      <t xml:space="preserve">Custom Override Rate </t>
    </r>
    <r>
      <rPr>
        <b/>
        <i/>
        <sz val="8"/>
        <rFont val="Lato Regular"/>
      </rPr>
      <t>($/Hr) - Put 0 if investment resource</t>
    </r>
  </si>
  <si>
    <t>Optional: Manual Entry Duration</t>
  </si>
  <si>
    <t>CrederaUS</t>
  </si>
  <si>
    <t>Cloud Migration Engineer</t>
  </si>
  <si>
    <t>Manual Entry hrs/wk</t>
  </si>
  <si>
    <t>Cumulative Effort</t>
  </si>
  <si>
    <t>T&amp;M Week Breakdown</t>
  </si>
  <si>
    <t>Per Week</t>
  </si>
  <si>
    <t>FF Week Breakdown</t>
  </si>
  <si>
    <t>PRICING SCENARIOS EVAL</t>
  </si>
  <si>
    <t>PRICING SCENARIO ANALYSIS IF APPLICABLE</t>
  </si>
  <si>
    <t>If you used Projector Pricing &amp; Import tab and selected specific options as "yes" or "no" for different resources to evaluate pricing differences based on number, role, and level of resources - you can review the totals by option below</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</si>
  <si>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</si>
  <si>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</si>
  <si>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</si>
  <si>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</si>
  <si>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</si>
  <si>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</si>
  <si>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</si>
  <si>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</si>
  <si>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</si>
  <si>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</si>
  <si>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</si>
  <si>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</si>
  <si>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</si>
  <si>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 xml:space="preserve"> Manual Entry </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</si>
  <si>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</si>
  <si>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</si>
  <si>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</si>
  <si>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</si>
  <si>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</si>
  <si>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</si>
  <si>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</si>
  <si>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</si>
  <si>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</si>
  <si>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</si>
  <si>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</si>
  <si>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</si>
  <si>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</si>
  <si>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</si>
  <si>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</si>
  <si>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</si>
  <si>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PROJECT &amp; ESTIMATE SUMMARY</t>
  </si>
  <si>
    <t xml:space="preserve"> 1 - Financial Totals &amp; Key Project Metrics</t>
  </si>
  <si>
    <t xml:space="preserve">You do not need to fill anything out on the top half of this sheet, this is for your review but please fill out any information as applicable on the bottom half </t>
  </si>
  <si>
    <t>PROJECT INFORMATION</t>
  </si>
  <si>
    <t>Rev &amp; Cost Totals</t>
  </si>
  <si>
    <t>BASIC SUMMARY</t>
  </si>
  <si>
    <t>Estimated Buckets</t>
  </si>
  <si>
    <t>Total Estimated Days</t>
  </si>
  <si>
    <t>Project- Level Assumptions</t>
  </si>
  <si>
    <t>Billable?</t>
  </si>
  <si>
    <t>Total Resource Cost</t>
  </si>
  <si>
    <t>Select Answer</t>
  </si>
  <si>
    <t>Travel</t>
  </si>
  <si>
    <t>Training</t>
  </si>
  <si>
    <t xml:space="preserve">Tools &amp; Licenses </t>
  </si>
  <si>
    <t>Other Expenses</t>
  </si>
  <si>
    <t>Accelerators / Investments</t>
  </si>
  <si>
    <t>TotalCost / Expenses</t>
  </si>
  <si>
    <t>Targets &amp; Deltas</t>
  </si>
  <si>
    <r>
      <t xml:space="preserve">Custom Margin 
</t>
    </r>
    <r>
      <rPr>
        <i/>
        <sz val="9"/>
        <color rgb="FF000000"/>
        <rFont val="Lato Regular"/>
      </rPr>
      <t>(override calculated margin)</t>
    </r>
  </si>
  <si>
    <t>Margin Delta</t>
  </si>
  <si>
    <t>T&amp;M</t>
  </si>
  <si>
    <t>Optional Bidding Guide &amp; Margins</t>
  </si>
  <si>
    <t>Project Revenue</t>
  </si>
  <si>
    <t>Bid</t>
  </si>
  <si>
    <t>Resource Rate</t>
  </si>
  <si>
    <t>RESOURCE TOTALS FOR REVIEW</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</si>
  <si>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</si>
  <si>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</si>
  <si>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</si>
  <si>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</si>
  <si>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</si>
  <si>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</si>
  <si>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</si>
  <si>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</si>
  <si>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</si>
  <si>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</si>
  <si>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</si>
  <si>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</si>
  <si>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</si>
  <si>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</si>
  <si>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</si>
  <si>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</si>
  <si>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</si>
  <si>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</si>
  <si>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</si>
  <si>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</si>
  <si>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</si>
  <si>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</si>
  <si>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</si>
  <si>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</si>
  <si>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</si>
  <si>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</si>
  <si>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</si>
  <si>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</si>
  <si>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</si>
  <si>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</si>
  <si>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</si>
  <si>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</si>
  <si>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</si>
  <si>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</si>
  <si>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India (Hyderabad)</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</si>
  <si>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</si>
  <si>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</si>
  <si>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</si>
  <si>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</si>
  <si>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</si>
  <si>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</si>
  <si>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</si>
  <si>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</si>
  <si>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</si>
  <si>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</si>
  <si>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</si>
  <si>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</si>
  <si>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</si>
  <si>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</si>
  <si>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</si>
  <si>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</si>
  <si>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</si>
  <si>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</si>
  <si>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</si>
  <si>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</si>
  <si>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</si>
  <si>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</si>
  <si>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</si>
  <si>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</si>
  <si>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</si>
  <si>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</si>
  <si>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</si>
  <si>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</si>
  <si>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</si>
  <si>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</si>
  <si>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</si>
  <si>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</si>
  <si>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</si>
  <si>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</si>
  <si>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</si>
  <si>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Bangalore</t>
  </si>
  <si>
    <t>Dallas</t>
  </si>
  <si>
    <t>MarTech (GDC)</t>
  </si>
  <si>
    <t>.NET</t>
  </si>
  <si>
    <t>Digital - Strategy/UX</t>
  </si>
  <si>
    <t>Other</t>
  </si>
  <si>
    <t>Yes - Critical Mass</t>
  </si>
  <si>
    <t>Services/Integrations</t>
  </si>
  <si>
    <t>Cloud Native App Engineer</t>
  </si>
  <si>
    <t>Chennai</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</si>
  <si>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</si>
  <si>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</si>
  <si>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</si>
  <si>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</si>
  <si>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</si>
  <si>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</si>
  <si>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</si>
  <si>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</si>
  <si>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</si>
  <si>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</si>
  <si>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</si>
  <si>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</si>
  <si>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</si>
  <si>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</si>
  <si>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</si>
  <si>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</si>
  <si>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</si>
  <si>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</si>
  <si>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</si>
  <si>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</si>
  <si>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</si>
  <si>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</si>
  <si>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</si>
  <si>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</si>
  <si>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</si>
  <si>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</si>
  <si>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</si>
  <si>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</si>
  <si>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</si>
  <si>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</si>
  <si>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No Office Selected</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</si>
  <si>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</si>
  <si>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</si>
  <si>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</si>
  <si>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</si>
  <si>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</si>
  <si>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</si>
  <si>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</si>
  <si>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</si>
  <si>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</si>
  <si>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</si>
  <si>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</si>
  <si>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</si>
  <si>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</si>
  <si>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</si>
  <si>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</si>
  <si>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</si>
  <si>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</si>
  <si>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</si>
  <si>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</si>
  <si>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</si>
  <si>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</si>
  <si>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</si>
  <si>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</si>
  <si>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</si>
  <si>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</si>
  <si>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</si>
  <si>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</si>
  <si>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</si>
  <si>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</si>
  <si>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</si>
  <si>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</si>
  <si>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</si>
  <si>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</si>
  <si>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</si>
  <si>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</si>
  <si>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</si>
  <si>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</si>
  <si>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</si>
  <si>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</si>
  <si>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</si>
  <si>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</si>
  <si>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</si>
  <si>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</si>
  <si>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</si>
  <si>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</si>
  <si>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</si>
  <si>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</si>
  <si>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</si>
  <si>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</si>
  <si>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</si>
  <si>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</si>
  <si>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</si>
  <si>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</si>
  <si>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</si>
  <si>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</si>
  <si>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</si>
  <si>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</si>
  <si>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</si>
  <si>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</si>
  <si>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</si>
  <si>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</si>
  <si>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</si>
  <si>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</si>
  <si>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</si>
  <si>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</si>
  <si>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</si>
  <si>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</si>
  <si>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</si>
  <si>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</si>
  <si>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</si>
  <si>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</si>
  <si>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</si>
  <si>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</si>
  <si>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</si>
  <si>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</si>
  <si>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</si>
  <si>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</si>
  <si>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</si>
  <si>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</si>
  <si>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</si>
  <si>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</si>
  <si>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</si>
  <si>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</si>
  <si>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</si>
  <si>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</si>
  <si>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</si>
  <si>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</si>
  <si>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</si>
  <si>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</si>
  <si>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</si>
  <si>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</si>
  <si>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</si>
  <si>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</si>
  <si>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</si>
  <si>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</si>
  <si>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</si>
  <si>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</si>
  <si>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</si>
  <si>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</si>
  <si>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</si>
  <si>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</si>
  <si>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</si>
  <si>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</si>
  <si>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</si>
  <si>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</si>
  <si>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</si>
  <si>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</si>
  <si>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</si>
  <si>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</si>
  <si>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</si>
  <si>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</si>
  <si>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</si>
  <si>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</si>
  <si>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</si>
  <si>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</si>
  <si>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</si>
  <si>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</si>
  <si>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</si>
  <si>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</si>
  <si>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</si>
  <si>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</si>
  <si>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</si>
  <si>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</si>
  <si>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</si>
  <si>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</si>
  <si>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</si>
  <si>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</si>
  <si>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</si>
  <si>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</si>
  <si>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</si>
  <si>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</si>
  <si>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</si>
  <si>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</si>
  <si>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</si>
  <si>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</si>
  <si>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</si>
  <si>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</si>
  <si>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</si>
  <si>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</si>
  <si>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</si>
  <si>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</si>
  <si>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</si>
  <si>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</si>
  <si>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</si>
  <si>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</si>
  <si>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</si>
  <si>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</si>
  <si>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</si>
  <si>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</si>
  <si>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</si>
  <si>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</si>
  <si>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</si>
  <si>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</si>
  <si>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</si>
  <si>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</si>
  <si>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</si>
  <si>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</si>
  <si>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</si>
  <si>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</si>
  <si>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</si>
  <si>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</si>
  <si>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</si>
  <si>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</si>
  <si>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</si>
  <si>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</si>
  <si>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</si>
  <si>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</si>
  <si>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</si>
  <si>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</si>
  <si>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</si>
  <si>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</si>
  <si>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</si>
  <si>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</si>
  <si>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</si>
  <si>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</si>
  <si>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</si>
  <si>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</si>
  <si>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</si>
  <si>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</si>
  <si>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</si>
  <si>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</si>
  <si>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</si>
  <si>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</si>
  <si>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</si>
  <si>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</si>
  <si>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</si>
  <si>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</si>
  <si>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</si>
  <si>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</si>
  <si>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</si>
  <si>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</si>
  <si>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</si>
  <si>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</si>
  <si>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</si>
  <si>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</si>
  <si>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</si>
  <si>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</si>
  <si>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</si>
  <si>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</si>
  <si>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</si>
  <si>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</si>
  <si>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</si>
  <si>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</si>
  <si>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</si>
  <si>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</si>
  <si>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</si>
  <si>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</si>
  <si>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</si>
  <si>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</si>
  <si>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</si>
  <si>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</si>
  <si>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</si>
  <si>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</si>
  <si>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</si>
  <si>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</si>
  <si>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</si>
  <si>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</si>
  <si>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</si>
  <si>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</si>
  <si>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</si>
  <si>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</si>
  <si>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</si>
  <si>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</si>
  <si>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</si>
  <si>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</si>
  <si>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</si>
  <si>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</si>
  <si>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</si>
  <si>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</si>
  <si>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</si>
  <si>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</si>
  <si>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</si>
  <si>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</si>
  <si>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</si>
  <si>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</si>
  <si>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</si>
  <si>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</si>
  <si>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</si>
  <si>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</si>
  <si>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</si>
  <si>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</si>
  <si>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</si>
  <si>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</si>
  <si>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</si>
  <si>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</si>
  <si>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</si>
  <si>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</si>
  <si>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</si>
  <si>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</si>
  <si>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</si>
  <si>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</si>
  <si>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</si>
  <si>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</si>
  <si>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</si>
  <si>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</si>
  <si>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</si>
  <si>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</si>
  <si>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</si>
  <si>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</si>
  <si>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</si>
  <si>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</si>
  <si>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</si>
  <si>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</si>
  <si>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</si>
  <si>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</si>
  <si>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</si>
  <si>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</si>
  <si>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</si>
  <si>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</si>
  <si>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</si>
  <si>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</si>
  <si>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</si>
  <si>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</si>
  <si>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</si>
  <si>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</si>
  <si>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</si>
  <si>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</si>
  <si>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</si>
  <si>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</si>
  <si>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</si>
  <si>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</si>
  <si>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</si>
  <si>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</si>
  <si>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</si>
  <si>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</si>
  <si>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</si>
  <si>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</si>
  <si>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</si>
  <si>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</si>
  <si>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</si>
  <si>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</si>
  <si>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</si>
  <si>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</si>
  <si>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</si>
  <si>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</si>
  <si>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</si>
  <si>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</si>
  <si>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</si>
  <si>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</si>
  <si>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</si>
  <si>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</si>
  <si>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</si>
  <si>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</si>
  <si>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</si>
  <si>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</si>
  <si>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</si>
  <si>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</si>
  <si>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</si>
  <si>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</si>
  <si>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</si>
  <si>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</si>
  <si>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</si>
  <si>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</si>
  <si>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</si>
  <si>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</si>
  <si>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</si>
  <si>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</si>
  <si>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</si>
  <si>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</si>
  <si>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</si>
  <si>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</si>
  <si>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</si>
  <si>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</si>
  <si>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</si>
  <si>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</si>
  <si>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</si>
  <si>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</si>
  <si>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</si>
  <si>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</si>
  <si>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</si>
  <si>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</si>
  <si>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</si>
  <si>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</si>
  <si>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</si>
  <si>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</si>
  <si>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</si>
  <si>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</si>
  <si>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</si>
  <si>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</si>
  <si>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</si>
  <si>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</si>
  <si>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</si>
  <si>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</si>
  <si>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</si>
  <si>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</si>
  <si>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</si>
  <si>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</si>
  <si>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</si>
  <si>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</si>
  <si>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</si>
  <si>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</si>
  <si>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</si>
  <si>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</si>
  <si>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</si>
  <si>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</si>
  <si>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</si>
  <si>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</si>
  <si>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</si>
  <si>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</si>
  <si>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</si>
  <si>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</si>
  <si>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</si>
  <si>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</si>
  <si>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</si>
  <si>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</si>
  <si>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</si>
  <si>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</si>
  <si>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</si>
  <si>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</si>
  <si>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</si>
  <si>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</si>
  <si>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</si>
  <si>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</si>
  <si>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</si>
  <si>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</si>
  <si>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</si>
  <si>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</si>
  <si>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</si>
  <si>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</si>
  <si>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</si>
  <si>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</si>
  <si>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</si>
  <si>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</si>
  <si>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</si>
  <si>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</si>
  <si>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</si>
  <si>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</si>
  <si>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</si>
  <si>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</si>
  <si>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</si>
  <si>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</si>
  <si>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</si>
  <si>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</si>
  <si>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</si>
  <si>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</si>
  <si>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</si>
  <si>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</si>
  <si>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</si>
  <si>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</si>
  <si>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</si>
  <si>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</si>
  <si>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</si>
  <si>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</si>
  <si>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</si>
  <si>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</si>
  <si>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</si>
  <si>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</si>
  <si>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</si>
  <si>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</si>
  <si>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</si>
  <si>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</si>
  <si>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</si>
  <si>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</si>
  <si>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</si>
  <si>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</si>
  <si>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</si>
  <si>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</si>
  <si>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</si>
  <si>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</si>
  <si>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</si>
  <si>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</si>
  <si>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</si>
  <si>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</si>
  <si>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</si>
  <si>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</si>
  <si>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</si>
  <si>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</si>
  <si>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</si>
  <si>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</si>
  <si>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</si>
  <si>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</si>
  <si>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</si>
  <si>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</si>
  <si>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</si>
  <si>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</si>
  <si>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</si>
  <si>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</si>
  <si>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</si>
  <si>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</si>
  <si>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</si>
  <si>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</si>
  <si>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</si>
  <si>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</si>
  <si>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</si>
  <si>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</si>
  <si>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</si>
  <si>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</si>
  <si>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</si>
  <si>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</si>
  <si>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</si>
  <si>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</si>
  <si>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</si>
  <si>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</si>
  <si>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</si>
  <si>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</si>
  <si>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</si>
  <si>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</si>
  <si>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</si>
  <si>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</si>
  <si>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</si>
  <si>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</si>
  <si>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</si>
  <si>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</si>
  <si>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</si>
  <si>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</si>
  <si>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</si>
  <si>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</si>
  <si>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</si>
  <si>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</si>
  <si>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</si>
  <si>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</si>
  <si>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</si>
  <si>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</si>
  <si>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</si>
  <si>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</si>
  <si>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</si>
  <si>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</si>
  <si>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</si>
  <si>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</si>
  <si>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</si>
  <si>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</si>
  <si>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</si>
  <si>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</si>
  <si>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</si>
  <si>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</si>
  <si>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</si>
  <si>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</si>
  <si>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</si>
  <si>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</si>
  <si>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</si>
  <si>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</si>
  <si>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</si>
  <si>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</si>
  <si>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</si>
  <si>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</si>
  <si>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</si>
  <si>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</si>
  <si>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</si>
  <si>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</si>
  <si>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</si>
  <si>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</si>
  <si>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</si>
  <si>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</si>
  <si>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</si>
  <si>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</si>
  <si>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</si>
  <si>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</si>
  <si>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</si>
  <si>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</si>
  <si>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</si>
  <si>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</si>
  <si>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</si>
  <si>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</si>
  <si>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</si>
  <si>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</si>
  <si>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</si>
  <si>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</si>
  <si>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</si>
  <si>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</si>
  <si>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</si>
  <si>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</si>
  <si>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</si>
  <si>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</si>
  <si>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</si>
  <si>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</si>
  <si>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</si>
  <si>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</si>
  <si>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</si>
  <si>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</si>
  <si>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</si>
  <si>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</si>
  <si>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</si>
  <si>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</si>
  <si>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</si>
  <si>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</si>
  <si>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</si>
  <si>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</si>
  <si>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</si>
  <si>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</si>
  <si>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</si>
  <si>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</si>
  <si>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</si>
  <si>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</si>
  <si>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</si>
  <si>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</si>
  <si>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</si>
  <si>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</si>
  <si>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</si>
  <si>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</si>
  <si>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</si>
  <si>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</si>
  <si>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</si>
  <si>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</si>
  <si>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</si>
  <si>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</si>
  <si>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</si>
  <si>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</si>
  <si>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</si>
  <si>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</si>
  <si>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</si>
  <si>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</si>
  <si>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</si>
  <si>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</si>
  <si>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</si>
  <si>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</si>
  <si>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</si>
  <si>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</si>
  <si>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</si>
  <si>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</si>
  <si>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</si>
  <si>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</si>
  <si>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</si>
  <si>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</si>
  <si>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</si>
  <si>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</si>
  <si>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</si>
  <si>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</si>
  <si>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</si>
  <si>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</si>
  <si>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</si>
  <si>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</si>
  <si>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</si>
  <si>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</si>
  <si>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</si>
  <si>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</si>
  <si>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</si>
  <si>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</si>
  <si>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</si>
  <si>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</si>
  <si>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</si>
  <si>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</si>
  <si>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</si>
  <si>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</si>
  <si>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</si>
  <si>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</si>
  <si>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</si>
  <si>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</si>
  <si>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</si>
  <si>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</si>
  <si>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</si>
  <si>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</si>
  <si>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</si>
  <si>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</si>
  <si>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</si>
  <si>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</si>
  <si>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</si>
  <si>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</si>
  <si>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</si>
  <si>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</si>
  <si>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</si>
  <si>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</si>
  <si>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</si>
  <si>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</si>
  <si>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</si>
  <si>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</si>
  <si>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</si>
  <si>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</si>
  <si>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</si>
  <si>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</si>
  <si>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</si>
  <si>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</si>
  <si>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</si>
  <si>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</si>
  <si>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</si>
  <si>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</si>
  <si>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</si>
  <si>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</si>
  <si>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</si>
  <si>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</si>
  <si>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</si>
  <si>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</si>
  <si>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</si>
  <si>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</si>
  <si>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</si>
  <si>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</si>
  <si>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</si>
  <si>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</si>
  <si>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</si>
  <si>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</si>
  <si>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</si>
  <si>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</si>
  <si>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</si>
  <si>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</si>
  <si>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</si>
  <si>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</si>
  <si>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</si>
  <si>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</si>
  <si>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</si>
  <si>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</si>
  <si>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</si>
  <si>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</si>
  <si>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</si>
  <si>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</si>
  <si>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</si>
  <si>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</si>
  <si>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</si>
  <si>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</si>
  <si>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</si>
  <si>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</si>
  <si>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</si>
  <si>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</si>
  <si>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</si>
  <si>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</si>
  <si>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</si>
  <si>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</si>
  <si>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</si>
  <si>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</si>
  <si>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</si>
  <si>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</si>
  <si>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</si>
  <si>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</si>
  <si>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</si>
  <si>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</si>
  <si>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</si>
  <si>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</si>
  <si>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</si>
  <si>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</si>
  <si>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</si>
  <si>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</si>
  <si>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</si>
  <si>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</si>
  <si>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</si>
  <si>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</si>
  <si>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</si>
  <si>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</si>
  <si>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</si>
  <si>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</si>
  <si>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</si>
  <si>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</si>
  <si>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</si>
  <si>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</si>
  <si>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</si>
  <si>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</si>
  <si>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</si>
  <si>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</si>
  <si>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</si>
  <si>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</si>
  <si>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</si>
  <si>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</si>
  <si>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</si>
  <si>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</si>
  <si>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</si>
  <si>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</si>
  <si>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</si>
  <si>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</si>
  <si>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</si>
  <si>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</si>
  <si>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</si>
  <si>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</si>
  <si>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</si>
  <si>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</si>
  <si>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</si>
  <si>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</si>
  <si>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</si>
  <si>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</si>
  <si>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</si>
  <si>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</si>
  <si>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</si>
  <si>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</si>
  <si>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</si>
  <si>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</si>
  <si>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</si>
  <si>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</si>
  <si>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</si>
  <si>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</si>
  <si>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</si>
  <si>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</si>
  <si>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</si>
  <si>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</si>
  <si>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</si>
  <si>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</si>
  <si>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</si>
  <si>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</si>
  <si>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</si>
  <si>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</si>
  <si>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</si>
  <si>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</si>
  <si>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</si>
  <si>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</si>
  <si>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</si>
  <si>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</si>
  <si>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</si>
  <si>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</si>
  <si>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</si>
  <si>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</si>
  <si>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</si>
  <si>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</si>
  <si>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</si>
  <si>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</si>
  <si>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</si>
  <si>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</si>
  <si>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</si>
  <si>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</si>
  <si>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</si>
  <si>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</si>
  <si>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</si>
  <si>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</si>
  <si>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</si>
  <si>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</si>
  <si>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</si>
  <si>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</si>
  <si>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</si>
  <si>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</si>
  <si>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</si>
  <si>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</si>
  <si>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</si>
  <si>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</si>
  <si>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</si>
  <si>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</si>
  <si>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</si>
  <si>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</si>
  <si>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</si>
  <si>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</si>
  <si>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</si>
  <si>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</si>
  <si>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</si>
  <si>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</si>
  <si>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</si>
  <si>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</si>
  <si>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</si>
  <si>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</si>
  <si>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</si>
  <si>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</si>
  <si>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</si>
  <si>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</si>
  <si>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</si>
  <si>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</si>
  <si>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</si>
  <si>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</si>
  <si>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</si>
  <si>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</si>
  <si>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</si>
  <si>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</si>
  <si>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</si>
  <si>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</si>
  <si>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</si>
  <si>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</si>
  <si>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</si>
  <si>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</si>
  <si>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</si>
  <si>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</si>
  <si>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</si>
  <si>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</si>
  <si>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</si>
  <si>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</si>
  <si>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</si>
  <si>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</si>
  <si>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</si>
  <si>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</si>
  <si>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</si>
  <si>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</si>
  <si>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</si>
  <si>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</si>
  <si>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</si>
  <si>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</si>
  <si>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</si>
  <si>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</si>
  <si>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</si>
  <si>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</si>
  <si>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</si>
  <si>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</si>
  <si>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</si>
  <si>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</si>
  <si>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</si>
  <si>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</si>
  <si>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</si>
  <si>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</si>
  <si>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</si>
  <si>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</si>
  <si>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</si>
  <si>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</si>
  <si>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</si>
  <si>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</si>
  <si>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</si>
  <si>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</si>
  <si>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</si>
  <si>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</si>
  <si>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</si>
  <si>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</si>
  <si>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</si>
  <si>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</si>
  <si>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</si>
  <si>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</si>
  <si>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</si>
  <si>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</si>
  <si>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</si>
  <si>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</si>
  <si>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</si>
  <si>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</si>
  <si>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</si>
  <si>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</si>
  <si>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</si>
  <si>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</si>
  <si>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</si>
  <si>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</si>
  <si>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</si>
  <si>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</si>
  <si>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</si>
  <si>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</si>
  <si>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</si>
  <si>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</si>
  <si>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</si>
  <si>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</si>
  <si>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</si>
  <si>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</si>
  <si>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</si>
  <si>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</si>
  <si>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</si>
  <si>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</si>
  <si>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</si>
  <si>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</si>
  <si>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</si>
  <si>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</si>
  <si>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</si>
  <si>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</si>
  <si>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</si>
  <si>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</si>
  <si>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</si>
  <si>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</si>
  <si>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</si>
  <si>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</si>
  <si>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</si>
  <si>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</si>
  <si>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</si>
  <si>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</si>
  <si>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</si>
  <si>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</si>
  <si>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</si>
  <si>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</si>
  <si>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</si>
  <si>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</si>
  <si>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</si>
  <si>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</si>
  <si>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</si>
  <si>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</si>
  <si>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</si>
  <si>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</si>
  <si>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</si>
  <si>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</si>
  <si>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</si>
  <si>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</si>
  <si>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</si>
  <si>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</si>
  <si>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</si>
  <si>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</si>
  <si>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</si>
  <si>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</si>
  <si>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</si>
  <si>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</si>
  <si>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</si>
  <si>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</si>
  <si>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</si>
  <si>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</si>
  <si>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</si>
  <si>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</si>
  <si>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</si>
  <si>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</si>
  <si>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</si>
  <si>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</si>
  <si>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</si>
  <si>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</si>
  <si>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</si>
  <si>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</si>
  <si>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</si>
  <si>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</si>
  <si>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</si>
  <si>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</si>
  <si>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</si>
  <si>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</si>
  <si>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</si>
  <si>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</si>
  <si>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</si>
  <si>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</si>
  <si>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</si>
  <si>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</si>
  <si>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</si>
  <si>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</si>
  <si>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</si>
  <si>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</si>
  <si>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</si>
  <si>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</si>
  <si>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</si>
  <si>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</si>
  <si>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</si>
  <si>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</si>
  <si>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</si>
  <si>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</si>
  <si>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</si>
  <si>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</si>
  <si>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</si>
  <si>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</si>
  <si>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</si>
  <si>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</si>
  <si>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</si>
  <si>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</si>
  <si>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</si>
  <si>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</si>
  <si>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</si>
  <si>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</si>
  <si>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</si>
  <si>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</si>
  <si>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</si>
  <si>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</si>
  <si>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</si>
  <si>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</si>
  <si>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</si>
  <si>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</si>
  <si>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</si>
  <si>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</si>
  <si>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</si>
  <si>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</si>
  <si>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</si>
  <si>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</si>
  <si>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</si>
  <si>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</si>
  <si>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</si>
  <si>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</si>
  <si>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</si>
  <si>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</si>
  <si>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</si>
  <si>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</si>
  <si>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</si>
  <si>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</si>
  <si>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</si>
  <si>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</si>
  <si>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</si>
  <si>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</si>
  <si>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</si>
  <si>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</si>
  <si>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</si>
  <si>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</si>
  <si>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</si>
  <si>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</si>
  <si>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</si>
  <si>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</si>
  <si>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</si>
  <si>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</si>
  <si>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</si>
  <si>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</si>
  <si>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</si>
  <si>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</si>
  <si>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</si>
  <si>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</si>
  <si>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</si>
  <si>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</si>
  <si>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</si>
  <si>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</si>
  <si>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</si>
  <si>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</si>
  <si>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</si>
  <si>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</si>
  <si>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</si>
  <si>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</si>
  <si>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</si>
  <si>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</si>
  <si>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</si>
  <si>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</si>
  <si>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</si>
  <si>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</si>
  <si>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</si>
  <si>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</si>
  <si>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</si>
  <si>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</si>
  <si>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</si>
  <si>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</si>
  <si>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</si>
  <si>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</si>
  <si>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</si>
  <si>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</si>
  <si>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</si>
  <si>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</si>
  <si>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</si>
  <si>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</si>
  <si>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</si>
  <si>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</si>
  <si>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</si>
  <si>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</si>
  <si>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</si>
  <si>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</si>
  <si>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</si>
  <si>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</si>
  <si>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</si>
  <si>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</si>
  <si>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</si>
  <si>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</si>
  <si>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</si>
  <si>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</si>
  <si>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</si>
  <si>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</si>
  <si>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</si>
  <si>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</si>
  <si>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</si>
  <si>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</si>
  <si>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</si>
  <si>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</si>
  <si>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</si>
  <si>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</si>
  <si>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</si>
  <si>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</si>
  <si>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</si>
  <si>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</si>
  <si>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</si>
  <si>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</si>
  <si>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</si>
  <si>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</si>
  <si>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</si>
  <si>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</si>
  <si>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</si>
  <si>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</si>
  <si>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</si>
  <si>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</si>
  <si>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</si>
  <si>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</si>
  <si>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</si>
  <si>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</si>
  <si>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</si>
  <si>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</si>
  <si>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</si>
  <si>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</si>
  <si>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</si>
  <si>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</si>
  <si>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</si>
  <si>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</si>
  <si>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</si>
  <si>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</si>
  <si>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</si>
  <si>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</si>
  <si>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</si>
  <si>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</si>
  <si>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</si>
  <si>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</si>
  <si>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</si>
  <si>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</si>
  <si>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</si>
  <si>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</si>
  <si>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</si>
  <si>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</si>
  <si>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</si>
  <si>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</si>
  <si>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</si>
  <si>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</si>
  <si>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</si>
  <si>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</si>
  <si>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</si>
  <si>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</si>
  <si>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</si>
  <si>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</si>
  <si>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</si>
  <si>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</si>
  <si>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</si>
  <si>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</si>
  <si>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</si>
  <si>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</si>
  <si>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</si>
  <si>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</si>
  <si>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</si>
  <si>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</si>
  <si>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</si>
  <si>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</si>
  <si>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</si>
  <si>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</si>
  <si>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</si>
  <si>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</si>
  <si>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</si>
  <si>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</si>
  <si>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</si>
  <si>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</si>
  <si>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</si>
  <si>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</si>
  <si>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</si>
  <si>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</si>
  <si>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</si>
  <si>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</si>
  <si>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Role Type (Required)
Standard levels associated with Role Types will populate in next Resource Title column, you can also view the full list on Rate Cards tab</t>
  </si>
  <si>
    <t>Resource Title (Required and Automated)
This will always pull cost title, and will pulls rates unless you have a client custom rates. This field is determined based on your Role Type selection.</t>
  </si>
  <si>
    <t>Capability
(Optional - Free Text)</t>
  </si>
  <si>
    <t>Role Name 
(Optional - Free Text)</t>
  </si>
  <si>
    <t>Planned Buckets (Days)</t>
  </si>
  <si>
    <t>Additional Buckets (Days)</t>
  </si>
  <si>
    <t xml:space="preserve">Option 2 Weighted Effort Days </t>
  </si>
  <si>
    <t xml:space="preserve">Option 3 Weighted Effort Days </t>
  </si>
  <si>
    <t>Discount %</t>
  </si>
  <si>
    <t>Discount $</t>
  </si>
  <si>
    <t>Client Discount</t>
  </si>
  <si>
    <r>
      <t xml:space="preserve">Contigency % </t>
    </r>
    <r>
      <rPr>
        <i/>
        <sz val="11"/>
        <color rgb="FF000000"/>
        <rFont val="Lato Regular"/>
      </rPr>
      <t>(Typically 10% or 20% added for Fixed Fee and 5% for T&amp;M, enter 0% if not building in contingency)</t>
    </r>
  </si>
  <si>
    <r>
      <t xml:space="preserve">Discount Calc </t>
    </r>
    <r>
      <rPr>
        <i/>
        <sz val="11"/>
        <color theme="1"/>
        <rFont val="Lato Regular"/>
      </rPr>
      <t>(% or $ based on your need, enter only one below)</t>
    </r>
  </si>
  <si>
    <t xml:space="preserve">Note: the Fincial Totals below do not account for Client Discounts or Added Accelerators. Please see Summary &amp; Totals page for those values. </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</si>
  <si>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</si>
  <si>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</si>
  <si>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</si>
  <si>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</si>
  <si>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</si>
  <si>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</si>
  <si>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</si>
  <si>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</si>
  <si>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</si>
  <si>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</si>
  <si>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</si>
  <si>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</si>
  <si>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</si>
  <si>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</si>
  <si>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</si>
  <si>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</si>
  <si>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</si>
  <si>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</si>
  <si>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</si>
  <si>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</si>
  <si>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</si>
  <si>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</si>
  <si>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</si>
  <si>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</si>
  <si>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</si>
  <si>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</si>
  <si>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</si>
  <si>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</si>
  <si>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</si>
  <si>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</si>
  <si>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</si>
  <si>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</si>
  <si>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</si>
  <si>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</si>
  <si>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</si>
  <si>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</si>
  <si>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</si>
  <si>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</si>
  <si>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</si>
  <si>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</si>
  <si>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</si>
  <si>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</si>
  <si>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</si>
  <si>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</si>
  <si>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</si>
  <si>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</si>
  <si>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</si>
  <si>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</si>
  <si>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</si>
  <si>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</si>
  <si>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</si>
  <si>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</si>
  <si>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</si>
  <si>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</si>
  <si>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</si>
  <si>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</si>
  <si>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</si>
  <si>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</si>
  <si>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</si>
  <si>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</si>
  <si>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</si>
  <si>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</si>
  <si>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</si>
  <si>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</si>
  <si>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</si>
  <si>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</si>
  <si>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</si>
  <si>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</si>
  <si>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</si>
  <si>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</si>
  <si>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</si>
  <si>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</si>
  <si>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</si>
  <si>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</si>
  <si>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</si>
  <si>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</si>
  <si>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</si>
  <si>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</si>
  <si>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</si>
  <si>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</si>
  <si>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</si>
  <si>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</si>
  <si>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</si>
  <si>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</si>
  <si>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</si>
  <si>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</si>
  <si>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</si>
  <si>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</si>
  <si>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</si>
  <si>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</si>
  <si>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</si>
  <si>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</si>
  <si>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</si>
  <si>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</si>
  <si>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</si>
  <si>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</si>
  <si>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</si>
  <si>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</si>
  <si>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</si>
  <si>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</si>
  <si>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</si>
  <si>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</si>
  <si>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</si>
  <si>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</si>
  <si>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</si>
  <si>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</si>
  <si>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</si>
  <si>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</si>
  <si>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</si>
  <si>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</si>
  <si>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</si>
  <si>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</si>
  <si>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</si>
  <si>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</si>
  <si>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</si>
  <si>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</si>
  <si>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</si>
  <si>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</si>
  <si>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</si>
  <si>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</si>
  <si>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</si>
  <si>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</si>
  <si>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</si>
  <si>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</si>
  <si>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</si>
  <si>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</si>
  <si>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</si>
  <si>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</si>
  <si>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</si>
  <si>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</si>
  <si>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</si>
  <si>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</si>
  <si>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</si>
  <si>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</si>
  <si>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</si>
  <si>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</si>
  <si>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</si>
  <si>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</si>
  <si>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</si>
  <si>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</si>
  <si>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</si>
  <si>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</si>
  <si>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</si>
  <si>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</si>
  <si>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</si>
  <si>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</si>
  <si>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</si>
  <si>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</si>
  <si>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</si>
  <si>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</si>
  <si>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</si>
  <si>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</si>
  <si>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</si>
  <si>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</si>
  <si>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</si>
  <si>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</si>
  <si>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</si>
  <si>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</si>
  <si>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</si>
  <si>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</si>
  <si>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</si>
  <si>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</si>
  <si>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</si>
  <si>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</si>
  <si>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</si>
  <si>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</si>
  <si>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</si>
  <si>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</si>
  <si>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</si>
  <si>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</si>
  <si>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</si>
  <si>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</si>
  <si>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</si>
  <si>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</si>
  <si>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</si>
  <si>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</si>
  <si>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</si>
  <si>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</si>
  <si>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</si>
  <si>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</si>
  <si>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</si>
  <si>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</si>
  <si>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</si>
  <si>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</si>
  <si>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</si>
  <si>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</si>
  <si>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</si>
  <si>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</si>
  <si>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</si>
  <si>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</si>
  <si>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</si>
  <si>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</si>
  <si>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</si>
  <si>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</si>
  <si>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</si>
  <si>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</si>
  <si>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</si>
  <si>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</si>
  <si>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</si>
  <si>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</si>
  <si>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</si>
  <si>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</si>
  <si>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</si>
  <si>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</si>
  <si>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r>
      <t>Custom Client Title</t>
    </r>
    <r>
      <rPr>
        <b/>
        <i/>
        <sz val="11"/>
        <color theme="1"/>
        <rFont val="Lato Regular"/>
      </rPr>
      <t xml:space="preserve"> 
</t>
    </r>
    <r>
      <rPr>
        <b/>
        <sz val="10"/>
        <color theme="1"/>
        <rFont val="Lato Regular"/>
      </rPr>
      <t>(Will only be editable if Custom Client Rate margin class and your project has unique client resource titles in Projector, this will help us pull the right rate)</t>
    </r>
  </si>
  <si>
    <t>EMPLOYEE REV:</t>
  </si>
  <si>
    <r>
      <t xml:space="preserve">Expenses
</t>
    </r>
    <r>
      <rPr>
        <b/>
        <i/>
        <sz val="11"/>
        <color rgb="FF000000"/>
        <rFont val="Lato Regular"/>
      </rPr>
      <t>If applicable please add expenses below</t>
    </r>
  </si>
  <si>
    <r>
      <t xml:space="preserve">You must select the Preferred Approach, even if it is no approach options used! </t>
    </r>
    <r>
      <rPr>
        <i/>
        <sz val="10"/>
        <color theme="1"/>
        <rFont val="Lato Regular"/>
      </rPr>
      <t>If desired, plan out the Buckets in the Timeline until Remaining Hours = 0 from the phases totals if filling out the Bucket / Phase labels in roles table below</t>
    </r>
  </si>
  <si>
    <t>IMPORTANT - if you are evaluating different pricing options and decide on a final scenario, you MUST delete roles/rows from schedule that are not included in your final pricing scenario selection</t>
  </si>
  <si>
    <t>Additional Bucket Hours</t>
  </si>
  <si>
    <t>Used Hours (Hidden)</t>
  </si>
  <si>
    <t>Estimated Rev.</t>
  </si>
  <si>
    <t>Project Margin</t>
  </si>
  <si>
    <t>Added Accelerators</t>
  </si>
  <si>
    <r>
      <t xml:space="preserve">Client Discount </t>
    </r>
    <r>
      <rPr>
        <i/>
        <sz val="9"/>
        <color theme="1"/>
        <rFont val="Lato Regular"/>
      </rPr>
      <t>(Calculate in table below by % or total $ discount)</t>
    </r>
  </si>
  <si>
    <t>Enter %</t>
  </si>
  <si>
    <r>
      <t xml:space="preserve">Contingency % </t>
    </r>
    <r>
      <rPr>
        <i/>
        <sz val="8"/>
        <color rgb="FF000000"/>
        <rFont val="Lato Regular"/>
      </rPr>
      <t>(Typically 10% or 20% for FF and 5% for T&amp;M, enter 0% if not building in contigency)</t>
    </r>
  </si>
  <si>
    <t>Contingency Ammount $</t>
  </si>
  <si>
    <t>Resource Cost:</t>
  </si>
  <si>
    <t xml:space="preserve">Added Contigency % </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</si>
  <si>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</si>
  <si>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</si>
  <si>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</si>
  <si>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</si>
  <si>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</si>
  <si>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</si>
  <si>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</si>
  <si>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</si>
  <si>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</si>
  <si>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</si>
  <si>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</si>
  <si>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</si>
  <si>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</si>
  <si>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</si>
  <si>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</si>
  <si>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</si>
  <si>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</si>
  <si>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</si>
  <si>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</si>
  <si>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</si>
  <si>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</si>
  <si>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</si>
  <si>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</si>
  <si>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</si>
  <si>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</si>
  <si>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</si>
  <si>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</si>
  <si>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</si>
  <si>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</si>
  <si>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</si>
  <si>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</si>
  <si>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</si>
  <si>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</si>
  <si>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L2 / B1-B3 | Associate QA Engineer</t>
  </si>
  <si>
    <t>L2 / B1-B3 | QA Engineer</t>
  </si>
  <si>
    <t>L3 / C1-C2 | Senior QA Engineer</t>
  </si>
  <si>
    <t>L3 / C1-C2 | Lead QA Engineer</t>
  </si>
  <si>
    <t>L4 / D1 | QA Architect</t>
  </si>
  <si>
    <t>L5 / D2-E1 | Senior QA Architect</t>
  </si>
  <si>
    <t>L6 / E2-S1 | Principal QA Architect</t>
  </si>
  <si>
    <t>L2 / B1-B3 | Business Analyst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</si>
  <si>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</si>
  <si>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</si>
  <si>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</si>
  <si>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</si>
  <si>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</si>
  <si>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</si>
  <si>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</si>
  <si>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</si>
  <si>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</si>
  <si>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</si>
  <si>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</si>
  <si>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</si>
  <si>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</si>
  <si>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</si>
  <si>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</si>
  <si>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</si>
  <si>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</si>
  <si>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</si>
  <si>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</si>
  <si>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</si>
  <si>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</si>
  <si>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</si>
  <si>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</si>
  <si>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</si>
  <si>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</si>
  <si>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</si>
  <si>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</si>
  <si>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</si>
  <si>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</si>
  <si>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</si>
  <si>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</si>
  <si>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</si>
  <si>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</si>
  <si>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</si>
  <si>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</si>
  <si>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</si>
  <si>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</si>
  <si>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</si>
  <si>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</si>
  <si>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</si>
  <si>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</si>
  <si>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</si>
  <si>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</si>
  <si>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</si>
  <si>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</si>
  <si>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</si>
  <si>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</si>
  <si>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</si>
  <si>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</si>
  <si>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</si>
  <si>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</si>
  <si>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</si>
  <si>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</si>
  <si>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</si>
  <si>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</si>
  <si>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</si>
  <si>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</si>
  <si>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</si>
  <si>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</si>
  <si>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</si>
  <si>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</si>
  <si>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</si>
  <si>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</si>
  <si>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</si>
  <si>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</si>
  <si>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</si>
  <si>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</si>
  <si>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</si>
  <si>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</si>
  <si>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</si>
  <si>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</si>
  <si>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</si>
  <si>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</si>
  <si>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</si>
  <si>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</si>
  <si>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</si>
  <si>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</si>
  <si>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</si>
  <si>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</si>
  <si>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</si>
  <si>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</si>
  <si>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</si>
  <si>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</si>
  <si>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</si>
  <si>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</si>
  <si>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</si>
  <si>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</si>
  <si>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</si>
  <si>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</si>
  <si>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</si>
  <si>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</si>
  <si>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</si>
  <si>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</si>
  <si>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</si>
  <si>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Subplatform
(Digital Only)</t>
  </si>
  <si>
    <t>Specialization
(Digital Only)</t>
  </si>
  <si>
    <t>Salesforce_Data_Cloud</t>
  </si>
  <si>
    <t>Einstein</t>
  </si>
  <si>
    <t>Mulesoft</t>
  </si>
  <si>
    <t>Salesforce_UI</t>
  </si>
  <si>
    <t>Lightning_UI</t>
  </si>
  <si>
    <t>Salesforce_QA</t>
  </si>
  <si>
    <t>Salesforce_BA</t>
  </si>
  <si>
    <t>Marketing_Cloud</t>
  </si>
  <si>
    <t>Sales_Cloud</t>
  </si>
  <si>
    <t>Service_Cloud</t>
  </si>
  <si>
    <t>Level Override (Override Populated Number if you want to explore other pricing options)</t>
  </si>
  <si>
    <t>Credera US Only</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</si>
  <si>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</si>
  <si>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</si>
  <si>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</si>
  <si>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</si>
  <si>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</si>
  <si>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</si>
  <si>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</si>
  <si>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</si>
  <si>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</si>
  <si>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</si>
  <si>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</si>
  <si>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</si>
  <si>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</si>
  <si>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</si>
  <si>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</si>
  <si>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</si>
  <si>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</si>
  <si>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</si>
  <si>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</si>
  <si>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</si>
  <si>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</si>
  <si>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</si>
  <si>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</si>
  <si>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</si>
  <si>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</si>
  <si>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</si>
  <si>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</si>
  <si>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helper</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</si>
  <si>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</si>
  <si>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</si>
  <si>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</si>
  <si>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</si>
  <si>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</si>
  <si>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</si>
  <si>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</si>
  <si>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</si>
  <si>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</si>
  <si>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</si>
  <si>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</si>
  <si>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</si>
  <si>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</si>
  <si>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</si>
  <si>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</si>
  <si>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</si>
  <si>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</si>
  <si>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</si>
  <si>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</si>
  <si>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</si>
  <si>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</si>
  <si>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</si>
  <si>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</si>
  <si>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</si>
  <si>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</si>
  <si>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</si>
  <si>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</si>
  <si>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</si>
  <si>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</si>
  <si>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</si>
  <si>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</si>
  <si>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</si>
  <si>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</si>
  <si>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</si>
  <si>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</si>
  <si>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change to location?</t>
  </si>
  <si>
    <t>switch rows</t>
  </si>
  <si>
    <t>Billing Entity</t>
  </si>
  <si>
    <t>TA Digital</t>
  </si>
  <si>
    <t>Select Entity</t>
  </si>
  <si>
    <t>T&amp;M NTE</t>
  </si>
  <si>
    <t>Value Based</t>
  </si>
  <si>
    <r>
      <rPr>
        <b/>
        <sz val="12"/>
        <rFont val="Lato"/>
        <family val="2"/>
      </rPr>
      <t xml:space="preserve">1. </t>
    </r>
    <r>
      <rPr>
        <b/>
        <sz val="12"/>
        <color rgb="FF215C98"/>
        <rFont val="Lato"/>
        <family val="2"/>
      </rPr>
      <t>Project Inputs</t>
    </r>
    <r>
      <rPr>
        <b/>
        <sz val="12"/>
        <rFont val="Lato"/>
        <family val="2"/>
      </rPr>
      <t xml:space="preserve"> - </t>
    </r>
    <r>
      <rPr>
        <sz val="12"/>
        <rFont val="Lato"/>
        <family val="2"/>
      </rPr>
      <t xml:space="preserve">Fill out project level information here in the top left corner
</t>
    </r>
    <r>
      <rPr>
        <b/>
        <sz val="12"/>
        <rFont val="Lato"/>
        <family val="2"/>
      </rPr>
      <t xml:space="preserve">2. </t>
    </r>
    <r>
      <rPr>
        <b/>
        <sz val="12"/>
        <color rgb="FF215C98"/>
        <rFont val="Lato"/>
        <family val="2"/>
      </rPr>
      <t>Projector Pricing &amp; Import</t>
    </r>
    <r>
      <rPr>
        <b/>
        <sz val="12"/>
        <rFont val="Lato"/>
        <family val="2"/>
      </rPr>
      <t xml:space="preserve"> -</t>
    </r>
    <r>
      <rPr>
        <sz val="12"/>
        <rFont val="Lato"/>
        <family val="2"/>
      </rPr>
      <t xml:space="preserve"> Start filling out roles in the table based on project needs
</t>
    </r>
    <r>
      <rPr>
        <i/>
        <sz val="12"/>
        <rFont val="Lato"/>
        <family val="2"/>
      </rPr>
      <t xml:space="preserve">- To fill out the schedule start with entry of project duration (weeks) and then entry of hrs/wk by role for each row, this will auto populate the schedule. You will need to validate or manually update for any weeks where you need to adjust for ramp up (i.e. starting someone at 20hrs/wk and then moving up to 40hrs/wk)
- See your total project duration based on scheduled hrs/wk OR manually enter total project duration if known and the SAME duration for all resources on the project, then your schedule will be automatically reflected based on your inputted duration
- Review initial financial totals based on roles, rates and scheduling
</t>
    </r>
    <r>
      <rPr>
        <b/>
        <sz val="12"/>
        <rFont val="Lato"/>
        <family val="2"/>
      </rPr>
      <t xml:space="preserve">3. </t>
    </r>
    <r>
      <rPr>
        <b/>
        <sz val="12"/>
        <color rgb="FF215C98"/>
        <rFont val="Lato"/>
        <family val="2"/>
      </rPr>
      <t>Summary &amp; Totals</t>
    </r>
    <r>
      <rPr>
        <b/>
        <sz val="12"/>
        <rFont val="Lato"/>
        <family val="2"/>
      </rPr>
      <t xml:space="preserve"> - </t>
    </r>
    <r>
      <rPr>
        <sz val="12"/>
        <rFont val="Lato"/>
        <family val="2"/>
      </rPr>
      <t xml:space="preserve">Reviewing full pricing and role totals in the summary tab, adjust roles as needed to receive pricing for your pitch and add accelerators, discounts etc. as needed
</t>
    </r>
    <r>
      <rPr>
        <b/>
        <sz val="12"/>
        <rFont val="Lato"/>
        <family val="2"/>
      </rPr>
      <t xml:space="preserve">4. </t>
    </r>
    <r>
      <rPr>
        <b/>
        <sz val="12"/>
        <color rgb="FF215C98"/>
        <rFont val="Lato"/>
        <family val="2"/>
      </rPr>
      <t>How to Use Guide -</t>
    </r>
    <r>
      <rPr>
        <sz val="12"/>
        <rFont val="Lato"/>
        <family val="2"/>
      </rPr>
      <t xml:space="preserve"> Review Projector checklist to confirm you are ready to add roles to Projector project</t>
    </r>
  </si>
  <si>
    <t>"I need to plan out my project activities and tasks to see expected project duration"</t>
  </si>
  <si>
    <r>
      <rPr>
        <b/>
        <sz val="12"/>
        <color rgb="FF000000"/>
        <rFont val="Lato"/>
        <family val="2"/>
      </rPr>
      <t xml:space="preserve">1. </t>
    </r>
    <r>
      <rPr>
        <b/>
        <sz val="12"/>
        <color rgb="FF215C98"/>
        <rFont val="Lato"/>
        <family val="2"/>
      </rPr>
      <t>Project Inputs</t>
    </r>
    <r>
      <rPr>
        <b/>
        <sz val="12"/>
        <color rgb="FF000000"/>
        <rFont val="Lato"/>
        <family val="2"/>
      </rPr>
      <t xml:space="preserve"> </t>
    </r>
    <r>
      <rPr>
        <sz val="12"/>
        <color rgb="FF000000"/>
        <rFont val="Lato"/>
        <family val="2"/>
      </rPr>
      <t xml:space="preserve">- Fill out project level information in the top left corner then move down to Estimation and Complexities section of the page
</t>
    </r>
    <r>
      <rPr>
        <i/>
        <sz val="12"/>
        <color rgb="FF000000"/>
        <rFont val="Lato"/>
        <family val="2"/>
      </rPr>
      <t xml:space="preserve">- Select the applicable project type in the project information table
- Enter Bucket Names for the phases, workstreams, etc. you need to estimate
- If needed, enter complexity % and dependencies % to add contingency to number of days per task to be used in Scope Estimation tab
</t>
    </r>
    <r>
      <rPr>
        <b/>
        <sz val="12"/>
        <color rgb="FF000000"/>
        <rFont val="Lato"/>
        <family val="2"/>
      </rPr>
      <t>2.</t>
    </r>
    <r>
      <rPr>
        <b/>
        <sz val="12"/>
        <color rgb="FF215C98"/>
        <rFont val="Lato"/>
        <family val="2"/>
      </rPr>
      <t xml:space="preserve"> Optional - Scope Estimation</t>
    </r>
    <r>
      <rPr>
        <b/>
        <sz val="12"/>
        <color rgb="FF000000"/>
        <rFont val="Lato"/>
        <family val="2"/>
      </rPr>
      <t xml:space="preserve"> -</t>
    </r>
    <r>
      <rPr>
        <sz val="12"/>
        <color rgb="FF000000"/>
        <rFont val="Lato"/>
        <family val="2"/>
      </rPr>
      <t xml:space="preserve">  Select applicable bucket dropdown and detail out the individual tasks/activities you plan to estimate. Once complete, review the totals at the bottom of the sheet.
</t>
    </r>
    <r>
      <rPr>
        <b/>
        <sz val="12"/>
        <color rgb="FF215C98"/>
        <rFont val="Lato"/>
        <family val="2"/>
      </rPr>
      <t xml:space="preserve">3. Projector Pricing &amp; Import - </t>
    </r>
    <r>
      <rPr>
        <sz val="12"/>
        <color rgb="FF000000"/>
        <rFont val="Lato"/>
        <family val="2"/>
      </rPr>
      <t>Continue to above steps for pricing out your scope estimation, you can also assign each resource / role a bucket of work to see estimated hours decrease as you assign roles buckets of work</t>
    </r>
  </si>
  <si>
    <t>"I want to evaluate different scenarios for pricing based on number of resources, level of those resources etc."</t>
  </si>
  <si>
    <r>
      <rPr>
        <b/>
        <sz val="12"/>
        <color rgb="FF000000"/>
        <rFont val="Lato"/>
        <family val="2"/>
      </rPr>
      <t xml:space="preserve">1. </t>
    </r>
    <r>
      <rPr>
        <b/>
        <sz val="12"/>
        <color rgb="FF215C98"/>
        <rFont val="Lato"/>
        <family val="2"/>
      </rPr>
      <t xml:space="preserve">Project Inputs </t>
    </r>
    <r>
      <rPr>
        <b/>
        <sz val="12"/>
        <color rgb="FF000000"/>
        <rFont val="Lato"/>
        <family val="2"/>
      </rPr>
      <t>-</t>
    </r>
    <r>
      <rPr>
        <sz val="12"/>
        <color rgb="FF000000"/>
        <rFont val="Lato"/>
        <family val="2"/>
      </rPr>
      <t xml:space="preserve"> Fill out project level information in the top left corner then move down to Estimation and Complexities section of the page
</t>
    </r>
    <r>
      <rPr>
        <i/>
        <sz val="12"/>
        <color rgb="FF000000"/>
        <rFont val="Lato"/>
        <family val="2"/>
      </rPr>
      <t xml:space="preserve">- Select the applicable project type in the project information table
- Enter Bucket Names for the phases, workstreams, etc. you need to estimate
- If needed pending project type selection, enter complexity % and dependencies % to add contingency to number of days per task to be used in Scope Estimation tab
- Enter different scope option names at the bottom of the page
</t>
    </r>
    <r>
      <rPr>
        <b/>
        <sz val="12"/>
        <color rgb="FF000000"/>
        <rFont val="Lato"/>
        <family val="2"/>
      </rPr>
      <t xml:space="preserve">2. </t>
    </r>
    <r>
      <rPr>
        <b/>
        <sz val="12"/>
        <color rgb="FF215C98"/>
        <rFont val="Lato"/>
        <family val="2"/>
      </rPr>
      <t>Optional - Scope Estimation</t>
    </r>
    <r>
      <rPr>
        <b/>
        <sz val="12"/>
        <color rgb="FF000000"/>
        <rFont val="Lato"/>
        <family val="2"/>
      </rPr>
      <t xml:space="preserve"> -</t>
    </r>
    <r>
      <rPr>
        <sz val="12"/>
        <color rgb="FF000000"/>
        <rFont val="Lato"/>
        <family val="2"/>
      </rPr>
      <t xml:space="preserve">  Select applicable bucket dropdown and detail out the individual tasks/activities you plan to estimate. Once complete, review the totals at the bottom of the sheet.
</t>
    </r>
    <r>
      <rPr>
        <i/>
        <sz val="12"/>
        <color rgb="FF000000"/>
        <rFont val="Lato"/>
        <family val="2"/>
      </rPr>
      <t xml:space="preserve">- Select Yes or No for each scope line item to be included in the option as applicable
</t>
    </r>
    <r>
      <rPr>
        <b/>
        <sz val="12"/>
        <color rgb="FF000000"/>
        <rFont val="Lato"/>
        <family val="2"/>
      </rPr>
      <t xml:space="preserve">3. </t>
    </r>
    <r>
      <rPr>
        <b/>
        <sz val="12"/>
        <color rgb="FF215C98"/>
        <rFont val="Lato"/>
        <family val="2"/>
      </rPr>
      <t xml:space="preserve">Optional - Scope Options Review </t>
    </r>
    <r>
      <rPr>
        <b/>
        <sz val="12"/>
        <color rgb="FF000000"/>
        <rFont val="Lato"/>
        <family val="2"/>
      </rPr>
      <t>-</t>
    </r>
    <r>
      <rPr>
        <sz val="12"/>
        <color rgb="FF000000"/>
        <rFont val="Lato"/>
        <family val="2"/>
      </rPr>
      <t xml:space="preserve"> Review each scope option by selecting in each options pivot table and hitting "refresh" to see the total duration for each option
</t>
    </r>
    <r>
      <rPr>
        <b/>
        <sz val="12"/>
        <color rgb="FF000000"/>
        <rFont val="Lato"/>
        <family val="2"/>
      </rPr>
      <t xml:space="preserve">4. </t>
    </r>
    <r>
      <rPr>
        <b/>
        <sz val="12"/>
        <color rgb="FF215C98"/>
        <rFont val="Lato"/>
        <family val="2"/>
      </rPr>
      <t>Projector Pricing &amp; Import</t>
    </r>
    <r>
      <rPr>
        <b/>
        <sz val="12"/>
        <color rgb="FF000000"/>
        <rFont val="Lato"/>
        <family val="2"/>
      </rPr>
      <t xml:space="preserve"> - </t>
    </r>
    <r>
      <rPr>
        <sz val="12"/>
        <color rgb="FF000000"/>
        <rFont val="Lato"/>
        <family val="2"/>
      </rPr>
      <t xml:space="preserve">Determine which scope option is preferred by selecting from dropdown at top of page in estimated buckets totals and begin filling out roles / resources to complete estimated work
</t>
    </r>
    <r>
      <rPr>
        <i/>
        <sz val="12"/>
        <color rgb="FF000000"/>
        <rFont val="Lato"/>
        <family val="2"/>
      </rPr>
      <t xml:space="preserve">- Assign each role a bucket of work as applicable to see how many hours of total scope estimated are remaining based on that roles hours on the project
- Review scope and roles to complete estimated scope
</t>
    </r>
    <r>
      <rPr>
        <b/>
        <sz val="12"/>
        <color rgb="FF000000"/>
        <rFont val="Lato"/>
        <family val="2"/>
      </rPr>
      <t>5. Summary and Totals -</t>
    </r>
    <r>
      <rPr>
        <sz val="12"/>
        <color rgb="FF000000"/>
        <rFont val="Lato"/>
        <family val="2"/>
      </rPr>
      <t xml:space="preserve"> Review detailed financial and resource totals of final scope option</t>
    </r>
  </si>
  <si>
    <r>
      <rPr>
        <b/>
        <sz val="12"/>
        <color rgb="FF000000"/>
        <rFont val="Lato"/>
        <family val="2"/>
      </rPr>
      <t xml:space="preserve">1. </t>
    </r>
    <r>
      <rPr>
        <b/>
        <sz val="12"/>
        <color rgb="FF215C98"/>
        <rFont val="Lato"/>
        <family val="2"/>
      </rPr>
      <t>Project Inputs -</t>
    </r>
    <r>
      <rPr>
        <sz val="12"/>
        <color rgb="FF000000"/>
        <rFont val="Lato"/>
        <family val="2"/>
      </rPr>
      <t xml:space="preserve"> Fill out project level information here in the top left corner
</t>
    </r>
    <r>
      <rPr>
        <i/>
        <sz val="12"/>
        <color rgb="FF000000"/>
        <rFont val="Lato"/>
        <family val="2"/>
      </rPr>
      <t xml:space="preserve">- Select the applicable project type in the project information table
- Enter Bucket Names for the phases, workstreams, etc. you need to estimate
- If needed, enter complexity % and dependencies % to add contingency to number of days per task to be used in Scope Estimation tab
</t>
    </r>
    <r>
      <rPr>
        <b/>
        <sz val="12"/>
        <color rgb="FF000000"/>
        <rFont val="Lato"/>
        <family val="2"/>
      </rPr>
      <t xml:space="preserve">2. </t>
    </r>
    <r>
      <rPr>
        <b/>
        <sz val="12"/>
        <color rgb="FF215C98"/>
        <rFont val="Lato"/>
        <family val="2"/>
      </rPr>
      <t>Optional - Scope Estimation -</t>
    </r>
    <r>
      <rPr>
        <sz val="12"/>
        <color rgb="FF000000"/>
        <rFont val="Lato"/>
        <family val="2"/>
      </rPr>
      <t xml:space="preserve">  Select applicable bucket dropdown and detail out the individual tasks/activities you plan to estimate. Once complete, review the totals at the bottom of the sheet.
</t>
    </r>
    <r>
      <rPr>
        <b/>
        <sz val="12"/>
        <color rgb="FF000000"/>
        <rFont val="Lato"/>
        <family val="2"/>
      </rPr>
      <t xml:space="preserve">3. </t>
    </r>
    <r>
      <rPr>
        <b/>
        <sz val="12"/>
        <color rgb="FF215C98"/>
        <rFont val="Lato"/>
        <family val="2"/>
      </rPr>
      <t>Projector Pricing &amp; Import -</t>
    </r>
    <r>
      <rPr>
        <sz val="12"/>
        <color rgb="FF000000"/>
        <rFont val="Lato"/>
        <family val="2"/>
      </rPr>
      <t xml:space="preserve"> Start filling out roles in the table based on project needs
</t>
    </r>
    <r>
      <rPr>
        <i/>
        <sz val="12"/>
        <color rgb="FF000000"/>
        <rFont val="Lato"/>
        <family val="2"/>
      </rPr>
      <t xml:space="preserve">- To fill out the schedule start with manual entry of hrs/wk by role, manually update the calendar to remove any unneeded weeks
- See your total project duration based on scheduled hrs/wk OR manually enter total project duration if known and the SAME duration for all resources on the project, then your schedule will be automatically reflected based on your inputted duration
- Review initial financial totals based on roles, rates and scheduling
- Review the bucket estimated hours, cost and revenue to see breakdown by bucket of work at the top of the page
</t>
    </r>
    <r>
      <rPr>
        <b/>
        <sz val="12"/>
        <color rgb="FF000000"/>
        <rFont val="Lato"/>
        <family val="2"/>
      </rPr>
      <t xml:space="preserve">3. </t>
    </r>
    <r>
      <rPr>
        <b/>
        <sz val="12"/>
        <color rgb="FF215C98"/>
        <rFont val="Lato"/>
        <family val="2"/>
      </rPr>
      <t>Summary &amp; Totals -</t>
    </r>
    <r>
      <rPr>
        <b/>
        <sz val="12"/>
        <color rgb="FF000000"/>
        <rFont val="Lato"/>
        <family val="2"/>
      </rPr>
      <t xml:space="preserve"> </t>
    </r>
    <r>
      <rPr>
        <sz val="12"/>
        <color rgb="FF000000"/>
        <rFont val="Lato"/>
        <family val="2"/>
      </rPr>
      <t xml:space="preserve">Reviewing full pricing and role totals in the summary tab, adjust roles as needed
</t>
    </r>
    <r>
      <rPr>
        <b/>
        <sz val="12"/>
        <color rgb="FF000000"/>
        <rFont val="Lato"/>
        <family val="2"/>
      </rPr>
      <t xml:space="preserve">4. </t>
    </r>
    <r>
      <rPr>
        <b/>
        <sz val="12"/>
        <color rgb="FF215C98"/>
        <rFont val="Lato"/>
        <family val="2"/>
      </rPr>
      <t xml:space="preserve">How to Use Guide </t>
    </r>
    <r>
      <rPr>
        <b/>
        <sz val="12"/>
        <color rgb="FF000000"/>
        <rFont val="Lato"/>
        <family val="2"/>
      </rPr>
      <t>-</t>
    </r>
    <r>
      <rPr>
        <sz val="12"/>
        <color rgb="FF000000"/>
        <rFont val="Lato"/>
        <family val="2"/>
      </rPr>
      <t xml:space="preserve"> Review Projector checklist to confirm you are ready to add roles to Projector</t>
    </r>
  </si>
  <si>
    <t>The goal of this tool is to provide Project Managers the ability to scope, estimate, price and plan work in a consistent way across North America. To streamline operations this tool will soon be able to be uploaded to a tile on Okta to upload your roles and schedule to Projector for role requests, but for now you can follow the checklist to add estimated scope and team manually as normal to Projector!</t>
  </si>
  <si>
    <t>Confirm your version of RPE matches lasted version of RPE found on the Portal Page</t>
  </si>
  <si>
    <t>If you have manually entered a Client Discount amount please review, this will go to Finance Eval</t>
  </si>
  <si>
    <r>
      <rPr>
        <sz val="14"/>
        <color rgb="FF000000"/>
        <rFont val="Lato"/>
        <family val="2"/>
      </rPr>
      <t xml:space="preserve">If Estimating work, move to the </t>
    </r>
    <r>
      <rPr>
        <b/>
        <sz val="14"/>
        <color rgb="FF215C98"/>
        <rFont val="Lato"/>
        <family val="2"/>
      </rPr>
      <t>Optional - Scope</t>
    </r>
    <r>
      <rPr>
        <b/>
        <sz val="14"/>
        <color rgb="FF156082"/>
        <rFont val="Lato"/>
        <family val="2"/>
      </rPr>
      <t xml:space="preserve"> Estimation </t>
    </r>
    <r>
      <rPr>
        <sz val="14"/>
        <color rgb="FF000000"/>
        <rFont val="Lato"/>
        <family val="2"/>
      </rPr>
      <t xml:space="preserve">and plan out tasks by bucket/phase of work
</t>
    </r>
    <r>
      <rPr>
        <i/>
        <sz val="12"/>
        <color rgb="FF000000"/>
        <rFont val="Lato"/>
        <family val="2"/>
      </rPr>
      <t>- Note: This data will be leveraged in the high-level options analysis tab, Projector Import, and subsequent overviews
-</t>
    </r>
    <r>
      <rPr>
        <b/>
        <i/>
        <sz val="12"/>
        <color rgb="FF000000"/>
        <rFont val="Lato"/>
        <family val="2"/>
      </rPr>
      <t xml:space="preserve"> Parent and Child</t>
    </r>
    <r>
      <rPr>
        <i/>
        <sz val="12"/>
        <color rgb="FF000000"/>
        <rFont val="Lato"/>
        <family val="2"/>
      </rPr>
      <t xml:space="preserve"> are generic groupings but this could be Epic and Activity, or User Story and Task, whatever is needed
- </t>
    </r>
    <r>
      <rPr>
        <b/>
        <i/>
        <sz val="12"/>
        <color rgb="FF000000"/>
        <rFont val="Lato"/>
        <family val="2"/>
      </rPr>
      <t>Effort Days</t>
    </r>
    <r>
      <rPr>
        <i/>
        <sz val="12"/>
        <color rgb="FF000000"/>
        <rFont val="Lato"/>
        <family val="2"/>
      </rPr>
      <t xml:space="preserve"> is the amount of 8 hours days it would take 1 person to complete the line item. Assumptions are VERY important for these so please document in the column provided
- Determine if line items are in scope for </t>
    </r>
    <r>
      <rPr>
        <b/>
        <i/>
        <sz val="12"/>
        <color rgb="FF000000"/>
        <rFont val="Lato"/>
        <family val="2"/>
      </rPr>
      <t>Approach [#] by selecting Yes/No for each option</t>
    </r>
    <r>
      <rPr>
        <sz val="12"/>
        <color rgb="FF000000"/>
        <rFont val="Lato"/>
        <family val="2"/>
      </rPr>
      <t xml:space="preserve"> </t>
    </r>
    <r>
      <rPr>
        <i/>
        <sz val="11"/>
        <color rgb="FF000000"/>
        <rFont val="Lato"/>
        <family val="2"/>
      </rPr>
      <t>if evaluating various scope options, if not continue to Step 4</t>
    </r>
    <r>
      <rPr>
        <b/>
        <i/>
        <sz val="11"/>
        <color rgb="FF215C98"/>
        <rFont val="Lato"/>
        <family val="2"/>
      </rPr>
      <t xml:space="preserve"> Projector Pricing &amp; Import -</t>
    </r>
    <r>
      <rPr>
        <i/>
        <sz val="11"/>
        <color theme="1"/>
        <rFont val="Lato"/>
        <family val="2"/>
      </rPr>
      <t xml:space="preserve"> be sure to unhid columns on Scope Estimation tab to select yes/no</t>
    </r>
  </si>
  <si>
    <r>
      <t>For planning out roles and pricing, move onto</t>
    </r>
    <r>
      <rPr>
        <b/>
        <sz val="14"/>
        <color rgb="FF215C98"/>
        <rFont val="Lato"/>
        <family val="2"/>
      </rPr>
      <t xml:space="preserve"> 3. Projector Pricing &amp; Import</t>
    </r>
    <r>
      <rPr>
        <sz val="14"/>
        <rFont val="Lato"/>
        <family val="2"/>
      </rPr>
      <t xml:space="preserve"> tab. Start by referencing the Estimated Buckets at the top right of the page for your selected option and select information for each role as applicable starting with Organization, Role Type and Resource Title as the required drop downs and schedule each resource as needed.
</t>
    </r>
    <r>
      <rPr>
        <i/>
        <sz val="12"/>
        <rFont val="Lato"/>
        <family val="2"/>
      </rPr>
      <t xml:space="preserve">- If you are using Client Custom Rates, </t>
    </r>
    <r>
      <rPr>
        <b/>
        <i/>
        <sz val="12"/>
        <rFont val="Lato"/>
        <family val="2"/>
      </rPr>
      <t>select the correct Client Role Title from the drop downs</t>
    </r>
    <r>
      <rPr>
        <i/>
        <sz val="12"/>
        <rFont val="Lato"/>
        <family val="2"/>
      </rPr>
      <t xml:space="preserve">
- </t>
    </r>
    <r>
      <rPr>
        <b/>
        <i/>
        <sz val="12"/>
        <rFont val="Lato"/>
        <family val="2"/>
      </rPr>
      <t>Capability &amp; Estimated Bucket</t>
    </r>
    <r>
      <rPr>
        <i/>
        <sz val="12"/>
        <rFont val="Lato"/>
        <family val="2"/>
      </rPr>
      <t xml:space="preserve"> are optional fields, if you select an Estimated Bucket for the role, the scheduled the hours for the Estimated Bucket Hours in the top table will decrease as hours are scheduled to help to ensure all Estimated Scope is accounted for
- </t>
    </r>
    <r>
      <rPr>
        <b/>
        <i/>
        <sz val="12"/>
        <rFont val="Lato"/>
        <family val="2"/>
      </rPr>
      <t>Manually enter hrs/week for each role</t>
    </r>
    <r>
      <rPr>
        <i/>
        <sz val="12"/>
        <rFont val="Lato"/>
        <family val="2"/>
      </rPr>
      <t xml:space="preserve">
- Project Duration can </t>
    </r>
    <r>
      <rPr>
        <b/>
        <i/>
        <sz val="12"/>
        <rFont val="Lato"/>
        <family val="2"/>
      </rPr>
      <t>either be manually entered or will populate based on a scope scenario selected</t>
    </r>
    <r>
      <rPr>
        <i/>
        <sz val="12"/>
        <rFont val="Lato"/>
        <family val="2"/>
      </rPr>
      <t xml:space="preserve">
- If you need to apply a Custom Rate for the role outside of the Client Rate or Rack Rate, </t>
    </r>
    <r>
      <rPr>
        <b/>
        <i/>
        <sz val="12"/>
        <rFont val="Lato"/>
        <family val="2"/>
      </rPr>
      <t>scroll to column AW to override rates with a Custom Rate</t>
    </r>
    <r>
      <rPr>
        <i/>
        <sz val="12"/>
        <rFont val="Lato"/>
        <family val="2"/>
      </rPr>
      <t xml:space="preserve">
- Once finished adding roles, review the totals in at the top of the page for a quick summary, but full totals can be found on the </t>
    </r>
    <r>
      <rPr>
        <b/>
        <i/>
        <sz val="12"/>
        <color rgb="FF215C98"/>
        <rFont val="Lato"/>
        <family val="2"/>
      </rPr>
      <t>Summary &amp; Totals</t>
    </r>
    <r>
      <rPr>
        <i/>
        <sz val="12"/>
        <rFont val="Lato"/>
        <family val="2"/>
      </rPr>
      <t xml:space="preserve"> tab
- If you need to evaluate different pricing scenario, </t>
    </r>
    <r>
      <rPr>
        <b/>
        <i/>
        <sz val="12"/>
        <rFont val="Lato"/>
        <family val="2"/>
      </rPr>
      <t>indicate role/resource inclusion in each pricing scenario by selecting "yes/no",</t>
    </r>
    <r>
      <rPr>
        <i/>
        <sz val="12"/>
        <rFont val="Lato"/>
        <family val="2"/>
      </rPr>
      <t xml:space="preserve"> if you do not need to evaluate different pricing scenarios continue to Step 6 on </t>
    </r>
    <r>
      <rPr>
        <b/>
        <i/>
        <sz val="12"/>
        <color rgb="FF215C98"/>
        <rFont val="Lato"/>
        <family val="2"/>
      </rPr>
      <t>Summary and Totals</t>
    </r>
    <r>
      <rPr>
        <sz val="14"/>
        <rFont val="Lato"/>
        <family val="2"/>
      </rPr>
      <t xml:space="preserve"> -  </t>
    </r>
    <r>
      <rPr>
        <sz val="12"/>
        <rFont val="Lato"/>
        <family val="2"/>
      </rPr>
      <t>be sure to unhid columns on Projector Pricing &amp; Import tab to select yes/no</t>
    </r>
  </si>
  <si>
    <t>COMMERCIAL REVIEW SUMMARY</t>
  </si>
  <si>
    <t>Project Header Information</t>
  </si>
  <si>
    <t>Client Lead</t>
  </si>
  <si>
    <t>Commerical Review Flag (Comment Required)</t>
  </si>
  <si>
    <t>Additional Credera Contacts</t>
  </si>
  <si>
    <t>Required field (Please populate)</t>
  </si>
  <si>
    <t>Error (Populate required fields to clear error)</t>
  </si>
  <si>
    <t>Start Date</t>
  </si>
  <si>
    <t>Commercial Review Metrics</t>
  </si>
  <si>
    <t>Note: There are cell notes indicated with a red triangle for each KPI below that provide standard calculations and additional instructions.</t>
  </si>
  <si>
    <t>KPI</t>
  </si>
  <si>
    <t>VALUE</t>
  </si>
  <si>
    <t>CRB FLAG</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</si>
  <si>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</si>
  <si>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</si>
  <si>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</si>
  <si>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</si>
  <si>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</si>
  <si>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</si>
  <si>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</si>
  <si>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</si>
  <si>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</si>
  <si>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</si>
  <si>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</si>
  <si>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</si>
  <si>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</si>
  <si>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Hours</t>
  </si>
  <si>
    <t>GDC %</t>
  </si>
  <si>
    <t>Overall GDC %</t>
  </si>
  <si>
    <t>Digital Platforms GDC %</t>
  </si>
  <si>
    <t>Digital Strategy &amp; Delivery GDC %</t>
  </si>
  <si>
    <t>Experience Design GDC %</t>
  </si>
  <si>
    <t>Management Consulting GDC %</t>
  </si>
  <si>
    <t>Technology Solutions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</si>
  <si>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</si>
  <si>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</si>
  <si>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</si>
  <si>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</si>
  <si>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</si>
  <si>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</si>
  <si>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</si>
  <si>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</si>
  <si>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</si>
  <si>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</si>
  <si>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</si>
  <si>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</si>
  <si>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</si>
  <si>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</si>
  <si>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</si>
  <si>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</si>
  <si>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</si>
  <si>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</si>
  <si>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</si>
  <si>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</si>
  <si>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</si>
  <si>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</si>
  <si>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</si>
  <si>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</si>
  <si>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</si>
  <si>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</si>
  <si>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</si>
  <si>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</si>
  <si>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</si>
  <si>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</si>
  <si>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</si>
  <si>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</si>
  <si>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</si>
  <si>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</si>
  <si>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</si>
  <si>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</si>
  <si>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</si>
  <si>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Account Type</t>
  </si>
  <si>
    <t>Existing</t>
  </si>
  <si>
    <t>New</t>
  </si>
  <si>
    <t>Euler</t>
  </si>
  <si>
    <t>N/A - Existing Client</t>
  </si>
  <si>
    <t>Yes - Requested</t>
  </si>
  <si>
    <t>No - Not yet requested</t>
  </si>
  <si>
    <t>MSA Rate Card</t>
  </si>
  <si>
    <t>Yes - MSA includes rates</t>
  </si>
  <si>
    <t>No - MSA does not include rates</t>
  </si>
  <si>
    <t>OMC Work</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</si>
  <si>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</si>
  <si>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</si>
  <si>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</si>
  <si>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</si>
  <si>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</si>
  <si>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</si>
  <si>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</si>
  <si>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</si>
  <si>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</si>
  <si>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</si>
  <si>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complete after role mapping excersize</t>
  </si>
  <si>
    <t>Client Origin</t>
  </si>
  <si>
    <t>US</t>
  </si>
  <si>
    <t>Type</t>
  </si>
  <si>
    <t>CONFIDENTIAL - NOT TO BE SHARED OUTSIDE OF CREDERA</t>
  </si>
  <si>
    <r>
      <rPr>
        <b/>
        <u/>
        <sz val="12"/>
        <color theme="1"/>
        <rFont val="Arial"/>
        <family val="2"/>
      </rPr>
      <t>IMPORTANT NOTE:</t>
    </r>
    <r>
      <rPr>
        <b/>
        <sz val="12"/>
        <color theme="1"/>
        <rFont val="Arial"/>
        <family val="2"/>
      </rPr>
      <t xml:space="preserve">
Unlock the spreadsheet before adding new rows and columns.
To add new rows or columns, </t>
    </r>
    <r>
      <rPr>
        <b/>
        <u/>
        <sz val="12"/>
        <color theme="1"/>
        <rFont val="Arial"/>
        <family val="2"/>
      </rPr>
      <t>copy an existing row or column and insert in the middle</t>
    </r>
    <r>
      <rPr>
        <b/>
        <sz val="12"/>
        <color theme="1"/>
        <rFont val="Arial"/>
        <family val="2"/>
      </rPr>
      <t xml:space="preserve"> (DO NOT insert blank rows or columns, and DO NOT add new rows or columns at the beginning or the end, for the Formulae and Macros to work accurately)</t>
    </r>
  </si>
  <si>
    <r>
      <t xml:space="preserve">Week Starts On </t>
    </r>
    <r>
      <rPr>
        <b/>
        <sz val="10"/>
        <color rgb="FFFF0000"/>
        <rFont val="Arial"/>
        <family val="2"/>
      </rPr>
      <t>(ONLY UPDATE THE START DATE)</t>
    </r>
  </si>
  <si>
    <t>Week Ends On (FRIDAY)</t>
  </si>
  <si>
    <t>2024 H1 Standard Rate Card</t>
  </si>
  <si>
    <t>Mandatory Selection</t>
  </si>
  <si>
    <t>Sprint-0</t>
  </si>
  <si>
    <t>Sprint-1</t>
  </si>
  <si>
    <t>Sprint-2</t>
  </si>
  <si>
    <t>Sprint-3</t>
  </si>
  <si>
    <t>Sprint-4</t>
  </si>
  <si>
    <t>Sprint-5</t>
  </si>
  <si>
    <t>Sprint-6</t>
  </si>
  <si>
    <t>Sprint-7</t>
  </si>
  <si>
    <t>Sprint-8</t>
  </si>
  <si>
    <t>Sprint-9</t>
  </si>
  <si>
    <r>
      <t xml:space="preserve">Client Specific Rate Card </t>
    </r>
    <r>
      <rPr>
        <b/>
        <sz val="10"/>
        <color rgb="FFC00000"/>
        <rFont val="Arial"/>
        <family val="2"/>
      </rPr>
      <t>(update "Custom Rate", if different from Standard Rate Card)</t>
    </r>
  </si>
  <si>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</si>
  <si>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</si>
  <si>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</si>
  <si>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</si>
  <si>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</si>
  <si>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</si>
  <si>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</si>
  <si>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</si>
  <si>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</si>
  <si>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</si>
  <si>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</si>
  <si>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</si>
  <si>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</si>
  <si>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</si>
  <si>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</si>
  <si>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</si>
  <si>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</si>
  <si>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</si>
  <si>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</si>
  <si>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</si>
  <si>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</si>
  <si>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</si>
  <si>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</si>
  <si>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</si>
  <si>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</si>
  <si>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</si>
  <si>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</si>
  <si>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</si>
  <si>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</si>
  <si>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</si>
  <si>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</si>
  <si>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</si>
  <si>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</si>
  <si>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</si>
  <si>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</si>
  <si>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</si>
  <si>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</si>
  <si>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</si>
  <si>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</si>
  <si>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r>
      <t xml:space="preserve">STD. T&amp;M Rate </t>
    </r>
    <r>
      <rPr>
        <b/>
        <i/>
        <sz val="8"/>
        <color theme="1"/>
        <rFont val="Arial"/>
        <family val="2"/>
      </rPr>
      <t>($/Hr)</t>
    </r>
  </si>
  <si>
    <r>
      <t xml:space="preserve">Custom Rate </t>
    </r>
    <r>
      <rPr>
        <b/>
        <i/>
        <sz val="8"/>
        <rFont val="Arial"/>
        <family val="2"/>
      </rPr>
      <t>($/Hr)</t>
    </r>
  </si>
  <si>
    <t>Revenue per Custom Rate</t>
  </si>
  <si>
    <t>Total Person Hours</t>
  </si>
  <si>
    <r>
      <t xml:space="preserve">SubPlatform wise Revenue Breakup </t>
    </r>
    <r>
      <rPr>
        <b/>
        <i/>
        <sz val="8"/>
        <rFont val="Arial"/>
        <family val="2"/>
      </rPr>
      <t>($)</t>
    </r>
  </si>
  <si>
    <t>Comments/ Guidelines</t>
  </si>
  <si>
    <t>Experience_Design</t>
  </si>
  <si>
    <t>User_Experience</t>
  </si>
  <si>
    <t>Editorial_and_Copywriting</t>
  </si>
  <si>
    <t>Credera_Martech</t>
  </si>
  <si>
    <t>Technology_Solutions</t>
  </si>
  <si>
    <t>Data_and_AI</t>
  </si>
  <si>
    <t>Associate Data Engineer</t>
  </si>
  <si>
    <t>Management_Consulting</t>
  </si>
  <si>
    <t>Product_and_Innovation</t>
  </si>
  <si>
    <t>Principal Business Analyst</t>
  </si>
  <si>
    <t>Project_Management</t>
  </si>
  <si>
    <t>Sales_Cloud_Functional</t>
  </si>
  <si>
    <t>MACH_Content</t>
  </si>
  <si>
    <t>Practice VP</t>
  </si>
  <si>
    <t>Delivery Director</t>
  </si>
  <si>
    <t>Check Project Management % Allocation Guidelines Section under Instructions_Guidelines</t>
  </si>
  <si>
    <t>Discount</t>
  </si>
  <si>
    <t>Executive Discount</t>
  </si>
  <si>
    <r>
      <t xml:space="preserve">Discount can be </t>
    </r>
    <r>
      <rPr>
        <b/>
        <sz val="10"/>
        <rFont val="Arial"/>
        <family val="2"/>
      </rPr>
      <t>fixed $ number (for FP)</t>
    </r>
    <r>
      <rPr>
        <sz val="10"/>
        <rFont val="Arial"/>
        <family val="2"/>
      </rPr>
      <t xml:space="preserve">, or </t>
    </r>
    <r>
      <rPr>
        <b/>
        <sz val="10"/>
        <rFont val="Arial"/>
        <family val="2"/>
      </rPr>
      <t>% of Total Cost (for T&amp;M)</t>
    </r>
  </si>
  <si>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</si>
  <si>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</si>
  <si>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</si>
  <si>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</si>
  <si>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</si>
  <si>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</si>
  <si>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</si>
  <si>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</si>
  <si>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</si>
  <si>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</si>
  <si>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</si>
  <si>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</si>
  <si>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</si>
  <si>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</si>
  <si>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</si>
  <si>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</si>
  <si>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</si>
  <si>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</si>
  <si>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</si>
  <si>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</si>
  <si>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</si>
  <si>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</si>
  <si>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</si>
  <si>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</si>
  <si>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</si>
  <si>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</si>
  <si>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</si>
  <si>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</si>
  <si>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</si>
  <si>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</si>
  <si>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</si>
  <si>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</si>
  <si>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</si>
  <si>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</si>
  <si>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</si>
  <si>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</si>
  <si>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</si>
  <si>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</si>
  <si>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</si>
  <si>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</si>
  <si>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</si>
  <si>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Transfer Cost</t>
  </si>
  <si>
    <t>transfer Rate</t>
  </si>
  <si>
    <r>
      <t xml:space="preserve">2. Estimation Buckets &amp; Complexities - </t>
    </r>
    <r>
      <rPr>
        <b/>
        <sz val="14"/>
        <color theme="3"/>
        <rFont val="Lato Regular"/>
      </rPr>
      <t>O</t>
    </r>
    <r>
      <rPr>
        <b/>
        <sz val="14"/>
        <color theme="1"/>
        <rFont val="Lato Regular"/>
      </rPr>
      <t xml:space="preserve">PTIONAL! </t>
    </r>
    <r>
      <rPr>
        <sz val="14"/>
        <color theme="1"/>
        <rFont val="Lato Regular"/>
      </rPr>
      <t xml:space="preserve">Only needed if estimating work/scoping tasks, not needed if you only need to price out team and know duration. Feel free to skip to Pricing &amp; Import tab if applicable! </t>
    </r>
  </si>
  <si>
    <t>Project Code</t>
  </si>
  <si>
    <t>Rate/Margin Class</t>
  </si>
  <si>
    <t>Duration</t>
  </si>
  <si>
    <t>Client Custom Rate Card</t>
  </si>
  <si>
    <t>Client Name</t>
  </si>
  <si>
    <t>Team Member Roles</t>
  </si>
  <si>
    <t>Team Member Hours</t>
  </si>
  <si>
    <t>Select Billing Entity from Drop Down on 1. Project Inputs</t>
  </si>
  <si>
    <t>Enter Project Code from Project or Dynamics on 1. Project Inputs</t>
  </si>
  <si>
    <t>Entity is needed to determine which system the RPE will be uploaded in</t>
  </si>
  <si>
    <t>Project Code directs the RPE to upload to the correct project</t>
  </si>
  <si>
    <t>Select type from drop down list on 1. Project Inputs. Please see QRG on RPE Portal Page for explanation on Project Types</t>
  </si>
  <si>
    <t>Select from drop down on 1. Project Inputs. Please see QRG on RPE Portal Page for explanationon Margin Class</t>
  </si>
  <si>
    <t>Please enter estimated Project Start Date on 1. Project Inputs</t>
  </si>
  <si>
    <t>Select Billing Type from drop down on 1. Project Inputs.</t>
  </si>
  <si>
    <t xml:space="preserve">Please either manually enter duration in weeks in 2. Pricing &amp; Import cell Z36 or if you used Scoping Estimation, select your approach option in the drop down in cell L8 in 2. Pricing &amp; Import. </t>
  </si>
  <si>
    <t>If you selected Client Custom Rates, you need to select which Client Rate card you are using on 1. Project Inputs. If you do not have a client custom rate card yet, please use the Custom Rate Override feature in the RPE. If you need to add your client rate card to Projector, please email Operations Enablement.</t>
  </si>
  <si>
    <t>Ensure Client Name matches the Client Name listed on the Client Custom Rate card</t>
  </si>
  <si>
    <t>Please enter at least one role into the schedule on 2. Pricing &amp; Import</t>
  </si>
  <si>
    <t>Please enter weekly hours for team members on 2. Pricing &amp; Import</t>
  </si>
  <si>
    <t>HIDDEN PASS/FAIL Column</t>
  </si>
  <si>
    <t>In order to use a custom client rate card, you need to select Client Custom Class. The Commercial Review Board will look at your margin in accordance with the rate/margin class selected.</t>
  </si>
  <si>
    <t xml:space="preserve">Project start date is required to schedule your roles in Projector or Dynamics once the RPE is uploaded. </t>
  </si>
  <si>
    <t xml:space="preserve">Project Type impacts how you interact with the RPE. Digital project types have pre-set complexities for estimation. </t>
  </si>
  <si>
    <t>The RPE will handle revenue for projects differently depending on what type of project you have. The RPE integration will also send the revenue amount to a different field in Projector depending on if it is Fixed Fee or T&amp;M, for exapmle.</t>
  </si>
  <si>
    <t>Duration is needed to determine total cost and revenue of the project. Duration is also needed to accurately staff your team members once it is uploaded to the appropriate PSA.</t>
  </si>
  <si>
    <t>Reason for Required Field</t>
  </si>
  <si>
    <t>Validation Flag</t>
  </si>
  <si>
    <t xml:space="preserve">The RPE checks to make sure you don't use an incorrect client rate card by matching the name on the client rate card to the name inputted in 1. Project Inputs.
</t>
  </si>
  <si>
    <t xml:space="preserve">You need at least one team member with hours to calculate revenue and cost for a project. 
</t>
  </si>
  <si>
    <t xml:space="preserve">You need at least one hour entered to calculate revenue and cost for a project. 
</t>
  </si>
  <si>
    <t xml:space="preserve">The RPE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2. Pricing &amp; Import if you want to customize rates. 
</t>
  </si>
  <si>
    <t>CONTINGENCY CALCULATOR</t>
  </si>
  <si>
    <t>CLIENT DISCOUNT CALCULATOR</t>
  </si>
  <si>
    <t>% Method</t>
  </si>
  <si>
    <t>Revenue Method</t>
  </si>
  <si>
    <t>Total Resource Revenue</t>
  </si>
  <si>
    <t xml:space="preserve">Contingency % </t>
  </si>
  <si>
    <t>Total Bid</t>
  </si>
  <si>
    <t>TOTAL CLIENT BID</t>
  </si>
  <si>
    <t>_2025_McDonalds_COLA_Rate_Card</t>
  </si>
  <si>
    <t>UX Design</t>
  </si>
  <si>
    <t>Coding</t>
  </si>
  <si>
    <t>can this become some sort of search page that can search both ways (by role and by title) to help people know what they're doing</t>
  </si>
  <si>
    <t>iferror function for this so #N/A doesn't show up</t>
  </si>
  <si>
    <t>delivery stuff</t>
  </si>
  <si>
    <t>other bucket</t>
  </si>
  <si>
    <t>qa work</t>
  </si>
  <si>
    <t>finishing touches</t>
  </si>
  <si>
    <t>intial formulas</t>
  </si>
  <si>
    <t>research formulas</t>
  </si>
  <si>
    <t>if blah blah(" hey you overstaffed, this will get reviewed, you don't have change it if it's right</t>
  </si>
  <si>
    <t>gant chart</t>
  </si>
  <si>
    <t xml:space="preserve">app version </t>
  </si>
  <si>
    <t>can this actually be unlimited override and margin is what the flag is for CRB (yes let's do it)</t>
  </si>
  <si>
    <t>Band</t>
  </si>
  <si>
    <t>Helper Column Concatenated Role Name</t>
  </si>
  <si>
    <t>Helper Concatenated Role Name</t>
  </si>
  <si>
    <t>Total Project Revenue</t>
  </si>
  <si>
    <t>things to add: Client Discount, Contract Line Item, CRB Flag, import fail Flag, any other required fields</t>
  </si>
  <si>
    <t>Please note that client discounts will be reviewed during Financial Eval</t>
  </si>
  <si>
    <r>
      <t xml:space="preserve">FINANCIAL TOTALS - </t>
    </r>
    <r>
      <rPr>
        <i/>
        <sz val="10"/>
        <color theme="1"/>
        <rFont val="Lato Regular"/>
      </rPr>
      <t>This will autopopulate,</t>
    </r>
    <r>
      <rPr>
        <i/>
        <sz val="10"/>
        <color theme="4"/>
        <rFont val="Lato Regular"/>
      </rPr>
      <t xml:space="preserve"> </t>
    </r>
    <r>
      <rPr>
        <i/>
        <sz val="10"/>
        <color theme="1"/>
        <rFont val="Lato Regular"/>
      </rPr>
      <t>fill out expense information on Summary Inputs</t>
    </r>
  </si>
  <si>
    <t>SUMMARY INPUTS</t>
  </si>
  <si>
    <t>Confirming margin and contingency are required. Use the tables below to confirm your project margin, contingency, and any additional inputs you want considered in calculating your total bid.</t>
  </si>
  <si>
    <t>Margin Target</t>
  </si>
  <si>
    <t>Margin Targets are provided by Global Finance.
Resource Margin is calculated based purely off rates and costs for resources entered in the Pricing &amp; Import tab. You can use the tables below to explore how different margin targets will impact total bid. You can also explore different revenue options and their impact on margin. PLEASE NOTE: this bid will not include contingency.</t>
  </si>
  <si>
    <t>MARGIN CONFIRMATION</t>
  </si>
  <si>
    <t>ESTIMATED PROJECT EXPENSES</t>
  </si>
  <si>
    <t>ADDITIONAL PROJECT COMPONENTS (REVENUE GENERATING)</t>
  </si>
  <si>
    <t>OPTIONAL- PROJECT LEVEL ASSUMPTION</t>
  </si>
  <si>
    <t>WORKSTREAM FINANCIAL SUMMARY</t>
  </si>
  <si>
    <t>UPLOAD DESTINATION</t>
  </si>
  <si>
    <t>Contract Line Item</t>
  </si>
  <si>
    <t>FINAL REVIEW</t>
  </si>
  <si>
    <t>SOW CHEAT SHEET</t>
  </si>
  <si>
    <t>PROJECT MANAGEMENT</t>
  </si>
  <si>
    <t>Total Revenue in System</t>
  </si>
  <si>
    <t>Team Size</t>
  </si>
  <si>
    <t>Partner Time (%)</t>
  </si>
  <si>
    <t>Non-Billable Expenses</t>
  </si>
  <si>
    <t>Billable Expenses</t>
  </si>
  <si>
    <t>TOTAL EXPENSES</t>
  </si>
  <si>
    <t>TOTAL COSTS</t>
  </si>
  <si>
    <t>Calculated Resource Revenue</t>
  </si>
  <si>
    <t>MY PROJECT CONTINGENCY</t>
  </si>
  <si>
    <t xml:space="preserve">How to use above tables: you cannot manually override margin without adjusting your resource rates to create a new resource revenue number. If you want to manipulate rates to impact margin, please adjust rates in the custom rate override column of the Pricing &amp; Import tab. </t>
  </si>
  <si>
    <t>Holidays</t>
  </si>
  <si>
    <t>Location</t>
  </si>
  <si>
    <t>Holiday</t>
  </si>
  <si>
    <t>Date</t>
  </si>
  <si>
    <t>Holidays during project*</t>
  </si>
  <si>
    <r>
      <rPr>
        <b/>
        <sz val="11"/>
        <color theme="4"/>
        <rFont val="Lato"/>
        <family val="2"/>
      </rPr>
      <t>Please remove holiday time from your forecast once this RoPE is uploaded into the destination system. Overforecasting revenue due to unaccounted for PTO and Holidays impacts our ability to accurately forecast revenue</t>
    </r>
    <r>
      <rPr>
        <sz val="11"/>
        <color rgb="FF000000"/>
        <rFont val="Lato"/>
        <family val="2"/>
      </rPr>
      <t xml:space="preserve">
</t>
    </r>
    <r>
      <rPr>
        <i/>
        <sz val="11"/>
        <color rgb="FF000000"/>
        <rFont val="Lato"/>
        <family val="2"/>
      </rPr>
      <t>*Holidays are estimated. Until staffing is complete, regional holidays can't be confirmed. For example: if you have a LATAM role, the holidays will differ between a Costa Rica or Colombia team member.</t>
    </r>
  </si>
  <si>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</si>
  <si>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</si>
  <si>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</si>
  <si>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</si>
  <si>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</si>
  <si>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</si>
  <si>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</si>
  <si>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</si>
  <si>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</si>
  <si>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</si>
  <si>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</si>
  <si>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</si>
  <si>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</si>
  <si>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</si>
  <si>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</si>
  <si>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</si>
  <si>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</si>
  <si>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</si>
  <si>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</si>
  <si>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</si>
  <si>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</si>
  <si>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</si>
  <si>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</si>
  <si>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</si>
  <si>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</si>
  <si>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</si>
  <si>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</si>
  <si>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</si>
  <si>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</si>
  <si>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</si>
  <si>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</si>
  <si>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</si>
  <si>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</si>
  <si>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</si>
  <si>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</si>
  <si>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</si>
  <si>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</si>
  <si>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</si>
  <si>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</si>
  <si>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</si>
  <si>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</si>
  <si>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</si>
  <si>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</si>
  <si>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</si>
  <si>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</si>
  <si>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</si>
  <si>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</si>
  <si>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</si>
  <si>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</si>
  <si>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</si>
  <si>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</si>
  <si>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</si>
  <si>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</si>
  <si>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</si>
  <si>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</si>
  <si>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</si>
  <si>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</si>
  <si>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what do we do for start dates mid-week</t>
  </si>
  <si>
    <t>week helper row</t>
  </si>
  <si>
    <t>Monday of Week</t>
  </si>
  <si>
    <t>Total Days Off</t>
  </si>
  <si>
    <t>Estimated Overforecast Revenue*</t>
  </si>
  <si>
    <t>Total Impacted Revenue</t>
  </si>
  <si>
    <t>add layer to check if start date is after holiday</t>
  </si>
  <si>
    <t>CredUS Holiday</t>
  </si>
  <si>
    <t>LATAM Holiday</t>
  </si>
  <si>
    <t>default show just flags, click to expand to see holiday breakdown</t>
  </si>
  <si>
    <t>contractlinedata</t>
  </si>
  <si>
    <t>projectname</t>
  </si>
  <si>
    <t>projectestimatedstartdate</t>
  </si>
  <si>
    <t>billingmethod</t>
  </si>
  <si>
    <t>soworcr</t>
  </si>
  <si>
    <t>crtype</t>
  </si>
  <si>
    <t>sowcrstartdate</t>
  </si>
  <si>
    <t>contract line Name</t>
  </si>
  <si>
    <t>CR Type</t>
  </si>
  <si>
    <t>SOW or CR</t>
  </si>
  <si>
    <t>SOW</t>
  </si>
  <si>
    <t>CR</t>
  </si>
  <si>
    <t>Paid CR</t>
  </si>
  <si>
    <t>Zero $ Feature CR</t>
  </si>
  <si>
    <t>Zero $ Reestimation CR</t>
  </si>
  <si>
    <t>Zero $ Extension CR</t>
  </si>
  <si>
    <t>Zero $ Re-Balance CR</t>
  </si>
  <si>
    <t>Time and Material</t>
  </si>
  <si>
    <t>Fixed Price</t>
  </si>
  <si>
    <t>This is the total bid</t>
  </si>
  <si>
    <t>AEM Implementation Soyum Foods</t>
  </si>
  <si>
    <t>quoteid</t>
  </si>
  <si>
    <t>QUO-01835-V5S3P0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</si>
</sst>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9">
    <numFmt numFmtId="164" formatCode="&quot;$&quot;#,##0_);\(&quot;$&quot;#,##0\)"/>
    <numFmt numFmtId="165" formatCode="&quot;$&quot;#,##0_);[Red]\(&quot;$&quot;#,##0\)"/>
    <numFmt numFmtId="166" formatCode="&quot;$&quot;#,##0.00_);[Red]\(&quot;$&quot;#,##0.00\)"/>
    <numFmt numFmtId="167" formatCode="_(&quot;$&quot;* #,##0.00_);_(&quot;$&quot;* \(#,##0.00\);_(&quot;$&quot;* &quot;-&quot;??_);_(@_)"/>
    <numFmt numFmtId="168" formatCode="_(* #,##0.00_);_(* \(#,##0.00\);_(* &quot;-&quot;??_);_(@_)"/>
    <numFmt numFmtId="169" formatCode="_(&quot;$&quot;* #,##0_);_(&quot;$&quot;* \(#,##0\);_(&quot;$&quot;* &quot;-&quot;??_);_(@_)"/>
    <numFmt numFmtId="170" formatCode="&quot;$&quot;#,##0.00"/>
    <numFmt numFmtId="171" formatCode="0.0"/>
    <numFmt numFmtId="172" formatCode="[$$-409]#,##0.00"/>
    <numFmt numFmtId="173" formatCode="&quot;$&quot;#,##0"/>
    <numFmt numFmtId="174" formatCode="_-[$£-809]* #,##0_-;\-[$£-809]* #,##0_-;_-[$£-809]* &quot;-&quot;??_-;_-@_-"/>
    <numFmt numFmtId="175" formatCode="_([$€-2]\ * #,##0_);_([$€-2]\ * \(#,##0\);_([$€-2]\ * &quot;-&quot;??_);_(@_)"/>
    <numFmt numFmtId="176" formatCode="#,##0.0000"/>
    <numFmt numFmtId="177" formatCode="[$-409]mmm\ dd\,\ yyyy;@"/>
    <numFmt numFmtId="178" formatCode="&quot;$&quot;0.0,,&quot;M&quot;"/>
    <numFmt numFmtId="179" formatCode="&quot;$&quot;#,,&quot;M&quot;"/>
    <numFmt numFmtId="180" formatCode="0.0%"/>
    <numFmt numFmtId="181" formatCode="_(* #,##0_);_(* \(#,##0\);_(* &quot;-&quot;??_);_(@_)"/>
    <numFmt numFmtId="182" formatCode="dd\-mmm\-yyyy"/>
  </numFmts>
  <fonts count="204"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sz val="20"/>
      <name val="Aptos Display"/>
      <family val="2"/>
      <scheme val="major"/>
    </font>
    <font>
      <sz val="14"/>
      <name val="Lato"/>
      <family val="2"/>
    </font>
    <font>
      <sz val="16"/>
      <name val="Lato"/>
      <family val="2"/>
    </font>
    <font>
      <b/>
      <sz val="14"/>
      <name val="Lato"/>
      <family val="2"/>
    </font>
    <font>
      <sz val="14"/>
      <color theme="4"/>
      <name val="Aptos Display"/>
      <family val="2"/>
      <scheme val="major"/>
    </font>
    <font>
      <sz val="11"/>
      <name val="Aptos Narrow"/>
      <family val="2"/>
      <scheme val="minor"/>
    </font>
    <font>
      <sz val="20"/>
      <color theme="1"/>
      <name val="Aptos Display"/>
      <family val="2"/>
      <scheme val="major"/>
    </font>
    <font>
      <b/>
      <sz val="11"/>
      <color theme="1"/>
      <name val="Lato Regular"/>
    </font>
    <font>
      <u/>
      <sz val="11"/>
      <color theme="10"/>
      <name val="Aptos Narrow"/>
      <family val="2"/>
      <scheme val="minor"/>
    </font>
    <font>
      <sz val="11"/>
      <color rgb="FF000000"/>
      <name val="Calibri"/>
      <family val="2"/>
    </font>
    <font>
      <sz val="34"/>
      <color theme="0"/>
      <name val="Lato Regula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0"/>
      <color theme="0" tint="-0.499984740745262"/>
      <name val="Arial"/>
      <family val="2"/>
    </font>
    <font>
      <b/>
      <sz val="10"/>
      <name val="Arial"/>
      <family val="2"/>
    </font>
    <font>
      <sz val="10"/>
      <color theme="1"/>
      <name val="Arial"/>
      <family val="2"/>
    </font>
    <font>
      <b/>
      <sz val="10"/>
      <color rgb="FFC00000"/>
      <name val="Arial"/>
      <family val="2"/>
    </font>
    <font>
      <b/>
      <sz val="10"/>
      <color theme="1"/>
      <name val="Arial"/>
      <family val="2"/>
    </font>
    <font>
      <sz val="12"/>
      <name val="Arial"/>
      <family val="2"/>
    </font>
    <font>
      <sz val="14"/>
      <name val="Arial"/>
      <family val="2"/>
    </font>
    <font>
      <sz val="14"/>
      <color theme="1"/>
      <name val="Arial"/>
      <family val="2"/>
    </font>
    <font>
      <b/>
      <sz val="18"/>
      <color rgb="FFFF0000"/>
      <name val="Arial"/>
      <family val="2"/>
    </font>
    <font>
      <sz val="14"/>
      <color theme="0"/>
      <name val="Arial"/>
      <family val="2"/>
    </font>
    <font>
      <sz val="10"/>
      <color theme="0"/>
      <name val="Arial"/>
      <family val="2"/>
    </font>
    <font>
      <b/>
      <sz val="12"/>
      <name val="Arial"/>
      <family val="2"/>
    </font>
    <font>
      <b/>
      <sz val="14"/>
      <color rgb="FFC00000"/>
      <name val="Arial"/>
      <family val="2"/>
    </font>
    <font>
      <b/>
      <sz val="12"/>
      <color rgb="FFC00000"/>
      <name val="Arial"/>
      <family val="2"/>
    </font>
    <font>
      <b/>
      <sz val="13"/>
      <name val="Aptos Narrow"/>
      <family val="2"/>
      <scheme val="minor"/>
    </font>
    <font>
      <b/>
      <sz val="10"/>
      <color rgb="FF000000"/>
      <name val="Calibri"/>
      <family val="2"/>
    </font>
    <font>
      <b/>
      <sz val="11"/>
      <color rgb="FF000000"/>
      <name val="Calibri"/>
      <family val="2"/>
    </font>
    <font>
      <b/>
      <i/>
      <sz val="8"/>
      <color rgb="FF000000"/>
      <name val="Calibri"/>
      <family val="2"/>
    </font>
    <font>
      <i/>
      <sz val="10"/>
      <color rgb="FF000000"/>
      <name val="Calibri"/>
      <family val="2"/>
    </font>
    <font>
      <i/>
      <sz val="11"/>
      <color rgb="FF000000"/>
      <name val="Calibri"/>
      <family val="2"/>
    </font>
    <font>
      <b/>
      <sz val="11"/>
      <color rgb="FFFFFFFF"/>
      <name val="Calibri"/>
      <family val="2"/>
    </font>
    <font>
      <b/>
      <sz val="11"/>
      <color rgb="FFFF0000"/>
      <name val="Calibri"/>
      <family val="2"/>
    </font>
    <font>
      <sz val="11"/>
      <color rgb="FFFF0000"/>
      <name val="Lato Regular"/>
    </font>
    <font>
      <b/>
      <sz val="11"/>
      <color rgb="FF000000"/>
      <name val="Lato Regular"/>
    </font>
    <font>
      <i/>
      <sz val="11"/>
      <color rgb="FFFF0000"/>
      <name val="Lato Regular"/>
    </font>
    <font>
      <sz val="11"/>
      <color rgb="FFFF0000"/>
      <name val="Aptos Narrow"/>
      <family val="2"/>
      <scheme val="mino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i/>
      <sz val="10"/>
      <color rgb="FFFF0000"/>
      <name val="Lato Regular"/>
    </font>
    <font>
      <i/>
      <sz val="11"/>
      <color rgb="FFFF0000"/>
      <name val="Aptos Narrow"/>
      <family val="2"/>
      <scheme val="minor"/>
    </font>
    <font>
      <sz val="10"/>
      <color rgb="FF000000"/>
      <name val="Lato Regular"/>
    </font>
    <font>
      <b/>
      <sz val="10"/>
      <color rgb="FF000000"/>
      <name val="Lato Regular"/>
    </font>
    <font>
      <b/>
      <i/>
      <sz val="10"/>
      <color rgb="FF000000"/>
      <name val="Lato Regular"/>
    </font>
    <font>
      <b/>
      <sz val="11"/>
      <color rgb="FFFF0000"/>
      <name val="Lato Regular"/>
    </font>
    <font>
      <sz val="11"/>
      <color theme="0"/>
      <name val="Arial"/>
      <family val="2"/>
    </font>
    <font>
      <b/>
      <sz val="13"/>
      <name val="Lato Regular"/>
    </font>
    <font>
      <b/>
      <sz val="18"/>
      <color theme="1"/>
      <name val="Lato Regular"/>
    </font>
    <font>
      <b/>
      <sz val="16"/>
      <color theme="1"/>
      <name val="Lato Regular"/>
    </font>
    <font>
      <b/>
      <i/>
      <sz val="9"/>
      <color theme="1"/>
      <name val="Lato Regular"/>
    </font>
    <font>
      <sz val="9"/>
      <color theme="1"/>
      <name val="Lato Regular"/>
    </font>
    <font>
      <b/>
      <i/>
      <sz val="14"/>
      <color theme="1"/>
      <name val="Lato Regular"/>
    </font>
    <font>
      <b/>
      <sz val="14"/>
      <name val="Lato Regular"/>
    </font>
    <font>
      <b/>
      <sz val="16"/>
      <color rgb="FFFF0000"/>
      <name val="Lato Regular"/>
    </font>
    <font>
      <b/>
      <sz val="11"/>
      <color rgb="FFFF0000"/>
      <name val="Aptos Narrow"/>
      <family val="2"/>
      <scheme val="minor"/>
    </font>
    <font>
      <sz val="10"/>
      <color rgb="FFFF0000"/>
      <name val="Lato Regular"/>
    </font>
    <font>
      <i/>
      <sz val="9"/>
      <color theme="1"/>
      <name val="Lato Regular"/>
    </font>
    <font>
      <i/>
      <sz val="9"/>
      <color rgb="FF000000"/>
      <name val="Lato Regular"/>
    </font>
    <font>
      <sz val="9"/>
      <color rgb="FFFF0000"/>
      <name val="Arial"/>
      <family val="2"/>
    </font>
    <font>
      <sz val="9"/>
      <color rgb="FFFF0000"/>
      <name val="Lato Regular"/>
    </font>
    <font>
      <sz val="9"/>
      <color theme="0"/>
      <name val="Arial"/>
      <family val="2"/>
    </font>
    <font>
      <sz val="9"/>
      <color rgb="FFFF0000"/>
      <name val="Aptos Narrow"/>
      <family val="2"/>
      <scheme val="minor"/>
    </font>
    <font>
      <b/>
      <i/>
      <sz val="11"/>
      <color theme="1"/>
      <name val="Lato Regular"/>
    </font>
    <font>
      <b/>
      <sz val="10"/>
      <color theme="3"/>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6"/>
      <color theme="4"/>
      <name val="Lato Regular"/>
    </font>
    <font>
      <b/>
      <sz val="12"/>
      <color theme="4"/>
      <name val="Lato Regular"/>
    </font>
    <font>
      <sz val="11"/>
      <color theme="4"/>
      <name val="Aptos Narrow"/>
      <family val="2"/>
      <scheme val="minor"/>
    </font>
    <font>
      <b/>
      <sz val="18"/>
      <color theme="4"/>
      <name val="Lato"/>
      <family val="2"/>
    </font>
    <font>
      <sz val="12"/>
      <name val="Lato"/>
      <family val="2"/>
    </font>
    <font>
      <b/>
      <sz val="12"/>
      <name val="Lato"/>
      <family val="2"/>
    </font>
    <font>
      <sz val="10"/>
      <name val="Lato"/>
      <family val="2"/>
    </font>
    <font>
      <sz val="9"/>
      <name val="Lato"/>
      <family val="2"/>
    </font>
    <font>
      <b/>
      <sz val="14"/>
      <color theme="4"/>
      <name val="Lato Regular"/>
    </font>
    <font>
      <sz val="11"/>
      <color rgb="FF215C98"/>
      <name val="Lato Regular"/>
    </font>
    <font>
      <b/>
      <i/>
      <sz val="12"/>
      <color theme="1"/>
      <name val="Lato Regular"/>
    </font>
    <font>
      <i/>
      <sz val="10"/>
      <color theme="1"/>
      <name val="Lato Regular"/>
    </font>
    <font>
      <b/>
      <sz val="14"/>
      <color rgb="FF215C98"/>
      <name val="Lato Regular"/>
    </font>
    <font>
      <b/>
      <sz val="12"/>
      <color rgb="FF215C98"/>
      <name val="Lato Regular"/>
    </font>
    <font>
      <b/>
      <sz val="11"/>
      <color rgb="FFC00000"/>
      <name val="Lato Regular"/>
    </font>
    <font>
      <b/>
      <sz val="11"/>
      <color theme="4"/>
      <name val="Lato Regular"/>
    </font>
    <font>
      <sz val="14"/>
      <color theme="1"/>
      <name val="Lato Regular"/>
    </font>
    <font>
      <sz val="14"/>
      <color theme="1"/>
      <name val="Aptos Narrow"/>
      <family val="2"/>
      <scheme val="minor"/>
    </font>
    <font>
      <sz val="11"/>
      <name val="Lato"/>
      <family val="2"/>
    </font>
    <font>
      <b/>
      <i/>
      <sz val="12"/>
      <name val="Lato"/>
      <family val="2"/>
    </font>
    <font>
      <sz val="12"/>
      <color rgb="FF215C98"/>
      <name val="Lato"/>
      <family val="2"/>
    </font>
    <font>
      <b/>
      <sz val="14"/>
      <color rgb="FF215C98"/>
      <name val="Lato"/>
      <family val="2"/>
    </font>
    <font>
      <b/>
      <sz val="12"/>
      <color rgb="FF215C98"/>
      <name val="Lato"/>
      <family val="2"/>
    </font>
    <font>
      <i/>
      <sz val="11"/>
      <color theme="1"/>
      <name val="Lato"/>
      <family val="2"/>
    </font>
    <font>
      <i/>
      <sz val="11"/>
      <name val="Lato"/>
      <family val="2"/>
    </font>
    <font>
      <b/>
      <sz val="14"/>
      <color theme="1"/>
      <name val="Lato"/>
      <family val="2"/>
    </font>
    <font>
      <i/>
      <sz val="14"/>
      <color theme="1"/>
      <name val="Lato Regular"/>
    </font>
    <font>
      <i/>
      <sz val="14"/>
      <color theme="1"/>
      <name val="Lato"/>
      <family val="2"/>
    </font>
    <font>
      <b/>
      <i/>
      <sz val="11"/>
      <color rgb="FF000000"/>
      <name val="Lato Regular"/>
    </font>
    <font>
      <b/>
      <sz val="11"/>
      <name val="Lato"/>
      <family val="2"/>
    </font>
    <font>
      <sz val="11"/>
      <color rgb="FF000000"/>
      <name val="Aptos Narrow"/>
      <family val="2"/>
      <scheme val="minor"/>
    </font>
    <font>
      <sz val="10"/>
      <color rgb="FF000000"/>
      <name val="Tahoma"/>
      <family val="2"/>
    </font>
    <font>
      <b/>
      <sz val="10"/>
      <color rgb="FF000000"/>
      <name val="Tahoma"/>
      <family val="2"/>
    </font>
    <font>
      <i/>
      <sz val="11"/>
      <color theme="3"/>
      <name val="Lato Regular"/>
    </font>
    <font>
      <i/>
      <sz val="11"/>
      <color rgb="FF000000"/>
      <name val="Lato Regular"/>
    </font>
    <font>
      <b/>
      <sz val="11"/>
      <color theme="1"/>
      <name val="Lato"/>
      <family val="2"/>
    </font>
    <font>
      <b/>
      <i/>
      <sz val="12"/>
      <color theme="1"/>
      <name val="Aptos Narrow"/>
      <family val="2"/>
      <scheme val="minor"/>
    </font>
    <font>
      <b/>
      <i/>
      <sz val="11"/>
      <color rgb="FFFF0000"/>
      <name val="Lato Regular"/>
    </font>
    <font>
      <i/>
      <sz val="12"/>
      <name val="Lato"/>
      <family val="2"/>
    </font>
    <font>
      <i/>
      <sz val="12"/>
      <color theme="1"/>
      <name val="Lato"/>
      <family val="2"/>
    </font>
    <font>
      <b/>
      <i/>
      <sz val="12"/>
      <color rgb="FF215C98"/>
      <name val="Lato"/>
      <family val="2"/>
    </font>
    <font>
      <b/>
      <sz val="14"/>
      <color theme="3"/>
      <name val="Lato Regular"/>
    </font>
    <font>
      <b/>
      <sz val="12"/>
      <color rgb="FF000000"/>
      <name val="Lato"/>
      <family val="2"/>
    </font>
    <font>
      <sz val="12"/>
      <color rgb="FF000000"/>
      <name val="Lato"/>
      <family val="2"/>
    </font>
    <font>
      <i/>
      <sz val="12"/>
      <color rgb="FF000000"/>
      <name val="Lato"/>
      <family val="2"/>
    </font>
    <font>
      <i/>
      <sz val="11"/>
      <color rgb="FF000000"/>
      <name val="Lato"/>
      <family val="2"/>
    </font>
    <font>
      <sz val="14"/>
      <color rgb="FF000000"/>
      <name val="Lato"/>
      <family val="2"/>
    </font>
    <font>
      <b/>
      <sz val="14"/>
      <color rgb="FF156082"/>
      <name val="Lato"/>
      <family val="2"/>
    </font>
    <font>
      <b/>
      <i/>
      <sz val="12"/>
      <color rgb="FF000000"/>
      <name val="Lato"/>
      <family val="2"/>
    </font>
    <font>
      <b/>
      <i/>
      <sz val="11"/>
      <color rgb="FF215C98"/>
      <name val="Lato"/>
      <family val="2"/>
    </font>
    <font>
      <b/>
      <sz val="18"/>
      <color rgb="FF000000"/>
      <name val="Lato Regular"/>
    </font>
    <font>
      <b/>
      <sz val="10"/>
      <name val="Lato"/>
      <family val="2"/>
    </font>
    <font>
      <b/>
      <i/>
      <sz val="10"/>
      <name val="Lato"/>
      <family val="2"/>
    </font>
    <font>
      <sz val="10"/>
      <color rgb="FF215C98"/>
      <name val="Lato"/>
      <family val="2"/>
    </font>
    <font>
      <i/>
      <sz val="12"/>
      <color theme="1"/>
      <name val="Lato Regular"/>
    </font>
    <font>
      <sz val="14"/>
      <color rgb="FF215C98"/>
      <name val="Lato Regular"/>
    </font>
    <font>
      <sz val="11"/>
      <color theme="1"/>
      <name val="Aptos Narrow"/>
      <family val="2"/>
      <scheme val="minor"/>
    </font>
    <font>
      <b/>
      <sz val="11"/>
      <color theme="1"/>
      <name val="Aptos Narrow"/>
      <family val="2"/>
      <scheme val="minor"/>
    </font>
    <font>
      <sz val="8"/>
      <name val="Tahoma"/>
      <family val="2"/>
    </font>
    <font>
      <sz val="8"/>
      <color rgb="FF000000"/>
      <name val="Tahoma"/>
      <family val="2"/>
    </font>
    <font>
      <b/>
      <sz val="12"/>
      <color rgb="FF000000"/>
      <name val="Lato Regular"/>
    </font>
    <font>
      <i/>
      <sz val="8"/>
      <color rgb="FF000000"/>
      <name val="Lato Regular"/>
    </font>
    <font>
      <i/>
      <sz val="10"/>
      <color theme="4"/>
      <name val="Lato Regular"/>
    </font>
    <font>
      <sz val="11"/>
      <color rgb="FFC00000"/>
      <name val="Lato Regular"/>
    </font>
    <font>
      <sz val="8"/>
      <color rgb="FF000000"/>
      <name val="Tahoma"/>
      <family val="2"/>
    </font>
    <font>
      <b/>
      <sz val="11"/>
      <color rgb="FF215C98"/>
      <name val="Lato Regular"/>
    </font>
    <font>
      <b/>
      <sz val="11"/>
      <color theme="0"/>
      <name val="Lato Regular"/>
    </font>
    <font>
      <b/>
      <sz val="11"/>
      <color theme="0" tint="-0.499984740745262"/>
      <name val="Lato Regular"/>
    </font>
    <font>
      <b/>
      <sz val="11"/>
      <color rgb="FF3A3A3A"/>
      <name val="Lato Regular"/>
    </font>
    <font>
      <sz val="11"/>
      <color rgb="FF3A3A3A"/>
      <name val="Lato Regular"/>
    </font>
    <font>
      <sz val="10"/>
      <color theme="5"/>
      <name val="Lato Regular"/>
    </font>
    <font>
      <sz val="10"/>
      <color rgb="FF3A3A3A"/>
      <name val="Lato Regular"/>
    </font>
    <font>
      <sz val="9"/>
      <color indexed="81"/>
      <name val="Tahoma"/>
      <family val="2"/>
    </font>
    <font>
      <b/>
      <sz val="9"/>
      <color indexed="81"/>
      <name val="Tahoma"/>
      <family val="2"/>
    </font>
    <font>
      <b/>
      <sz val="22"/>
      <color theme="1"/>
      <name val="Arial"/>
      <family val="2"/>
    </font>
    <font>
      <b/>
      <sz val="14"/>
      <color theme="0"/>
      <name val="Arial"/>
      <family val="2"/>
    </font>
    <font>
      <u/>
      <sz val="14"/>
      <color theme="10"/>
      <name val="Arial"/>
      <family val="2"/>
    </font>
    <font>
      <b/>
      <sz val="14"/>
      <name val="Arial"/>
      <family val="2"/>
    </font>
    <font>
      <b/>
      <sz val="10"/>
      <color theme="0"/>
      <name val="Arial"/>
      <family val="2"/>
    </font>
    <font>
      <b/>
      <sz val="12"/>
      <color theme="1"/>
      <name val="Arial"/>
      <family val="2"/>
    </font>
    <font>
      <b/>
      <u/>
      <sz val="12"/>
      <color theme="1"/>
      <name val="Arial"/>
      <family val="2"/>
    </font>
    <font>
      <b/>
      <sz val="10"/>
      <color rgb="FFFF0000"/>
      <name val="Arial"/>
      <family val="2"/>
    </font>
    <font>
      <b/>
      <i/>
      <sz val="10"/>
      <color theme="1"/>
      <name val="Arial"/>
      <family val="2"/>
    </font>
    <font>
      <b/>
      <i/>
      <sz val="8"/>
      <color theme="1"/>
      <name val="Arial"/>
      <family val="2"/>
    </font>
    <font>
      <b/>
      <i/>
      <sz val="10"/>
      <name val="Arial"/>
      <family val="2"/>
    </font>
    <font>
      <b/>
      <i/>
      <sz val="8"/>
      <name val="Arial"/>
      <family val="2"/>
    </font>
    <font>
      <b/>
      <sz val="8"/>
      <color theme="0"/>
      <name val="Arial"/>
      <family val="2"/>
    </font>
    <font>
      <b/>
      <sz val="4"/>
      <color theme="0"/>
      <name val="Arial"/>
      <family val="2"/>
    </font>
    <font>
      <sz val="18"/>
      <color theme="1"/>
      <name val="Arial"/>
      <family val="2"/>
    </font>
    <font>
      <sz val="18"/>
      <name val="Arial"/>
      <family val="2"/>
    </font>
    <font>
      <sz val="11"/>
      <color theme="1"/>
      <name val="Lato"/>
      <family val="2"/>
    </font>
    <font>
      <sz val="16"/>
      <color theme="1"/>
      <name val="Lato"/>
      <family val="2"/>
    </font>
    <font>
      <sz val="12"/>
      <color theme="1"/>
      <name val="Lato"/>
      <family val="2"/>
    </font>
    <font>
      <sz val="20"/>
      <color theme="1"/>
      <name val="Lato"/>
      <family val="2"/>
    </font>
    <font>
      <b/>
      <sz val="18"/>
      <color theme="4" tint="-0.249977111117893"/>
      <name val="Lato"/>
      <family val="2"/>
    </font>
    <font>
      <sz val="14"/>
      <color rgb="FF000000"/>
      <name val="Lato Regular"/>
    </font>
    <font>
      <sz val="12"/>
      <color rgb="FF000000"/>
      <name val="Lato Regular"/>
    </font>
    <font>
      <sz val="11"/>
      <color rgb="FF000000"/>
      <name val="Lato"/>
      <family val="2"/>
    </font>
    <font>
      <b/>
      <sz val="11"/>
      <color theme="4"/>
      <name val="Lato"/>
      <family val="2"/>
    </font>
    <font>
      <sz val="12"/>
      <color rgb="FF000000"/>
      <name val="Aptos"/>
      <family val="2"/>
    </font>
  </fonts>
  <fills count="47">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rgb="FFF2EBDA"/>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rgb="FFFFFFFF"/>
        <bgColor rgb="FF000000"/>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6"/>
        <bgColor indexed="64"/>
      </patternFill>
    </fill>
    <fill>
      <patternFill patternType="solid">
        <fgColor theme="5"/>
        <bgColor indexed="64"/>
      </patternFill>
    </fill>
    <fill>
      <patternFill patternType="solid">
        <fgColor theme="3"/>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s>
  <borders count="32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theme="0" tint="-0.14999847407452621"/>
      </left>
      <right/>
      <top/>
      <bottom style="thin">
        <color theme="0" tint="-0.14999847407452621"/>
      </bottom>
      <diagonal/>
    </border>
    <border>
      <left/>
      <right/>
      <top/>
      <bottom style="thin">
        <color theme="0" tint="-0.14999847407452621"/>
      </bottom>
      <diagonal/>
    </border>
    <border>
      <left/>
      <right style="medium">
        <color theme="0" tint="-0.14999847407452621"/>
      </right>
      <top/>
      <bottom style="thin">
        <color theme="0" tint="-0.14999847407452621"/>
      </bottom>
      <diagonal/>
    </border>
    <border>
      <left style="thin">
        <color indexed="64"/>
      </left>
      <right style="thin">
        <color indexed="64"/>
      </right>
      <top style="thin">
        <color indexed="64"/>
      </top>
      <bottom style="double">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bottom style="double">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thin">
        <color indexed="64"/>
      </left>
      <right style="thin">
        <color indexed="64"/>
      </right>
      <top style="thin">
        <color indexed="64"/>
      </top>
      <bottom style="double">
        <color theme="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medium">
        <color theme="1"/>
      </left>
      <right style="medium">
        <color theme="1"/>
      </right>
      <top style="medium">
        <color theme="1"/>
      </top>
      <bottom style="medium">
        <color theme="1"/>
      </bottom>
      <diagonal/>
    </border>
    <border>
      <left style="medium">
        <color theme="1"/>
      </left>
      <right style="thin">
        <color indexed="64"/>
      </right>
      <top/>
      <bottom style="thin">
        <color indexed="64"/>
      </bottom>
      <diagonal/>
    </border>
    <border>
      <left style="thin">
        <color indexed="64"/>
      </left>
      <right style="medium">
        <color theme="1"/>
      </right>
      <top/>
      <bottom style="thin">
        <color indexed="64"/>
      </bottom>
      <diagonal/>
    </border>
    <border>
      <left style="medium">
        <color theme="1"/>
      </left>
      <right style="thin">
        <color indexed="64"/>
      </right>
      <top style="thin">
        <color indexed="64"/>
      </top>
      <bottom style="thin">
        <color indexed="64"/>
      </bottom>
      <diagonal/>
    </border>
    <border>
      <left style="thin">
        <color indexed="64"/>
      </left>
      <right style="medium">
        <color theme="1"/>
      </right>
      <top style="thin">
        <color indexed="64"/>
      </top>
      <bottom style="thin">
        <color indexed="64"/>
      </bottom>
      <diagonal/>
    </border>
    <border>
      <left style="medium">
        <color theme="1"/>
      </left>
      <right style="thin">
        <color indexed="64"/>
      </right>
      <top style="thin">
        <color indexed="64"/>
      </top>
      <bottom style="medium">
        <color theme="1"/>
      </bottom>
      <diagonal/>
    </border>
    <border>
      <left style="thin">
        <color indexed="64"/>
      </left>
      <right style="medium">
        <color theme="1"/>
      </right>
      <top style="thin">
        <color indexed="64"/>
      </top>
      <bottom style="medium">
        <color theme="1"/>
      </bottom>
      <diagonal/>
    </border>
    <border>
      <left style="thin">
        <color theme="1"/>
      </left>
      <right style="thin">
        <color theme="1"/>
      </right>
      <top style="thin">
        <color theme="1"/>
      </top>
      <bottom style="thin">
        <color theme="1"/>
      </bottom>
      <diagonal/>
    </border>
    <border>
      <left style="medium">
        <color theme="1"/>
      </left>
      <right style="thin">
        <color theme="1"/>
      </right>
      <top style="thin">
        <color theme="1"/>
      </top>
      <bottom style="thin">
        <color theme="1"/>
      </bottom>
      <diagonal/>
    </border>
    <border>
      <left/>
      <right/>
      <top/>
      <bottom style="medium">
        <color theme="1"/>
      </bottom>
      <diagonal/>
    </border>
    <border>
      <left style="medium">
        <color theme="1"/>
      </left>
      <right/>
      <top/>
      <bottom/>
      <diagonal/>
    </border>
    <border>
      <left style="medium">
        <color theme="1"/>
      </left>
      <right/>
      <top/>
      <bottom style="thin">
        <color theme="1"/>
      </bottom>
      <diagonal/>
    </border>
    <border>
      <left/>
      <right style="medium">
        <color indexed="64"/>
      </right>
      <top/>
      <bottom style="double">
        <color indexed="64"/>
      </bottom>
      <diagonal/>
    </border>
    <border>
      <left style="thin">
        <color indexed="64"/>
      </left>
      <right style="medium">
        <color theme="1"/>
      </right>
      <top style="medium">
        <color theme="1"/>
      </top>
      <bottom style="thin">
        <color indexed="64"/>
      </bottom>
      <diagonal/>
    </border>
    <border>
      <left/>
      <right style="medium">
        <color theme="1"/>
      </right>
      <top/>
      <bottom/>
      <diagonal/>
    </border>
    <border>
      <left/>
      <right style="medium">
        <color theme="1"/>
      </right>
      <top style="thin">
        <color indexed="64"/>
      </top>
      <bottom style="medium">
        <color theme="1"/>
      </bottom>
      <diagonal/>
    </border>
    <border>
      <left style="medium">
        <color indexed="64"/>
      </left>
      <right style="medium">
        <color indexed="64"/>
      </right>
      <top/>
      <bottom style="double">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style="medium">
        <color indexed="64"/>
      </left>
      <right style="thin">
        <color theme="1"/>
      </right>
      <top style="thin">
        <color theme="1"/>
      </top>
      <bottom style="thin">
        <color theme="1"/>
      </bottom>
      <diagonal/>
    </border>
    <border>
      <left style="medium">
        <color indexed="64"/>
      </left>
      <right style="thin">
        <color theme="1"/>
      </right>
      <top style="thin">
        <color theme="1"/>
      </top>
      <bottom style="medium">
        <color indexed="64"/>
      </bottom>
      <diagonal/>
    </border>
    <border>
      <left style="thin">
        <color theme="1"/>
      </left>
      <right style="thin">
        <color theme="1"/>
      </right>
      <top style="thin">
        <color theme="1"/>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theme="1"/>
      </left>
      <right/>
      <top style="thin">
        <color theme="1"/>
      </top>
      <bottom style="thin">
        <color theme="1"/>
      </bottom>
      <diagonal/>
    </border>
    <border>
      <left style="medium">
        <color theme="1"/>
      </left>
      <right style="thin">
        <color indexed="64"/>
      </right>
      <top style="thin">
        <color indexed="64"/>
      </top>
      <bottom/>
      <diagonal/>
    </border>
    <border>
      <left/>
      <right/>
      <top style="thin">
        <color indexed="64"/>
      </top>
      <bottom style="medium">
        <color theme="1"/>
      </bottom>
      <diagonal/>
    </border>
    <border>
      <left style="medium">
        <color theme="1"/>
      </left>
      <right style="thin">
        <color indexed="64"/>
      </right>
      <top style="medium">
        <color theme="1"/>
      </top>
      <bottom style="medium">
        <color indexed="64"/>
      </bottom>
      <diagonal/>
    </border>
    <border>
      <left style="thin">
        <color indexed="64"/>
      </left>
      <right style="thin">
        <color indexed="64"/>
      </right>
      <top style="medium">
        <color theme="1"/>
      </top>
      <bottom style="medium">
        <color indexed="64"/>
      </bottom>
      <diagonal/>
    </border>
    <border>
      <left style="thin">
        <color indexed="64"/>
      </left>
      <right style="medium">
        <color theme="1"/>
      </right>
      <top style="medium">
        <color theme="1"/>
      </top>
      <bottom style="medium">
        <color indexed="64"/>
      </bottom>
      <diagonal/>
    </border>
    <border>
      <left style="medium">
        <color theme="1"/>
      </left>
      <right/>
      <top/>
      <bottom style="thin">
        <color indexed="64"/>
      </bottom>
      <diagonal/>
    </border>
    <border>
      <left style="medium">
        <color theme="1"/>
      </left>
      <right/>
      <top style="thin">
        <color indexed="64"/>
      </top>
      <bottom style="thin">
        <color indexed="64"/>
      </bottom>
      <diagonal/>
    </border>
    <border>
      <left style="medium">
        <color theme="1"/>
      </left>
      <right/>
      <top/>
      <bottom style="medium">
        <color theme="1"/>
      </bottom>
      <diagonal/>
    </border>
    <border>
      <left style="medium">
        <color theme="1"/>
      </left>
      <right style="thin">
        <color indexed="64"/>
      </right>
      <top/>
      <bottom/>
      <diagonal/>
    </border>
    <border>
      <left style="medium">
        <color theme="1"/>
      </left>
      <right style="thin">
        <color indexed="64"/>
      </right>
      <top/>
      <bottom style="medium">
        <color theme="1"/>
      </bottom>
      <diagonal/>
    </border>
    <border>
      <left style="medium">
        <color theme="1"/>
      </left>
      <right/>
      <top style="medium">
        <color theme="1"/>
      </top>
      <bottom style="medium">
        <color indexed="64"/>
      </bottom>
      <diagonal/>
    </border>
    <border>
      <left/>
      <right style="medium">
        <color theme="1"/>
      </right>
      <top style="medium">
        <color theme="1"/>
      </top>
      <bottom style="medium">
        <color indexed="64"/>
      </bottom>
      <diagonal/>
    </border>
    <border>
      <left style="thin">
        <color indexed="64"/>
      </left>
      <right style="thin">
        <color indexed="64"/>
      </right>
      <top style="thin">
        <color indexed="64"/>
      </top>
      <bottom style="medium">
        <color theme="1"/>
      </bottom>
      <diagonal/>
    </border>
    <border>
      <left style="medium">
        <color theme="1"/>
      </left>
      <right/>
      <top style="medium">
        <color theme="1"/>
      </top>
      <bottom/>
      <diagonal/>
    </border>
    <border>
      <left/>
      <right/>
      <top style="medium">
        <color theme="1"/>
      </top>
      <bottom/>
      <diagonal/>
    </border>
    <border>
      <left style="medium">
        <color theme="1"/>
      </left>
      <right style="thin">
        <color indexed="64"/>
      </right>
      <top style="medium">
        <color theme="1"/>
      </top>
      <bottom style="thin">
        <color indexed="64"/>
      </bottom>
      <diagonal/>
    </border>
    <border>
      <left/>
      <right/>
      <top/>
      <bottom style="thin">
        <color theme="2" tint="-9.9978637043366805E-2"/>
      </bottom>
      <diagonal/>
    </border>
    <border>
      <left/>
      <right/>
      <top style="thin">
        <color theme="2" tint="-9.9978637043366805E-2"/>
      </top>
      <bottom style="thin">
        <color theme="2" tint="-9.9978637043366805E-2"/>
      </bottom>
      <diagonal/>
    </border>
    <border>
      <left/>
      <right/>
      <top style="thin">
        <color theme="2" tint="-9.9978637043366805E-2"/>
      </top>
      <bottom/>
      <diagonal/>
    </border>
    <border>
      <left style="medium">
        <color theme="1"/>
      </left>
      <right style="medium">
        <color theme="1"/>
      </right>
      <top style="medium">
        <color theme="1"/>
      </top>
      <bottom/>
      <diagonal/>
    </border>
    <border>
      <left/>
      <right style="medium">
        <color theme="1"/>
      </right>
      <top style="medium">
        <color theme="1"/>
      </top>
      <bottom style="medium">
        <color theme="1"/>
      </bottom>
      <diagonal/>
    </border>
    <border>
      <left style="medium">
        <color theme="1"/>
      </left>
      <right/>
      <top style="thin">
        <color theme="1"/>
      </top>
      <bottom style="medium">
        <color theme="1"/>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bottom style="thin">
        <color theme="1"/>
      </bottom>
      <diagonal/>
    </border>
    <border>
      <left style="medium">
        <color indexed="64"/>
      </left>
      <right/>
      <top style="thin">
        <color theme="1"/>
      </top>
      <bottom style="thin">
        <color theme="1"/>
      </bottom>
      <diagonal/>
    </border>
    <border>
      <left style="medium">
        <color indexed="64"/>
      </left>
      <right/>
      <top style="medium">
        <color indexed="64"/>
      </top>
      <bottom style="double">
        <color theme="1"/>
      </bottom>
      <diagonal/>
    </border>
    <border>
      <left/>
      <right style="medium">
        <color indexed="64"/>
      </right>
      <top style="medium">
        <color indexed="64"/>
      </top>
      <bottom style="double">
        <color theme="1"/>
      </bottom>
      <diagonal/>
    </border>
    <border>
      <left style="medium">
        <color theme="1"/>
      </left>
      <right style="thin">
        <color theme="1"/>
      </right>
      <top/>
      <bottom style="thin">
        <color theme="1"/>
      </bottom>
      <diagonal/>
    </border>
    <border>
      <left/>
      <right style="medium">
        <color theme="1"/>
      </right>
      <top/>
      <bottom style="thin">
        <color indexed="64"/>
      </bottom>
      <diagonal/>
    </border>
    <border>
      <left/>
      <right style="medium">
        <color theme="1"/>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theme="1"/>
      </right>
      <top style="thin">
        <color indexed="64"/>
      </top>
      <bottom/>
      <diagonal/>
    </border>
    <border>
      <left style="medium">
        <color indexed="64"/>
      </left>
      <right style="medium">
        <color indexed="64"/>
      </right>
      <top style="medium">
        <color indexed="64"/>
      </top>
      <bottom style="thin">
        <color theme="1"/>
      </bottom>
      <diagonal/>
    </border>
    <border>
      <left style="medium">
        <color indexed="64"/>
      </left>
      <right style="medium">
        <color indexed="64"/>
      </right>
      <top/>
      <bottom style="thin">
        <color theme="1"/>
      </bottom>
      <diagonal/>
    </border>
    <border>
      <left style="medium">
        <color indexed="64"/>
      </left>
      <right style="medium">
        <color indexed="64"/>
      </right>
      <top style="thin">
        <color theme="1"/>
      </top>
      <bottom style="medium">
        <color indexed="64"/>
      </bottom>
      <diagonal/>
    </border>
    <border>
      <left style="thin">
        <color theme="1"/>
      </left>
      <right style="thin">
        <color theme="1"/>
      </right>
      <top/>
      <bottom/>
      <diagonal/>
    </border>
    <border>
      <left/>
      <right style="medium">
        <color indexed="64"/>
      </right>
      <top style="thin">
        <color indexed="64"/>
      </top>
      <bottom style="double">
        <color indexed="64"/>
      </bottom>
      <diagonal/>
    </border>
    <border>
      <left style="medium">
        <color theme="1"/>
      </left>
      <right style="thin">
        <color indexed="64"/>
      </right>
      <top style="medium">
        <color theme="1"/>
      </top>
      <bottom style="double">
        <color indexed="64"/>
      </bottom>
      <diagonal/>
    </border>
    <border>
      <left style="thin">
        <color indexed="64"/>
      </left>
      <right style="medium">
        <color theme="1"/>
      </right>
      <top style="medium">
        <color theme="1"/>
      </top>
      <bottom style="double">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theme="1"/>
      </left>
      <right/>
      <top style="medium">
        <color theme="1"/>
      </top>
      <bottom style="double">
        <color theme="1"/>
      </bottom>
      <diagonal/>
    </border>
    <border>
      <left/>
      <right/>
      <top style="medium">
        <color theme="1"/>
      </top>
      <bottom style="double">
        <color theme="1"/>
      </bottom>
      <diagonal/>
    </border>
    <border>
      <left/>
      <right style="medium">
        <color theme="1"/>
      </right>
      <top style="medium">
        <color theme="1"/>
      </top>
      <bottom style="double">
        <color theme="1"/>
      </bottom>
      <diagonal/>
    </border>
    <border>
      <left style="medium">
        <color theme="1"/>
      </left>
      <right style="thin">
        <color theme="1"/>
      </right>
      <top/>
      <bottom/>
      <diagonal/>
    </border>
    <border>
      <left style="thin">
        <color theme="1"/>
      </left>
      <right style="medium">
        <color theme="1"/>
      </right>
      <top/>
      <bottom/>
      <diagonal/>
    </border>
    <border>
      <left style="thin">
        <color theme="1"/>
      </left>
      <right style="thin">
        <color theme="1"/>
      </right>
      <top style="medium">
        <color theme="1"/>
      </top>
      <bottom style="medium">
        <color theme="1"/>
      </bottom>
      <diagonal/>
    </border>
    <border>
      <left style="thin">
        <color theme="1"/>
      </left>
      <right style="thin">
        <color theme="1"/>
      </right>
      <top/>
      <bottom style="medium">
        <color theme="1"/>
      </bottom>
      <diagonal/>
    </border>
    <border>
      <left style="thin">
        <color theme="1"/>
      </left>
      <right style="medium">
        <color theme="1"/>
      </right>
      <top/>
      <bottom style="medium">
        <color theme="1"/>
      </bottom>
      <diagonal/>
    </border>
    <border>
      <left style="thin">
        <color theme="1"/>
      </left>
      <right/>
      <top style="double">
        <color theme="1"/>
      </top>
      <bottom style="medium">
        <color theme="1"/>
      </bottom>
      <diagonal/>
    </border>
    <border>
      <left/>
      <right/>
      <top style="medium">
        <color indexed="64"/>
      </top>
      <bottom style="double">
        <color theme="1"/>
      </bottom>
      <diagonal/>
    </border>
    <border>
      <left/>
      <right style="medium">
        <color theme="1"/>
      </right>
      <top/>
      <bottom style="medium">
        <color theme="1"/>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theme="1"/>
      </left>
      <right style="thin">
        <color indexed="64"/>
      </right>
      <top style="thin">
        <color theme="1"/>
      </top>
      <bottom style="thin">
        <color theme="1"/>
      </bottom>
      <diagonal/>
    </border>
    <border>
      <left style="thin">
        <color indexed="64"/>
      </left>
      <right style="medium">
        <color theme="1"/>
      </right>
      <top style="thin">
        <color indexed="64"/>
      </top>
      <bottom style="thin">
        <color theme="1"/>
      </bottom>
      <diagonal/>
    </border>
    <border>
      <left style="thin">
        <color theme="1"/>
      </left>
      <right style="medium">
        <color theme="1"/>
      </right>
      <top style="thin">
        <color theme="1"/>
      </top>
      <bottom style="medium">
        <color theme="1"/>
      </bottom>
      <diagonal/>
    </border>
    <border>
      <left/>
      <right style="thin">
        <color indexed="64"/>
      </right>
      <top/>
      <bottom style="medium">
        <color indexed="64"/>
      </bottom>
      <diagonal/>
    </border>
    <border>
      <left style="medium">
        <color theme="1"/>
      </left>
      <right/>
      <top/>
      <bottom style="medium">
        <color indexed="64"/>
      </bottom>
      <diagonal/>
    </border>
    <border>
      <left/>
      <right style="medium">
        <color theme="1"/>
      </right>
      <top/>
      <bottom style="medium">
        <color indexed="64"/>
      </bottom>
      <diagonal/>
    </border>
    <border>
      <left style="medium">
        <color theme="1"/>
      </left>
      <right style="thin">
        <color theme="1"/>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top/>
      <bottom/>
      <diagonal/>
    </border>
    <border>
      <left style="thin">
        <color theme="2" tint="-9.9978637043366805E-2"/>
      </left>
      <right/>
      <top style="thin">
        <color theme="2" tint="-9.9978637043366805E-2"/>
      </top>
      <bottom/>
      <diagonal/>
    </border>
    <border>
      <left style="thin">
        <color theme="2" tint="-9.9978637043366805E-2"/>
      </left>
      <right/>
      <top/>
      <bottom style="thin">
        <color theme="2" tint="-9.9978637043366805E-2"/>
      </bottom>
      <diagonal/>
    </border>
    <border>
      <left style="thin">
        <color theme="2" tint="-9.9978637043366805E-2"/>
      </left>
      <right/>
      <top style="thin">
        <color theme="2" tint="-9.9978637043366805E-2"/>
      </top>
      <bottom style="thin">
        <color theme="2" tint="-9.9978637043366805E-2"/>
      </bottom>
      <diagonal/>
    </border>
    <border>
      <left/>
      <right style="thin">
        <color theme="2" tint="-9.9978637043366805E-2"/>
      </right>
      <top/>
      <bottom/>
      <diagonal/>
    </border>
    <border>
      <left/>
      <right style="thin">
        <color theme="2" tint="-9.9978637043366805E-2"/>
      </right>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diagonal/>
    </border>
    <border>
      <left style="thin">
        <color theme="2" tint="-9.9978637043366805E-2"/>
      </left>
      <right/>
      <top style="thin">
        <color theme="2" tint="-9.9978637043366805E-2"/>
      </top>
      <bottom style="double">
        <color theme="2" tint="-9.9978637043366805E-2"/>
      </bottom>
      <diagonal/>
    </border>
    <border>
      <left/>
      <right/>
      <top style="thin">
        <color theme="2" tint="-9.9978637043366805E-2"/>
      </top>
      <bottom style="double">
        <color theme="2" tint="-9.9978637043366805E-2"/>
      </bottom>
      <diagonal/>
    </border>
    <border>
      <left/>
      <right style="thin">
        <color theme="2" tint="-9.9978637043366805E-2"/>
      </right>
      <top style="thin">
        <color theme="2" tint="-9.9978637043366805E-2"/>
      </top>
      <bottom style="double">
        <color theme="2" tint="-9.9978637043366805E-2"/>
      </bottom>
      <diagonal/>
    </border>
    <border>
      <left style="thin">
        <color theme="2" tint="-9.9978637043366805E-2"/>
      </left>
      <right style="thin">
        <color theme="2" tint="-9.9978637043366805E-2"/>
      </right>
      <top/>
      <bottom style="thin">
        <color theme="2" tint="-9.9978637043366805E-2"/>
      </bottom>
      <diagonal/>
    </border>
    <border>
      <left style="medium">
        <color theme="1"/>
      </left>
      <right/>
      <top style="medium">
        <color theme="1"/>
      </top>
      <bottom style="medium">
        <color theme="1"/>
      </bottom>
      <diagonal/>
    </border>
    <border>
      <left/>
      <right style="thin">
        <color indexed="64"/>
      </right>
      <top style="medium">
        <color theme="1"/>
      </top>
      <bottom/>
      <diagonal/>
    </border>
    <border>
      <left/>
      <right/>
      <top style="medium">
        <color theme="1"/>
      </top>
      <bottom style="medium">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medium">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thin">
        <color indexed="64"/>
      </right>
      <top style="double">
        <color theme="1"/>
      </top>
      <bottom style="medium">
        <color indexed="64"/>
      </bottom>
      <diagonal/>
    </border>
    <border>
      <left style="thin">
        <color theme="2"/>
      </left>
      <right style="thin">
        <color theme="2"/>
      </right>
      <top style="thin">
        <color theme="2"/>
      </top>
      <bottom style="thin">
        <color theme="2"/>
      </bottom>
      <diagonal/>
    </border>
    <border>
      <left style="medium">
        <color theme="1"/>
      </left>
      <right style="medium">
        <color indexed="64"/>
      </right>
      <top style="thin">
        <color indexed="64"/>
      </top>
      <bottom style="thin">
        <color indexed="64"/>
      </bottom>
      <diagonal/>
    </border>
    <border>
      <left style="medium">
        <color indexed="64"/>
      </left>
      <right style="thin">
        <color indexed="64"/>
      </right>
      <top style="thin">
        <color indexed="64"/>
      </top>
      <bottom style="thin">
        <color theme="1"/>
      </bottom>
      <diagonal/>
    </border>
    <border>
      <left style="medium">
        <color theme="1"/>
      </left>
      <right style="thin">
        <color indexed="64"/>
      </right>
      <top style="medium">
        <color theme="1"/>
      </top>
      <bottom style="thin">
        <color theme="1"/>
      </bottom>
      <diagonal/>
    </border>
    <border>
      <left style="medium">
        <color indexed="64"/>
      </left>
      <right style="thin">
        <color indexed="64"/>
      </right>
      <top style="medium">
        <color theme="1"/>
      </top>
      <bottom style="thin">
        <color theme="1"/>
      </bottom>
      <diagonal/>
    </border>
    <border>
      <left style="thin">
        <color indexed="64"/>
      </left>
      <right style="medium">
        <color theme="1"/>
      </right>
      <top style="medium">
        <color theme="1"/>
      </top>
      <bottom style="thin">
        <color theme="1"/>
      </bottom>
      <diagonal/>
    </border>
    <border>
      <left style="medium">
        <color theme="1"/>
      </left>
      <right style="medium">
        <color indexed="64"/>
      </right>
      <top/>
      <bottom/>
      <diagonal/>
    </border>
    <border>
      <left style="medium">
        <color theme="1"/>
      </left>
      <right style="medium">
        <color indexed="64"/>
      </right>
      <top/>
      <bottom style="medium">
        <color theme="1"/>
      </bottom>
      <diagonal/>
    </border>
    <border>
      <left style="medium">
        <color indexed="64"/>
      </left>
      <right style="thin">
        <color indexed="64"/>
      </right>
      <top style="thin">
        <color indexed="64"/>
      </top>
      <bottom style="medium">
        <color theme="1"/>
      </bottom>
      <diagonal/>
    </border>
    <border>
      <left style="medium">
        <color theme="1"/>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double">
        <color indexed="64"/>
      </right>
      <top/>
      <bottom style="double">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double">
        <color indexed="64"/>
      </bottom>
      <diagonal/>
    </border>
    <border>
      <left/>
      <right style="thin">
        <color indexed="64"/>
      </right>
      <top/>
      <bottom style="double">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medium">
        <color theme="1"/>
      </left>
      <right/>
      <top style="medium">
        <color theme="1"/>
      </top>
      <bottom style="thin">
        <color theme="1"/>
      </bottom>
      <diagonal/>
    </border>
    <border>
      <left/>
      <right style="medium">
        <color theme="1"/>
      </right>
      <top style="medium">
        <color theme="1"/>
      </top>
      <bottom style="thin">
        <color theme="1"/>
      </bottom>
      <diagonal/>
    </border>
    <border>
      <left/>
      <right style="medium">
        <color theme="1"/>
      </right>
      <top style="thin">
        <color theme="1"/>
      </top>
      <bottom style="thin">
        <color theme="1"/>
      </bottom>
      <diagonal/>
    </border>
    <border>
      <left style="medium">
        <color theme="1"/>
      </left>
      <right style="medium">
        <color indexed="64"/>
      </right>
      <top style="thin">
        <color theme="1"/>
      </top>
      <bottom/>
      <diagonal/>
    </border>
    <border>
      <left style="thin">
        <color theme="2"/>
      </left>
      <right/>
      <top style="thin">
        <color theme="2"/>
      </top>
      <bottom style="thin">
        <color theme="2"/>
      </bottom>
      <diagonal/>
    </border>
    <border>
      <left/>
      <right style="thin">
        <color theme="2"/>
      </right>
      <top style="thin">
        <color theme="2"/>
      </top>
      <bottom style="thin">
        <color theme="2"/>
      </bottom>
      <diagonal/>
    </border>
    <border>
      <left style="thin">
        <color theme="1"/>
      </left>
      <right style="thin">
        <color theme="1"/>
      </right>
      <top style="thin">
        <color theme="1"/>
      </top>
      <bottom style="double">
        <color theme="1"/>
      </bottom>
      <diagonal/>
    </border>
    <border>
      <left style="thin">
        <color theme="1"/>
      </left>
      <right style="thin">
        <color theme="1"/>
      </right>
      <top style="thin">
        <color theme="1"/>
      </top>
      <bottom/>
      <diagonal/>
    </border>
    <border>
      <left style="medium">
        <color theme="1"/>
      </left>
      <right style="thin">
        <color theme="1"/>
      </right>
      <top style="medium">
        <color theme="1"/>
      </top>
      <bottom style="double">
        <color theme="1"/>
      </bottom>
      <diagonal/>
    </border>
    <border>
      <left style="thin">
        <color theme="1"/>
      </left>
      <right style="thin">
        <color theme="1"/>
      </right>
      <top style="medium">
        <color theme="1"/>
      </top>
      <bottom style="double">
        <color theme="1"/>
      </bottom>
      <diagonal/>
    </border>
    <border>
      <left style="medium">
        <color theme="1"/>
      </left>
      <right style="thin">
        <color theme="1"/>
      </right>
      <top/>
      <bottom style="double">
        <color theme="1"/>
      </bottom>
      <diagonal/>
    </border>
    <border>
      <left style="thin">
        <color theme="1"/>
      </left>
      <right style="medium">
        <color theme="1"/>
      </right>
      <top style="thin">
        <color theme="1"/>
      </top>
      <bottom style="double">
        <color theme="1"/>
      </bottom>
      <diagonal/>
    </border>
    <border>
      <left/>
      <right/>
      <top/>
      <bottom style="double">
        <color theme="1"/>
      </bottom>
      <diagonal/>
    </border>
    <border>
      <left style="medium">
        <color indexed="64"/>
      </left>
      <right style="medium">
        <color indexed="64"/>
      </right>
      <top style="medium">
        <color indexed="64"/>
      </top>
      <bottom style="medium">
        <color theme="1"/>
      </bottom>
      <diagonal/>
    </border>
    <border>
      <left/>
      <right style="thin">
        <color indexed="64"/>
      </right>
      <top style="medium">
        <color indexed="64"/>
      </top>
      <bottom style="medium">
        <color theme="1"/>
      </bottom>
      <diagonal/>
    </border>
    <border>
      <left style="thin">
        <color indexed="64"/>
      </left>
      <right style="thin">
        <color indexed="64"/>
      </right>
      <top style="medium">
        <color indexed="64"/>
      </top>
      <bottom style="medium">
        <color theme="1"/>
      </bottom>
      <diagonal/>
    </border>
    <border>
      <left style="thin">
        <color indexed="64"/>
      </left>
      <right style="medium">
        <color indexed="64"/>
      </right>
      <top style="medium">
        <color indexed="64"/>
      </top>
      <bottom style="medium">
        <color theme="1"/>
      </bottom>
      <diagonal/>
    </border>
    <border>
      <left style="thin">
        <color indexed="64"/>
      </left>
      <right/>
      <top style="thin">
        <color indexed="64"/>
      </top>
      <bottom style="double">
        <color indexed="64"/>
      </bottom>
      <diagonal/>
    </border>
    <border>
      <left style="thin">
        <color indexed="64"/>
      </left>
      <right style="medium">
        <color theme="1"/>
      </right>
      <top style="thin">
        <color indexed="64"/>
      </top>
      <bottom/>
      <diagonal/>
    </border>
    <border>
      <left style="medium">
        <color theme="1"/>
      </left>
      <right style="thin">
        <color indexed="64"/>
      </right>
      <top style="double">
        <color indexed="64"/>
      </top>
      <bottom/>
      <diagonal/>
    </border>
    <border>
      <left style="medium">
        <color indexed="64"/>
      </left>
      <right/>
      <top style="thin">
        <color indexed="64"/>
      </top>
      <bottom/>
      <diagonal/>
    </border>
    <border>
      <left style="medium">
        <color theme="1"/>
      </left>
      <right style="medium">
        <color indexed="64"/>
      </right>
      <top style="thin">
        <color indexed="64"/>
      </top>
      <bottom/>
      <diagonal/>
    </border>
    <border>
      <left style="medium">
        <color theme="1"/>
      </left>
      <right style="thin">
        <color theme="2"/>
      </right>
      <top style="thin">
        <color theme="2"/>
      </top>
      <bottom style="thin">
        <color theme="2"/>
      </bottom>
      <diagonal/>
    </border>
    <border>
      <left style="medium">
        <color theme="1"/>
      </left>
      <right style="thin">
        <color theme="2"/>
      </right>
      <top style="thin">
        <color theme="2"/>
      </top>
      <bottom style="medium">
        <color theme="1"/>
      </bottom>
      <diagonal/>
    </border>
    <border>
      <left style="thin">
        <color theme="2"/>
      </left>
      <right/>
      <top/>
      <bottom/>
      <diagonal/>
    </border>
    <border>
      <left/>
      <right style="medium">
        <color theme="1"/>
      </right>
      <top style="medium">
        <color theme="1"/>
      </top>
      <bottom/>
      <diagonal/>
    </border>
    <border>
      <left style="thin">
        <color theme="2"/>
      </left>
      <right/>
      <top/>
      <bottom style="medium">
        <color theme="1"/>
      </bottom>
      <diagonal/>
    </border>
    <border>
      <left style="thin">
        <color theme="1"/>
      </left>
      <right/>
      <top style="thin">
        <color theme="1"/>
      </top>
      <bottom/>
      <diagonal/>
    </border>
    <border>
      <left/>
      <right/>
      <top style="thin">
        <color theme="1"/>
      </top>
      <bottom/>
      <diagonal/>
    </border>
    <border>
      <left/>
      <right/>
      <top/>
      <bottom style="thin">
        <color theme="1"/>
      </bottom>
      <diagonal/>
    </border>
    <border>
      <left/>
      <right style="thin">
        <color theme="1"/>
      </right>
      <top style="thin">
        <color theme="1"/>
      </top>
      <bottom/>
      <diagonal/>
    </border>
    <border>
      <left/>
      <right style="thin">
        <color theme="1"/>
      </right>
      <top/>
      <bottom/>
      <diagonal/>
    </border>
    <border>
      <left/>
      <right style="thin">
        <color theme="1"/>
      </right>
      <top/>
      <bottom style="thin">
        <color theme="1"/>
      </bottom>
      <diagonal/>
    </border>
    <border>
      <left style="thin">
        <color theme="2" tint="-9.9978637043366805E-2"/>
      </left>
      <right style="thin">
        <color theme="2" tint="-9.9978637043366805E-2"/>
      </right>
      <top style="thin">
        <color theme="2" tint="-9.9978637043366805E-2"/>
      </top>
      <bottom style="double">
        <color theme="2" tint="-9.9978637043366805E-2"/>
      </bottom>
      <diagonal/>
    </border>
    <border>
      <left style="thin">
        <color theme="2"/>
      </left>
      <right style="thin">
        <color theme="1"/>
      </right>
      <top style="thin">
        <color theme="2"/>
      </top>
      <bottom style="thin">
        <color theme="1"/>
      </bottom>
      <diagonal/>
    </border>
    <border>
      <left style="thin">
        <color theme="2"/>
      </left>
      <right style="thin">
        <color theme="1"/>
      </right>
      <top style="thin">
        <color theme="2"/>
      </top>
      <bottom style="thin">
        <color theme="2"/>
      </bottom>
      <diagonal/>
    </border>
    <border>
      <left style="thin">
        <color theme="2"/>
      </left>
      <right style="thin">
        <color theme="1"/>
      </right>
      <top/>
      <bottom style="thin">
        <color theme="2"/>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2"/>
      </right>
      <top/>
      <bottom style="thin">
        <color theme="2"/>
      </bottom>
      <diagonal/>
    </border>
    <border>
      <left/>
      <right style="thin">
        <color theme="2"/>
      </right>
      <top style="thin">
        <color theme="2"/>
      </top>
      <bottom style="thin">
        <color theme="1"/>
      </bottom>
      <diagonal/>
    </border>
    <border>
      <left style="thin">
        <color theme="1"/>
      </left>
      <right style="thin">
        <color theme="2"/>
      </right>
      <top style="thin">
        <color theme="2"/>
      </top>
      <bottom style="thin">
        <color theme="2"/>
      </bottom>
      <diagonal/>
    </border>
    <border>
      <left style="thin">
        <color theme="1"/>
      </left>
      <right style="thin">
        <color theme="2"/>
      </right>
      <top style="thin">
        <color theme="2"/>
      </top>
      <bottom style="thin">
        <color theme="1"/>
      </bottom>
      <diagonal/>
    </border>
    <border>
      <left style="thin">
        <color theme="2"/>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64"/>
      </left>
      <right style="medium">
        <color theme="1"/>
      </right>
      <top style="thin">
        <color theme="1"/>
      </top>
      <bottom style="thin">
        <color theme="1"/>
      </bottom>
      <diagonal/>
    </border>
    <border>
      <left style="thin">
        <color theme="1"/>
      </left>
      <right/>
      <top style="medium">
        <color theme="1"/>
      </top>
      <bottom style="double">
        <color theme="1"/>
      </bottom>
      <diagonal/>
    </border>
    <border>
      <left/>
      <right style="thin">
        <color theme="1"/>
      </right>
      <top style="medium">
        <color theme="1"/>
      </top>
      <bottom style="double">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double">
        <color indexed="64"/>
      </bottom>
      <diagonal/>
    </border>
    <border>
      <left style="medium">
        <color theme="1"/>
      </left>
      <right style="medium">
        <color theme="1"/>
      </right>
      <top/>
      <bottom style="thin">
        <color theme="1"/>
      </bottom>
      <diagonal/>
    </border>
    <border>
      <left style="thin">
        <color indexed="64"/>
      </left>
      <right/>
      <top style="medium">
        <color indexed="64"/>
      </top>
      <bottom/>
      <diagonal/>
    </border>
    <border>
      <left style="thin">
        <color indexed="64"/>
      </left>
      <right style="medium">
        <color theme="1"/>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medium">
        <color indexed="64"/>
      </left>
      <right style="thin">
        <color theme="1"/>
      </right>
      <top style="medium">
        <color theme="1"/>
      </top>
      <bottom/>
      <diagonal/>
    </border>
    <border>
      <left style="thin">
        <color theme="1"/>
      </left>
      <right style="thin">
        <color theme="1"/>
      </right>
      <top style="medium">
        <color theme="1"/>
      </top>
      <bottom/>
      <diagonal/>
    </border>
    <border>
      <left/>
      <right style="medium">
        <color indexed="64"/>
      </right>
      <top style="medium">
        <color theme="1"/>
      </top>
      <bottom/>
      <diagonal/>
    </border>
    <border>
      <left style="medium">
        <color indexed="64"/>
      </left>
      <right style="thin">
        <color theme="1"/>
      </right>
      <top style="thin">
        <color indexed="64"/>
      </top>
      <bottom style="thin">
        <color theme="1"/>
      </bottom>
      <diagonal/>
    </border>
    <border>
      <left style="thin">
        <color theme="1"/>
      </left>
      <right style="thin">
        <color theme="1"/>
      </right>
      <top style="thin">
        <color indexed="64"/>
      </top>
      <bottom style="thin">
        <color theme="1"/>
      </bottom>
      <diagonal/>
    </border>
    <border>
      <left/>
      <right style="medium">
        <color indexed="64"/>
      </right>
      <top style="thin">
        <color indexed="64"/>
      </top>
      <bottom style="thin">
        <color theme="1"/>
      </bottom>
      <diagonal/>
    </border>
    <border>
      <left style="medium">
        <color indexed="64"/>
      </left>
      <right style="thin">
        <color theme="1"/>
      </right>
      <top/>
      <bottom style="thin">
        <color theme="1"/>
      </bottom>
      <diagonal/>
    </border>
    <border>
      <left style="thin">
        <color theme="1"/>
      </left>
      <right style="medium">
        <color indexed="64"/>
      </right>
      <top style="thin">
        <color theme="1"/>
      </top>
      <bottom/>
      <diagonal/>
    </border>
    <border>
      <left style="medium">
        <color indexed="64"/>
      </left>
      <right style="thin">
        <color theme="1"/>
      </right>
      <top style="thin">
        <color theme="1"/>
      </top>
      <bottom style="double">
        <color theme="1"/>
      </bottom>
      <diagonal/>
    </border>
    <border>
      <left style="thin">
        <color theme="1"/>
      </left>
      <right style="thin">
        <color theme="1"/>
      </right>
      <top style="thin">
        <color indexed="64"/>
      </top>
      <bottom style="double">
        <color indexed="64"/>
      </bottom>
      <diagonal/>
    </border>
    <border>
      <left style="medium">
        <color indexed="64"/>
      </left>
      <right style="thin">
        <color theme="1"/>
      </right>
      <top/>
      <bottom style="medium">
        <color indexed="64"/>
      </bottom>
      <diagonal/>
    </border>
    <border>
      <left style="thin">
        <color theme="1"/>
      </left>
      <right style="thin">
        <color theme="1"/>
      </right>
      <top/>
      <bottom style="medium">
        <color indexed="64"/>
      </bottom>
      <diagonal/>
    </border>
    <border>
      <left style="thin">
        <color theme="1"/>
      </left>
      <right/>
      <top style="thin">
        <color indexed="64"/>
      </top>
      <bottom style="double">
        <color indexed="64"/>
      </bottom>
      <diagonal/>
    </border>
    <border>
      <left style="thin">
        <color theme="1"/>
      </left>
      <right/>
      <top/>
      <bottom style="medium">
        <color indexed="64"/>
      </bottom>
      <diagonal/>
    </border>
    <border>
      <left style="thin">
        <color theme="1"/>
      </left>
      <right style="medium">
        <color theme="1"/>
      </right>
      <top style="thin">
        <color indexed="64"/>
      </top>
      <bottom style="double">
        <color indexed="64"/>
      </bottom>
      <diagonal/>
    </border>
    <border>
      <left style="thin">
        <color theme="1"/>
      </left>
      <right style="medium">
        <color theme="1"/>
      </right>
      <top/>
      <bottom style="medium">
        <color indexed="64"/>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
      <left/>
      <right style="medium">
        <color indexed="64"/>
      </right>
      <top/>
      <bottom style="double">
        <color theme="1"/>
      </bottom>
      <diagonal/>
    </border>
    <border>
      <left style="medium">
        <color indexed="64"/>
      </left>
      <right style="thin">
        <color theme="1"/>
      </right>
      <top/>
      <bottom style="thin">
        <color indexed="64"/>
      </bottom>
      <diagonal/>
    </border>
    <border>
      <left/>
      <right/>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double">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double">
        <color theme="0" tint="-0.499984740745262"/>
      </bottom>
      <diagonal/>
    </border>
    <border>
      <left/>
      <right/>
      <top style="thin">
        <color theme="0" tint="-0.499984740745262"/>
      </top>
      <bottom style="double">
        <color theme="0" tint="-0.499984740745262"/>
      </bottom>
      <diagonal/>
    </border>
    <border>
      <left/>
      <right style="thin">
        <color theme="0" tint="-0.499984740745262"/>
      </right>
      <top style="thin">
        <color theme="0" tint="-0.499984740745262"/>
      </top>
      <bottom style="double">
        <color theme="0" tint="-0.499984740745262"/>
      </bottom>
      <diagonal/>
    </border>
    <border>
      <left/>
      <right/>
      <top style="thin">
        <color theme="0" tint="-0.499984740745262"/>
      </top>
      <bottom/>
      <diagonal/>
    </border>
    <border>
      <left style="thin">
        <color theme="0" tint="-0.499984740745262"/>
      </left>
      <right/>
      <top style="double">
        <color theme="0" tint="-0.499984740745262"/>
      </top>
      <bottom/>
      <diagonal/>
    </border>
    <border>
      <left/>
      <right/>
      <top style="double">
        <color theme="0" tint="-0.499984740745262"/>
      </top>
      <bottom/>
      <diagonal/>
    </border>
    <border>
      <left/>
      <right style="thin">
        <color theme="0" tint="-0.499984740745262"/>
      </right>
      <top style="double">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top/>
      <bottom style="medium">
        <color theme="2" tint="-0.749961851863155"/>
      </bottom>
      <diagonal/>
    </border>
    <border>
      <left/>
      <right style="thick">
        <color theme="0" tint="-0.499984740745262"/>
      </right>
      <top/>
      <bottom style="medium">
        <color theme="2" tint="-0.749961851863155"/>
      </bottom>
      <diagonal/>
    </border>
    <border>
      <left style="thick">
        <color theme="0" tint="-0.499984740745262"/>
      </left>
      <right style="thin">
        <color theme="0" tint="-0.499984740745262"/>
      </right>
      <top/>
      <bottom style="medium">
        <color theme="2" tint="-0.749961851863155"/>
      </bottom>
      <diagonal/>
    </border>
    <border>
      <left/>
      <right style="thick">
        <color theme="0" tint="-0.499984740745262"/>
      </right>
      <top style="medium">
        <color theme="2" tint="-0.749961851863155"/>
      </top>
      <bottom style="dashed">
        <color theme="0" tint="-4.9989318521683403E-2"/>
      </bottom>
      <diagonal/>
    </border>
    <border>
      <left style="thick">
        <color theme="0" tint="-0.499984740745262"/>
      </left>
      <right style="thin">
        <color theme="0" tint="-0.499984740745262"/>
      </right>
      <top style="medium">
        <color theme="2" tint="-0.749961851863155"/>
      </top>
      <bottom style="dashed">
        <color theme="0" tint="-4.9989318521683403E-2"/>
      </bottom>
      <diagonal/>
    </border>
    <border>
      <left/>
      <right/>
      <top style="medium">
        <color theme="2" tint="-0.749961851863155"/>
      </top>
      <bottom style="dashed">
        <color theme="0" tint="-4.9989318521683403E-2"/>
      </bottom>
      <diagonal/>
    </border>
    <border>
      <left/>
      <right style="thick">
        <color theme="0" tint="-0.499984740745262"/>
      </right>
      <top style="dashed">
        <color theme="0" tint="-4.9989318521683403E-2"/>
      </top>
      <bottom style="dashed">
        <color theme="0" tint="-4.9989318521683403E-2"/>
      </bottom>
      <diagonal/>
    </border>
    <border>
      <left style="thick">
        <color theme="0" tint="-0.499984740745262"/>
      </left>
      <right style="thin">
        <color theme="0" tint="-0.499984740745262"/>
      </right>
      <top style="dashed">
        <color theme="0" tint="-4.9989318521683403E-2"/>
      </top>
      <bottom style="dashed">
        <color theme="0" tint="-4.9989318521683403E-2"/>
      </bottom>
      <diagonal/>
    </border>
    <border>
      <left/>
      <right/>
      <top style="dashed">
        <color theme="0" tint="-4.9989318521683403E-2"/>
      </top>
      <bottom style="dashed">
        <color theme="0" tint="-4.9989318521683403E-2"/>
      </bottom>
      <diagonal/>
    </border>
    <border>
      <left/>
      <right/>
      <top style="dashed">
        <color theme="0" tint="-4.9989318521683403E-2"/>
      </top>
      <bottom/>
      <diagonal/>
    </border>
    <border>
      <left style="medium">
        <color theme="1"/>
      </left>
      <right style="thin">
        <color theme="1"/>
      </right>
      <top style="medium">
        <color theme="1"/>
      </top>
      <bottom style="medium">
        <color theme="1"/>
      </bottom>
      <diagonal/>
    </border>
    <border>
      <left style="thin">
        <color indexed="64"/>
      </left>
      <right style="thin">
        <color indexed="64"/>
      </right>
      <top style="medium">
        <color theme="1"/>
      </top>
      <bottom style="medium">
        <color theme="1"/>
      </bottom>
      <diagonal/>
    </border>
    <border>
      <left style="thin">
        <color theme="1"/>
      </left>
      <right style="medium">
        <color theme="1"/>
      </right>
      <top style="medium">
        <color theme="1"/>
      </top>
      <bottom style="medium">
        <color theme="1"/>
      </bottom>
      <diagonal/>
    </border>
    <border>
      <left style="thin">
        <color indexed="64"/>
      </left>
      <right style="medium">
        <color indexed="64"/>
      </right>
      <top style="double">
        <color indexed="64"/>
      </top>
      <bottom style="thin">
        <color indexed="64"/>
      </bottom>
      <diagonal/>
    </border>
    <border>
      <left style="thin">
        <color indexed="64"/>
      </left>
      <right style="thin">
        <color indexed="64"/>
      </right>
      <top style="medium">
        <color theme="1"/>
      </top>
      <bottom style="thin">
        <color indexed="64"/>
      </bottom>
      <diagonal/>
    </border>
    <border>
      <left style="thin">
        <color indexed="64"/>
      </left>
      <right style="medium">
        <color theme="1"/>
      </right>
      <top style="thin">
        <color theme="1"/>
      </top>
      <bottom style="medium">
        <color theme="1"/>
      </bottom>
      <diagonal/>
    </border>
    <border>
      <left style="thin">
        <color indexed="64"/>
      </left>
      <right style="medium">
        <color theme="1"/>
      </right>
      <top style="thin">
        <color indexed="64"/>
      </top>
      <bottom style="medium">
        <color indexed="64"/>
      </bottom>
      <diagonal/>
    </border>
    <border>
      <left style="medium">
        <color indexed="64"/>
      </left>
      <right style="medium">
        <color indexed="64"/>
      </right>
      <top style="double">
        <color indexed="64"/>
      </top>
      <bottom style="thin">
        <color indexed="64"/>
      </bottom>
      <diagonal/>
    </border>
    <border>
      <left style="medium">
        <color theme="1"/>
      </left>
      <right style="medium">
        <color theme="1"/>
      </right>
      <top/>
      <bottom style="thin">
        <color indexed="64"/>
      </bottom>
      <diagonal/>
    </border>
    <border>
      <left style="medium">
        <color theme="1"/>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s>
  <cellStyleXfs count="20">
    <xf numFmtId="0" fontId="0" fillId="0" borderId="0"/>
    <xf numFmtId="168" fontId="6" fillId="0" borderId="0" applyFont="0" applyFill="0" applyBorder="0" applyAlignment="0" applyProtection="0"/>
    <xf numFmtId="167" fontId="6" fillId="0" borderId="0" applyFon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6" fillId="0" borderId="0"/>
    <xf numFmtId="9" fontId="6" fillId="0" borderId="0" applyFont="0" applyFill="0" applyBorder="0" applyAlignment="0" applyProtection="0"/>
    <xf numFmtId="0" fontId="4" fillId="0" borderId="0"/>
    <xf numFmtId="0" fontId="4" fillId="2" borderId="0" applyNumberFormat="0" applyBorder="0" applyAlignment="0" applyProtection="0"/>
    <xf numFmtId="0" fontId="22" fillId="0" borderId="0" applyNumberFormat="0" applyFill="0" applyBorder="0" applyAlignment="0" applyProtection="0"/>
    <xf numFmtId="0" fontId="6" fillId="9" borderId="0" applyNumberFormat="0" applyBorder="0" applyAlignment="0" applyProtection="0"/>
    <xf numFmtId="0" fontId="28" fillId="0" borderId="29" applyNumberFormat="0" applyFill="0" applyAlignment="0" applyProtection="0"/>
    <xf numFmtId="0" fontId="12" fillId="0" borderId="30" applyNumberFormat="0" applyFill="0" applyAlignment="0" applyProtection="0"/>
    <xf numFmtId="0" fontId="3" fillId="19" borderId="0" applyNumberFormat="0" applyBorder="0" applyAlignment="0" applyProtection="0"/>
    <xf numFmtId="9" fontId="13" fillId="0" borderId="0" applyFont="0" applyFill="0" applyBorder="0" applyAlignment="0" applyProtection="0"/>
    <xf numFmtId="0" fontId="2" fillId="2" borderId="0" applyNumberFormat="0" applyBorder="0" applyAlignment="0" applyProtection="0"/>
    <xf numFmtId="0" fontId="6" fillId="19" borderId="0" applyNumberFormat="0" applyBorder="0" applyAlignment="0" applyProtection="0"/>
    <xf numFmtId="0" fontId="7" fillId="0" borderId="30" applyNumberFormat="0" applyFill="0" applyAlignment="0" applyProtection="0"/>
    <xf numFmtId="167" fontId="6" fillId="0" borderId="0" applyFont="0" applyFill="0" applyBorder="0" applyAlignment="0" applyProtection="0"/>
    <xf numFmtId="0" fontId="162" fillId="0" borderId="0"/>
  </cellStyleXfs>
  <cellXfs count="1891">
    <xf numFmtId="0" fontId="0" fillId="0" borderId="0" xfId="0"/>
    <xf numFmtId="0" fontId="15" fillId="0" borderId="0" xfId="5" applyFont="1" applyAlignment="1">
      <alignment vertical="center"/>
    </xf>
    <xf numFmtId="0" fontId="15" fillId="0" borderId="0" xfId="5" applyFont="1" applyAlignment="1">
      <alignment horizontal="center" vertical="center"/>
    </xf>
    <xf numFmtId="168" fontId="16" fillId="0" borderId="0" xfId="1" applyFont="1" applyAlignment="1">
      <alignment vertical="center"/>
    </xf>
    <xf numFmtId="0" fontId="16" fillId="0" borderId="0" xfId="5" applyFont="1" applyAlignment="1">
      <alignment vertical="center"/>
    </xf>
    <xf numFmtId="168" fontId="15" fillId="0" borderId="0" xfId="1" applyFont="1" applyAlignment="1">
      <alignment vertical="center"/>
    </xf>
    <xf numFmtId="0" fontId="15" fillId="0" borderId="0" xfId="1" applyNumberFormat="1" applyFont="1" applyAlignment="1">
      <alignment vertical="center"/>
    </xf>
    <xf numFmtId="170" fontId="9" fillId="0" borderId="0" xfId="0" applyNumberFormat="1" applyFont="1"/>
    <xf numFmtId="0" fontId="9" fillId="0" borderId="0" xfId="0" applyFont="1"/>
    <xf numFmtId="0" fontId="9" fillId="0" borderId="3" xfId="0" applyFont="1" applyBorder="1"/>
    <xf numFmtId="0" fontId="0" fillId="0" borderId="0" xfId="0" applyAlignment="1">
      <alignment vertical="center"/>
    </xf>
    <xf numFmtId="2" fontId="9" fillId="0" borderId="0" xfId="0" applyNumberFormat="1" applyFont="1" applyAlignment="1">
      <alignment horizontal="right"/>
    </xf>
    <xf numFmtId="9" fontId="9" fillId="0" borderId="0" xfId="6" applyFont="1" applyAlignment="1">
      <alignment horizontal="right"/>
    </xf>
    <xf numFmtId="2" fontId="9" fillId="0" borderId="0" xfId="0" applyNumberFormat="1" applyFont="1"/>
    <xf numFmtId="0" fontId="9" fillId="0" borderId="0" xfId="0" applyFont="1" applyAlignment="1">
      <alignment horizontal="left"/>
    </xf>
    <xf numFmtId="0" fontId="9" fillId="4" borderId="0" xfId="0" applyFont="1" applyFill="1"/>
    <xf numFmtId="0" fontId="24" fillId="4" borderId="0" xfId="10" applyFont="1" applyFill="1" applyAlignment="1" applyProtection="1">
      <alignment wrapText="1"/>
    </xf>
    <xf numFmtId="2" fontId="9" fillId="4" borderId="0" xfId="10" applyNumberFormat="1" applyFont="1" applyFill="1" applyAlignment="1" applyProtection="1">
      <alignment horizontal="right" wrapText="1"/>
    </xf>
    <xf numFmtId="9" fontId="9" fillId="4" borderId="0" xfId="6" applyFont="1" applyFill="1" applyAlignment="1">
      <alignment horizontal="right"/>
    </xf>
    <xf numFmtId="0" fontId="9" fillId="4" borderId="0" xfId="0" quotePrefix="1" applyFont="1" applyFill="1" applyAlignment="1">
      <alignment horizontal="left" wrapText="1" indent="1"/>
    </xf>
    <xf numFmtId="0" fontId="9" fillId="4" borderId="0" xfId="10" applyFont="1" applyFill="1" applyAlignment="1" applyProtection="1">
      <alignment wrapText="1"/>
    </xf>
    <xf numFmtId="0" fontId="9" fillId="4" borderId="0" xfId="0" applyFont="1" applyFill="1" applyAlignment="1">
      <alignment horizontal="left" wrapText="1" indent="1"/>
    </xf>
    <xf numFmtId="0" fontId="21" fillId="0" borderId="0" xfId="0" applyFont="1" applyAlignment="1">
      <alignment vertical="center"/>
    </xf>
    <xf numFmtId="0" fontId="9" fillId="0" borderId="0" xfId="0" applyFont="1" applyAlignment="1">
      <alignment wrapText="1"/>
    </xf>
    <xf numFmtId="0" fontId="9" fillId="0" borderId="21" xfId="0" applyFont="1" applyBorder="1"/>
    <xf numFmtId="0" fontId="9" fillId="0" borderId="3" xfId="0" applyFont="1" applyBorder="1" applyAlignment="1">
      <alignment vertical="center" wrapText="1"/>
    </xf>
    <xf numFmtId="0" fontId="9" fillId="0" borderId="24" xfId="0" applyFont="1" applyBorder="1" applyAlignment="1">
      <alignment vertical="center" wrapText="1"/>
    </xf>
    <xf numFmtId="0" fontId="29" fillId="11" borderId="17" xfId="8" applyFont="1" applyFill="1" applyBorder="1" applyAlignment="1">
      <alignment horizontal="left" vertical="center" wrapText="1"/>
    </xf>
    <xf numFmtId="0" fontId="29" fillId="11" borderId="18" xfId="8" applyFont="1" applyFill="1" applyBorder="1" applyAlignment="1">
      <alignment horizontal="left" vertical="center" wrapText="1"/>
    </xf>
    <xf numFmtId="0" fontId="9" fillId="0" borderId="19" xfId="0" applyFont="1" applyBorder="1"/>
    <xf numFmtId="1" fontId="9" fillId="0" borderId="19" xfId="0" applyNumberFormat="1" applyFont="1" applyBorder="1" applyAlignment="1">
      <alignment horizontal="center"/>
    </xf>
    <xf numFmtId="1" fontId="9" fillId="4" borderId="19" xfId="0" applyNumberFormat="1" applyFont="1" applyFill="1" applyBorder="1" applyAlignment="1">
      <alignment horizontal="center"/>
    </xf>
    <xf numFmtId="0" fontId="9" fillId="0" borderId="19" xfId="0" applyFont="1" applyBorder="1" applyAlignment="1">
      <alignment horizontal="center"/>
    </xf>
    <xf numFmtId="0" fontId="9" fillId="0" borderId="21" xfId="0" applyFont="1" applyBorder="1" applyAlignment="1">
      <alignment horizontal="center"/>
    </xf>
    <xf numFmtId="0" fontId="9" fillId="0" borderId="19" xfId="0" applyFont="1" applyBorder="1" applyAlignment="1">
      <alignment horizontal="center" vertical="center"/>
    </xf>
    <xf numFmtId="0" fontId="9" fillId="0" borderId="21" xfId="0" applyFont="1" applyBorder="1" applyAlignment="1">
      <alignment horizontal="center" vertical="center"/>
    </xf>
    <xf numFmtId="0" fontId="32" fillId="18" borderId="25" xfId="9" applyFont="1" applyFill="1" applyBorder="1" applyAlignment="1">
      <alignment horizontal="right" vertical="top" wrapText="1"/>
    </xf>
    <xf numFmtId="0" fontId="33" fillId="0" borderId="26" xfId="0" applyFont="1" applyBorder="1"/>
    <xf numFmtId="0" fontId="33" fillId="0" borderId="27" xfId="0" applyFont="1" applyBorder="1" applyAlignment="1">
      <alignment horizontal="center"/>
    </xf>
    <xf numFmtId="0" fontId="33" fillId="0" borderId="35" xfId="0" applyFont="1" applyBorder="1"/>
    <xf numFmtId="171" fontId="33" fillId="0" borderId="36" xfId="0" applyNumberFormat="1" applyFont="1" applyBorder="1" applyAlignment="1">
      <alignment horizontal="center"/>
    </xf>
    <xf numFmtId="0" fontId="21" fillId="11" borderId="17" xfId="0" applyFont="1" applyFill="1" applyBorder="1" applyAlignment="1">
      <alignment horizontal="center"/>
    </xf>
    <xf numFmtId="0" fontId="36" fillId="14" borderId="4" xfId="0" applyFont="1" applyFill="1" applyBorder="1" applyAlignment="1">
      <alignment horizontal="center" vertical="center"/>
    </xf>
    <xf numFmtId="0" fontId="21" fillId="15" borderId="3" xfId="0" applyFont="1" applyFill="1" applyBorder="1" applyAlignment="1">
      <alignment horizontal="center" vertical="center"/>
    </xf>
    <xf numFmtId="0" fontId="21" fillId="16" borderId="3" xfId="0" applyFont="1" applyFill="1" applyBorder="1" applyAlignment="1">
      <alignment horizontal="center" vertical="center"/>
    </xf>
    <xf numFmtId="0" fontId="9" fillId="15" borderId="3" xfId="0" applyFont="1" applyFill="1" applyBorder="1" applyAlignment="1">
      <alignment horizontal="center" vertical="center"/>
    </xf>
    <xf numFmtId="0" fontId="9" fillId="8" borderId="3" xfId="0" applyFont="1" applyFill="1" applyBorder="1" applyAlignment="1">
      <alignment horizontal="center" vertical="center"/>
    </xf>
    <xf numFmtId="0" fontId="9" fillId="0" borderId="3" xfId="0" applyFont="1" applyBorder="1" applyAlignment="1">
      <alignment vertical="center"/>
    </xf>
    <xf numFmtId="0" fontId="21" fillId="11" borderId="3" xfId="0" applyFont="1" applyFill="1" applyBorder="1"/>
    <xf numFmtId="0" fontId="21" fillId="0" borderId="0" xfId="0" applyFont="1"/>
    <xf numFmtId="0" fontId="9" fillId="0" borderId="0" xfId="0" applyFont="1" applyAlignment="1">
      <alignment vertical="center"/>
    </xf>
    <xf numFmtId="0" fontId="9" fillId="0" borderId="3" xfId="4" applyFont="1" applyFill="1" applyBorder="1" applyAlignment="1" applyProtection="1">
      <alignment vertical="center"/>
    </xf>
    <xf numFmtId="0" fontId="9" fillId="6" borderId="3" xfId="0" applyFont="1" applyFill="1" applyBorder="1" applyAlignment="1">
      <alignment vertical="center"/>
    </xf>
    <xf numFmtId="0" fontId="9" fillId="7" borderId="3" xfId="0" applyFont="1" applyFill="1" applyBorder="1" applyAlignment="1">
      <alignment vertical="center"/>
    </xf>
    <xf numFmtId="0" fontId="9" fillId="5" borderId="3" xfId="0" applyFont="1" applyFill="1" applyBorder="1" applyAlignment="1">
      <alignment vertical="center"/>
    </xf>
    <xf numFmtId="0" fontId="9" fillId="10" borderId="3" xfId="0" applyFont="1" applyFill="1" applyBorder="1" applyAlignment="1">
      <alignment vertical="center"/>
    </xf>
    <xf numFmtId="0" fontId="9" fillId="10" borderId="6" xfId="0" applyFont="1" applyFill="1" applyBorder="1" applyAlignment="1">
      <alignment vertical="center"/>
    </xf>
    <xf numFmtId="0" fontId="9" fillId="0" borderId="0" xfId="0" applyFont="1" applyAlignment="1">
      <alignment horizontal="center"/>
    </xf>
    <xf numFmtId="0" fontId="33" fillId="0" borderId="0" xfId="0" applyFont="1" applyAlignment="1">
      <alignment horizontal="center"/>
    </xf>
    <xf numFmtId="171" fontId="33" fillId="0" borderId="0" xfId="0" applyNumberFormat="1" applyFont="1" applyAlignment="1">
      <alignment horizontal="center"/>
    </xf>
    <xf numFmtId="1" fontId="9" fillId="0" borderId="19" xfId="0" applyNumberFormat="1" applyFont="1" applyBorder="1"/>
    <xf numFmtId="0" fontId="20" fillId="0" borderId="0" xfId="1" applyNumberFormat="1" applyFont="1" applyFill="1" applyAlignment="1">
      <alignment horizontal="left" vertical="top" indent="2"/>
    </xf>
    <xf numFmtId="0" fontId="25" fillId="0" borderId="0" xfId="0" applyFont="1"/>
    <xf numFmtId="0" fontId="21" fillId="11" borderId="17" xfId="0" applyFont="1" applyFill="1" applyBorder="1" applyAlignment="1">
      <alignment vertical="center"/>
    </xf>
    <xf numFmtId="0" fontId="21" fillId="11" borderId="18" xfId="0" applyFont="1" applyFill="1" applyBorder="1" applyAlignment="1">
      <alignment vertical="center"/>
    </xf>
    <xf numFmtId="0" fontId="21" fillId="11" borderId="23" xfId="0" applyFont="1" applyFill="1" applyBorder="1" applyAlignment="1">
      <alignment horizontal="center" vertical="center"/>
    </xf>
    <xf numFmtId="0" fontId="21" fillId="11" borderId="18" xfId="0" applyFont="1" applyFill="1" applyBorder="1" applyAlignment="1">
      <alignment horizontal="center" vertical="center"/>
    </xf>
    <xf numFmtId="0" fontId="21" fillId="0" borderId="24" xfId="0" applyFont="1" applyBorder="1" applyAlignment="1">
      <alignment horizontal="center" vertical="center"/>
    </xf>
    <xf numFmtId="2" fontId="9" fillId="0" borderId="3" xfId="0" applyNumberFormat="1" applyFont="1" applyBorder="1" applyAlignment="1">
      <alignment horizontal="center" vertical="center"/>
    </xf>
    <xf numFmtId="170" fontId="9" fillId="0" borderId="20" xfId="0" applyNumberFormat="1" applyFont="1" applyBorder="1" applyAlignment="1">
      <alignment horizontal="center" vertical="center"/>
    </xf>
    <xf numFmtId="0" fontId="9" fillId="0" borderId="3" xfId="0" applyFont="1" applyBorder="1" applyAlignment="1">
      <alignment horizontal="center" vertical="center"/>
    </xf>
    <xf numFmtId="2" fontId="9" fillId="0" borderId="20" xfId="0" applyNumberFormat="1" applyFont="1" applyBorder="1" applyAlignment="1">
      <alignment horizontal="center" vertical="center"/>
    </xf>
    <xf numFmtId="0" fontId="9" fillId="0" borderId="24" xfId="0" applyFont="1" applyBorder="1" applyAlignment="1">
      <alignment horizontal="center" vertical="center"/>
    </xf>
    <xf numFmtId="2" fontId="9" fillId="0" borderId="22" xfId="0" applyNumberFormat="1" applyFont="1" applyBorder="1" applyAlignment="1">
      <alignment horizontal="center" vertical="center"/>
    </xf>
    <xf numFmtId="0" fontId="21" fillId="11" borderId="26" xfId="0" applyFont="1" applyFill="1" applyBorder="1" applyAlignment="1">
      <alignment vertical="center" wrapText="1"/>
    </xf>
    <xf numFmtId="0" fontId="21" fillId="11" borderId="5" xfId="0" applyFont="1" applyFill="1" applyBorder="1" applyAlignment="1">
      <alignment vertical="center" wrapText="1"/>
    </xf>
    <xf numFmtId="0" fontId="21" fillId="11" borderId="34" xfId="0" applyFont="1" applyFill="1" applyBorder="1" applyAlignment="1">
      <alignment horizontal="left" vertical="center" wrapText="1"/>
    </xf>
    <xf numFmtId="0" fontId="21" fillId="11" borderId="26" xfId="0" applyFont="1" applyFill="1" applyBorder="1"/>
    <xf numFmtId="0" fontId="21" fillId="11" borderId="34" xfId="0" applyFont="1" applyFill="1" applyBorder="1"/>
    <xf numFmtId="0" fontId="41" fillId="18" borderId="17" xfId="9" applyFont="1" applyFill="1" applyBorder="1" applyAlignment="1">
      <alignment horizontal="left" vertical="center" wrapText="1"/>
    </xf>
    <xf numFmtId="9" fontId="9" fillId="0" borderId="20" xfId="0" applyNumberFormat="1" applyFont="1" applyBorder="1" applyAlignment="1">
      <alignment horizontal="center" vertical="center"/>
    </xf>
    <xf numFmtId="9" fontId="9" fillId="4" borderId="20" xfId="6" applyFont="1" applyFill="1" applyBorder="1" applyAlignment="1">
      <alignment horizontal="center" vertical="center"/>
    </xf>
    <xf numFmtId="9" fontId="9" fillId="0" borderId="22" xfId="0" applyNumberFormat="1" applyFont="1" applyBorder="1" applyAlignment="1">
      <alignment horizontal="center" vertical="center"/>
    </xf>
    <xf numFmtId="0" fontId="6" fillId="0" borderId="0" xfId="5" applyAlignment="1" applyProtection="1">
      <alignment vertical="center" wrapText="1"/>
      <protection locked="0"/>
    </xf>
    <xf numFmtId="0" fontId="6" fillId="0" borderId="0" xfId="5" applyAlignment="1">
      <alignment wrapText="1"/>
    </xf>
    <xf numFmtId="0" fontId="6" fillId="0" borderId="0" xfId="5"/>
    <xf numFmtId="0" fontId="44" fillId="0" borderId="0" xfId="5" applyFont="1"/>
    <xf numFmtId="0" fontId="6" fillId="0" borderId="0" xfId="5" applyProtection="1">
      <protection locked="0"/>
    </xf>
    <xf numFmtId="172" fontId="6" fillId="0" borderId="0" xfId="5" applyNumberFormat="1" applyProtection="1">
      <protection locked="0"/>
    </xf>
    <xf numFmtId="0" fontId="48" fillId="0" borderId="0" xfId="5" applyFont="1"/>
    <xf numFmtId="0" fontId="49" fillId="0" borderId="0" xfId="5" applyFont="1"/>
    <xf numFmtId="0" fontId="50" fillId="0" borderId="0" xfId="0" applyFont="1" applyAlignment="1">
      <alignment vertical="center"/>
    </xf>
    <xf numFmtId="0" fontId="51" fillId="0" borderId="0" xfId="5" applyFont="1" applyAlignment="1" applyProtection="1">
      <alignment wrapText="1"/>
      <protection locked="0"/>
    </xf>
    <xf numFmtId="0" fontId="52" fillId="0" borderId="0" xfId="5" applyFont="1" applyAlignment="1" applyProtection="1">
      <alignment wrapText="1"/>
      <protection locked="0"/>
    </xf>
    <xf numFmtId="0" fontId="0" fillId="0" borderId="0" xfId="0" applyProtection="1">
      <protection locked="0"/>
    </xf>
    <xf numFmtId="0" fontId="23" fillId="0" borderId="0" xfId="0" applyFont="1"/>
    <xf numFmtId="0" fontId="58" fillId="0" borderId="0" xfId="0" applyFont="1" applyAlignment="1">
      <alignment horizontal="right"/>
    </xf>
    <xf numFmtId="0" fontId="58" fillId="0" borderId="0" xfId="0" applyFont="1"/>
    <xf numFmtId="0" fontId="59" fillId="0" borderId="0" xfId="0" applyFont="1" applyAlignment="1">
      <alignment horizontal="center" wrapText="1"/>
    </xf>
    <xf numFmtId="0" fontId="23" fillId="0" borderId="0" xfId="0" applyFont="1" applyAlignment="1">
      <alignment horizontal="right"/>
    </xf>
    <xf numFmtId="15" fontId="57" fillId="0" borderId="0" xfId="0" applyNumberFormat="1" applyFont="1" applyAlignment="1">
      <alignment horizontal="center"/>
    </xf>
    <xf numFmtId="166" fontId="23" fillId="0" borderId="0" xfId="0" applyNumberFormat="1" applyFont="1"/>
    <xf numFmtId="0" fontId="64" fillId="0" borderId="0" xfId="0" applyFont="1"/>
    <xf numFmtId="0" fontId="9" fillId="4" borderId="0" xfId="0" applyFont="1" applyFill="1" applyAlignment="1">
      <alignment vertical="center"/>
    </xf>
    <xf numFmtId="0" fontId="48" fillId="0" borderId="0" xfId="5" applyFont="1" applyProtection="1">
      <protection locked="0"/>
    </xf>
    <xf numFmtId="0" fontId="0" fillId="0" borderId="0" xfId="0" applyAlignment="1" applyProtection="1">
      <alignment horizontal="left" vertical="center"/>
      <protection locked="0"/>
    </xf>
    <xf numFmtId="0" fontId="0" fillId="0" borderId="0" xfId="0" applyAlignment="1" applyProtection="1">
      <alignment vertical="center"/>
      <protection locked="0"/>
    </xf>
    <xf numFmtId="0" fontId="0" fillId="0" borderId="0" xfId="0" applyAlignment="1" applyProtection="1">
      <alignment horizontal="center" vertical="center"/>
      <protection locked="0"/>
    </xf>
    <xf numFmtId="0" fontId="0" fillId="0" borderId="0" xfId="0" applyAlignment="1">
      <alignment horizontal="center" vertical="center"/>
    </xf>
    <xf numFmtId="0" fontId="0" fillId="0" borderId="0" xfId="0" applyAlignment="1" applyProtection="1">
      <alignment horizontal="center"/>
      <protection locked="0"/>
    </xf>
    <xf numFmtId="0" fontId="9" fillId="12" borderId="5" xfId="0" applyFont="1" applyFill="1" applyBorder="1" applyAlignment="1" applyProtection="1">
      <alignment vertical="center"/>
      <protection locked="0"/>
    </xf>
    <xf numFmtId="1" fontId="19" fillId="0" borderId="0" xfId="0" applyNumberFormat="1" applyFont="1"/>
    <xf numFmtId="0" fontId="61" fillId="0" borderId="0" xfId="0" applyFont="1" applyAlignment="1">
      <alignment wrapText="1"/>
    </xf>
    <xf numFmtId="0" fontId="9" fillId="0" borderId="0" xfId="0" applyFont="1" applyAlignment="1" applyProtection="1">
      <alignment horizontal="center"/>
      <protection locked="0"/>
    </xf>
    <xf numFmtId="0" fontId="65" fillId="4" borderId="19" xfId="0" applyFont="1" applyFill="1" applyBorder="1" applyAlignment="1">
      <alignment horizontal="left"/>
    </xf>
    <xf numFmtId="0" fontId="43" fillId="0" borderId="0" xfId="5" applyFont="1" applyAlignment="1">
      <alignment horizontal="center" vertical="center" wrapText="1"/>
    </xf>
    <xf numFmtId="14" fontId="42" fillId="0" borderId="0" xfId="5" applyNumberFormat="1" applyFont="1" applyAlignment="1">
      <alignment horizontal="right" vertical="center" wrapText="1"/>
    </xf>
    <xf numFmtId="0" fontId="46" fillId="0" borderId="0" xfId="5" applyFont="1" applyAlignment="1">
      <alignment horizontal="center" vertical="center" wrapText="1"/>
    </xf>
    <xf numFmtId="0" fontId="43" fillId="0" borderId="0" xfId="5" applyFont="1" applyAlignment="1" applyProtection="1">
      <alignment horizontal="center" vertical="center"/>
      <protection locked="0"/>
    </xf>
    <xf numFmtId="164" fontId="6" fillId="0" borderId="0" xfId="5" applyNumberFormat="1" applyAlignment="1" applyProtection="1">
      <alignment horizontal="right" vertical="center" wrapText="1" indent="2"/>
      <protection locked="0"/>
    </xf>
    <xf numFmtId="10" fontId="13" fillId="0" borderId="0" xfId="14" applyNumberFormat="1" applyFont="1" applyFill="1" applyBorder="1" applyAlignment="1" applyProtection="1">
      <alignment vertical="center" wrapText="1"/>
      <protection locked="0"/>
    </xf>
    <xf numFmtId="10" fontId="6" fillId="0" borderId="0" xfId="5" applyNumberFormat="1" applyAlignment="1" applyProtection="1">
      <alignment vertical="center" wrapText="1"/>
      <protection locked="0"/>
    </xf>
    <xf numFmtId="0" fontId="9" fillId="0" borderId="0" xfId="0" applyFont="1" applyAlignment="1">
      <alignment horizontal="center" vertical="center"/>
    </xf>
    <xf numFmtId="172" fontId="13" fillId="0" borderId="0" xfId="2" applyNumberFormat="1" applyFont="1" applyFill="1" applyBorder="1" applyAlignment="1" applyProtection="1">
      <alignment vertical="center" wrapText="1"/>
      <protection locked="0"/>
    </xf>
    <xf numFmtId="172" fontId="6" fillId="0" borderId="0" xfId="5" applyNumberFormat="1" applyAlignment="1" applyProtection="1">
      <alignment horizontal="center" wrapText="1"/>
      <protection locked="0"/>
    </xf>
    <xf numFmtId="172" fontId="6" fillId="0" borderId="0" xfId="5" applyNumberFormat="1" applyAlignment="1" applyProtection="1">
      <alignment wrapText="1"/>
      <protection locked="0"/>
    </xf>
    <xf numFmtId="0" fontId="25" fillId="0" borderId="0" xfId="0" applyFont="1" applyAlignment="1">
      <alignment horizontal="left"/>
    </xf>
    <xf numFmtId="165" fontId="23" fillId="0" borderId="0" xfId="0" applyNumberFormat="1" applyFont="1"/>
    <xf numFmtId="0" fontId="60" fillId="0" borderId="0" xfId="0" applyFont="1"/>
    <xf numFmtId="0" fontId="58" fillId="0" borderId="0" xfId="0" applyFont="1" applyAlignment="1">
      <alignment horizontal="left"/>
    </xf>
    <xf numFmtId="0" fontId="57" fillId="0" borderId="0" xfId="0" applyFont="1" applyAlignment="1">
      <alignment horizontal="left"/>
    </xf>
    <xf numFmtId="0" fontId="57" fillId="0" borderId="0" xfId="0" applyFont="1" applyAlignment="1">
      <alignment horizontal="center"/>
    </xf>
    <xf numFmtId="0" fontId="62" fillId="0" borderId="0" xfId="0" applyFont="1"/>
    <xf numFmtId="0" fontId="23" fillId="0" borderId="0" xfId="0" applyFont="1" applyAlignment="1">
      <alignment horizontal="center"/>
    </xf>
    <xf numFmtId="165" fontId="23" fillId="0" borderId="0" xfId="0" applyNumberFormat="1" applyFont="1" applyAlignment="1">
      <alignment horizontal="center"/>
    </xf>
    <xf numFmtId="0" fontId="8" fillId="0" borderId="0" xfId="3" applyFont="1" applyFill="1" applyBorder="1" applyAlignment="1" applyProtection="1">
      <alignment horizontal="left" vertical="center" wrapText="1"/>
    </xf>
    <xf numFmtId="0" fontId="6" fillId="0" borderId="0" xfId="5" applyAlignment="1" applyProtection="1">
      <alignment horizontal="center" vertical="center"/>
      <protection locked="0"/>
    </xf>
    <xf numFmtId="0" fontId="52" fillId="0" borderId="0" xfId="5" applyFont="1" applyAlignment="1" applyProtection="1">
      <alignment horizontal="center" vertical="center"/>
      <protection locked="0"/>
    </xf>
    <xf numFmtId="0" fontId="33" fillId="0" borderId="0" xfId="0" applyFont="1"/>
    <xf numFmtId="172" fontId="9" fillId="0" borderId="0" xfId="5" applyNumberFormat="1" applyFont="1" applyProtection="1">
      <protection locked="0"/>
    </xf>
    <xf numFmtId="169" fontId="13" fillId="0" borderId="0" xfId="2" applyNumberFormat="1" applyFont="1" applyFill="1" applyBorder="1" applyAlignment="1" applyProtection="1">
      <alignment vertical="center"/>
    </xf>
    <xf numFmtId="10" fontId="13" fillId="0" borderId="0" xfId="14" applyNumberFormat="1" applyFont="1" applyFill="1" applyBorder="1" applyAlignment="1" applyProtection="1">
      <alignment vertical="center"/>
    </xf>
    <xf numFmtId="0" fontId="61" fillId="0" borderId="0" xfId="0" applyFont="1"/>
    <xf numFmtId="9" fontId="23" fillId="0" borderId="0" xfId="0" applyNumberFormat="1" applyFont="1" applyAlignment="1">
      <alignment horizontal="center"/>
    </xf>
    <xf numFmtId="165" fontId="63" fillId="0" borderId="0" xfId="0" applyNumberFormat="1" applyFont="1"/>
    <xf numFmtId="0" fontId="0" fillId="11" borderId="0" xfId="0" applyFill="1"/>
    <xf numFmtId="0" fontId="77" fillId="0" borderId="45" xfId="0" applyFont="1" applyBorder="1"/>
    <xf numFmtId="0" fontId="78" fillId="0" borderId="45" xfId="0" applyFont="1" applyBorder="1"/>
    <xf numFmtId="0" fontId="66" fillId="0" borderId="0" xfId="0" applyFont="1"/>
    <xf numFmtId="0" fontId="6" fillId="0" borderId="0" xfId="5" applyAlignment="1" applyProtection="1">
      <alignment horizontal="right" vertical="center"/>
      <protection locked="0"/>
    </xf>
    <xf numFmtId="169" fontId="0" fillId="0" borderId="0" xfId="2" applyNumberFormat="1" applyFont="1" applyFill="1" applyBorder="1" applyAlignment="1" applyProtection="1">
      <protection locked="0"/>
    </xf>
    <xf numFmtId="9" fontId="0" fillId="0" borderId="0" xfId="6" applyFont="1" applyFill="1" applyBorder="1" applyAlignment="1" applyProtection="1">
      <protection locked="0"/>
    </xf>
    <xf numFmtId="0" fontId="9" fillId="0" borderId="0" xfId="2" applyNumberFormat="1" applyFont="1" applyFill="1" applyBorder="1" applyAlignment="1" applyProtection="1">
      <alignment horizontal="right"/>
      <protection locked="0"/>
    </xf>
    <xf numFmtId="0" fontId="8" fillId="0" borderId="0" xfId="3" applyFont="1" applyFill="1" applyBorder="1" applyAlignment="1" applyProtection="1">
      <alignment horizontal="left"/>
    </xf>
    <xf numFmtId="0" fontId="0" fillId="0" borderId="0" xfId="4" applyFont="1" applyFill="1" applyBorder="1" applyProtection="1"/>
    <xf numFmtId="14" fontId="0" fillId="0" borderId="0" xfId="0" applyNumberFormat="1"/>
    <xf numFmtId="0" fontId="0" fillId="0" borderId="0" xfId="0" applyAlignment="1">
      <alignment horizontal="left"/>
    </xf>
    <xf numFmtId="0" fontId="19" fillId="0" borderId="0" xfId="0" applyFont="1" applyAlignment="1">
      <alignment horizontal="left" vertical="center"/>
    </xf>
    <xf numFmtId="0" fontId="19" fillId="0" borderId="0" xfId="0" applyFont="1" applyAlignment="1">
      <alignment horizontal="center"/>
    </xf>
    <xf numFmtId="10" fontId="39" fillId="0" borderId="0" xfId="0" applyNumberFormat="1" applyFont="1" applyAlignment="1" applyProtection="1">
      <alignment vertical="center" wrapText="1"/>
      <protection locked="0"/>
    </xf>
    <xf numFmtId="14" fontId="9" fillId="0" borderId="0" xfId="13" applyNumberFormat="1" applyFont="1" applyFill="1" applyBorder="1" applyAlignment="1" applyProtection="1">
      <alignment horizontal="center" vertical="center"/>
      <protection locked="0"/>
    </xf>
    <xf numFmtId="0" fontId="56" fillId="0" borderId="0" xfId="11" applyFont="1" applyFill="1" applyBorder="1" applyProtection="1"/>
    <xf numFmtId="0" fontId="8" fillId="0" borderId="0" xfId="3" applyFont="1" applyFill="1" applyBorder="1" applyAlignment="1" applyProtection="1">
      <alignment horizontal="left" vertical="center"/>
    </xf>
    <xf numFmtId="1" fontId="0" fillId="0" borderId="0" xfId="0" applyNumberFormat="1"/>
    <xf numFmtId="173" fontId="0" fillId="0" borderId="0" xfId="0" applyNumberFormat="1"/>
    <xf numFmtId="1" fontId="56" fillId="0" borderId="0" xfId="11" applyNumberFormat="1" applyFont="1" applyFill="1" applyBorder="1" applyProtection="1"/>
    <xf numFmtId="169" fontId="56" fillId="0" borderId="0" xfId="2" applyNumberFormat="1" applyFont="1" applyFill="1" applyBorder="1" applyProtection="1"/>
    <xf numFmtId="169" fontId="0" fillId="0" borderId="0" xfId="0" applyNumberFormat="1" applyProtection="1">
      <protection locked="0"/>
    </xf>
    <xf numFmtId="0" fontId="21" fillId="0" borderId="0" xfId="4" applyFont="1" applyFill="1" applyBorder="1" applyProtection="1"/>
    <xf numFmtId="0" fontId="0" fillId="0" borderId="40" xfId="0" applyBorder="1"/>
    <xf numFmtId="0" fontId="24" fillId="0" borderId="0" xfId="10" applyFont="1" applyFill="1" applyAlignment="1" applyProtection="1">
      <alignment wrapText="1"/>
    </xf>
    <xf numFmtId="0" fontId="9" fillId="0" borderId="0" xfId="0" applyFont="1" applyProtection="1">
      <protection locked="0"/>
    </xf>
    <xf numFmtId="0" fontId="9" fillId="0" borderId="0" xfId="0" quotePrefix="1" applyFont="1" applyProtection="1">
      <protection locked="0"/>
    </xf>
    <xf numFmtId="169" fontId="9" fillId="0" borderId="0" xfId="0" applyNumberFormat="1" applyFont="1" applyProtection="1">
      <protection locked="0"/>
    </xf>
    <xf numFmtId="1" fontId="82" fillId="0" borderId="56" xfId="11" applyNumberFormat="1" applyFont="1" applyBorder="1" applyProtection="1"/>
    <xf numFmtId="0" fontId="82" fillId="0" borderId="47" xfId="11" applyFont="1" applyBorder="1" applyProtection="1"/>
    <xf numFmtId="0" fontId="0" fillId="11" borderId="0" xfId="0" applyFill="1" applyProtection="1">
      <protection locked="0"/>
    </xf>
    <xf numFmtId="171" fontId="25" fillId="0" borderId="0" xfId="0" applyNumberFormat="1" applyFont="1" applyAlignment="1" applyProtection="1">
      <alignment vertical="center"/>
      <protection locked="0"/>
    </xf>
    <xf numFmtId="0" fontId="0" fillId="11" borderId="0" xfId="0" applyFill="1" applyAlignment="1" applyProtection="1">
      <alignment horizontal="left" vertical="center"/>
      <protection locked="0"/>
    </xf>
    <xf numFmtId="0" fontId="67" fillId="0" borderId="0" xfId="0" applyFont="1"/>
    <xf numFmtId="0" fontId="25" fillId="0" borderId="0" xfId="4" applyFont="1" applyFill="1" applyBorder="1" applyProtection="1"/>
    <xf numFmtId="0" fontId="34" fillId="0" borderId="0" xfId="0" applyFont="1" applyAlignment="1">
      <alignment vertical="center"/>
    </xf>
    <xf numFmtId="173" fontId="80" fillId="0" borderId="0" xfId="2" applyNumberFormat="1" applyFont="1" applyFill="1" applyBorder="1" applyProtection="1"/>
    <xf numFmtId="0" fontId="25" fillId="0" borderId="0" xfId="0" applyFont="1" applyAlignment="1">
      <alignment vertical="center"/>
    </xf>
    <xf numFmtId="173" fontId="21" fillId="0" borderId="0" xfId="2" applyNumberFormat="1" applyFont="1" applyFill="1" applyBorder="1" applyProtection="1"/>
    <xf numFmtId="0" fontId="84" fillId="4" borderId="0" xfId="1" applyNumberFormat="1" applyFont="1" applyFill="1" applyAlignment="1">
      <alignment vertical="top"/>
    </xf>
    <xf numFmtId="0" fontId="9" fillId="0" borderId="0" xfId="0" applyFont="1" applyAlignment="1">
      <alignment horizontal="right" vertical="center"/>
    </xf>
    <xf numFmtId="1" fontId="9" fillId="0" borderId="5" xfId="0" applyNumberFormat="1" applyFont="1" applyBorder="1" applyAlignment="1">
      <alignment vertical="center"/>
    </xf>
    <xf numFmtId="0" fontId="21" fillId="0" borderId="3" xfId="4" applyFont="1" applyFill="1" applyBorder="1" applyAlignment="1" applyProtection="1">
      <alignment vertical="center"/>
    </xf>
    <xf numFmtId="0" fontId="29" fillId="11" borderId="3" xfId="3" applyFont="1" applyFill="1" applyBorder="1" applyAlignment="1" applyProtection="1">
      <alignment horizontal="left" vertical="center" wrapText="1"/>
    </xf>
    <xf numFmtId="0" fontId="29" fillId="11" borderId="3" xfId="3" applyFont="1" applyFill="1" applyBorder="1" applyAlignment="1" applyProtection="1">
      <alignment horizontal="left" vertical="center"/>
    </xf>
    <xf numFmtId="0" fontId="7" fillId="0" borderId="0" xfId="4" applyFont="1" applyFill="1" applyBorder="1" applyProtection="1"/>
    <xf numFmtId="0" fontId="0" fillId="0" borderId="0" xfId="0" applyAlignment="1">
      <alignment horizontal="right"/>
    </xf>
    <xf numFmtId="0" fontId="0" fillId="0" borderId="0" xfId="0" applyAlignment="1">
      <alignment horizontal="left" vertical="center"/>
    </xf>
    <xf numFmtId="1" fontId="7" fillId="0" borderId="0" xfId="0" applyNumberFormat="1" applyFont="1"/>
    <xf numFmtId="0" fontId="29" fillId="0" borderId="0" xfId="0" applyFont="1" applyAlignment="1">
      <alignment horizontal="left" wrapText="1"/>
    </xf>
    <xf numFmtId="0" fontId="83" fillId="4" borderId="0" xfId="1" applyNumberFormat="1" applyFont="1" applyFill="1" applyAlignment="1"/>
    <xf numFmtId="0" fontId="9" fillId="0" borderId="4" xfId="4" applyFont="1" applyFill="1" applyBorder="1" applyAlignment="1" applyProtection="1">
      <alignment vertical="center"/>
    </xf>
    <xf numFmtId="0" fontId="9" fillId="0" borderId="4" xfId="0" applyFont="1" applyBorder="1" applyAlignment="1">
      <alignment vertical="center"/>
    </xf>
    <xf numFmtId="0" fontId="9" fillId="0" borderId="65" xfId="0" applyFont="1" applyBorder="1" applyAlignment="1">
      <alignment vertical="center"/>
    </xf>
    <xf numFmtId="1" fontId="30" fillId="0" borderId="53" xfId="12" applyNumberFormat="1" applyFont="1" applyBorder="1" applyAlignment="1" applyProtection="1">
      <alignment horizontal="center" vertical="center"/>
    </xf>
    <xf numFmtId="9" fontId="9" fillId="0" borderId="0" xfId="6" quotePrefix="1" applyFont="1" applyFill="1" applyBorder="1" applyAlignment="1" applyProtection="1">
      <alignment horizontal="left" vertical="center"/>
      <protection locked="0"/>
    </xf>
    <xf numFmtId="9" fontId="9" fillId="0" borderId="0" xfId="6" applyFont="1" applyFill="1" applyBorder="1" applyAlignment="1" applyProtection="1">
      <alignment horizontal="left" vertical="center"/>
      <protection locked="0"/>
    </xf>
    <xf numFmtId="2" fontId="9" fillId="0" borderId="0" xfId="0" applyNumberFormat="1" applyFont="1" applyProtection="1">
      <protection locked="0"/>
    </xf>
    <xf numFmtId="0" fontId="82" fillId="0" borderId="0" xfId="11" applyFont="1" applyFill="1" applyBorder="1" applyProtection="1"/>
    <xf numFmtId="1" fontId="82" fillId="0" borderId="0" xfId="11" applyNumberFormat="1" applyFont="1" applyFill="1" applyBorder="1" applyProtection="1"/>
    <xf numFmtId="0" fontId="66" fillId="0" borderId="0" xfId="0" applyFont="1" applyAlignment="1">
      <alignment wrapText="1"/>
    </xf>
    <xf numFmtId="0" fontId="89" fillId="4" borderId="0" xfId="1" applyNumberFormat="1" applyFont="1" applyFill="1" applyAlignment="1">
      <alignment vertical="top"/>
    </xf>
    <xf numFmtId="0" fontId="69" fillId="0" borderId="0" xfId="8" applyFont="1" applyFill="1" applyBorder="1" applyAlignment="1">
      <alignment horizontal="center" vertical="center" wrapText="1"/>
    </xf>
    <xf numFmtId="0" fontId="38" fillId="0" borderId="0" xfId="0" applyFont="1" applyAlignment="1">
      <alignment horizontal="left" indent="1"/>
    </xf>
    <xf numFmtId="0" fontId="90" fillId="0" borderId="0" xfId="0" applyFont="1" applyAlignment="1">
      <alignment horizontal="center" vertical="center"/>
    </xf>
    <xf numFmtId="0" fontId="0" fillId="4" borderId="0" xfId="0" applyFill="1" applyProtection="1">
      <protection locked="0"/>
    </xf>
    <xf numFmtId="0" fontId="9" fillId="4" borderId="0" xfId="0" quotePrefix="1" applyFont="1" applyFill="1" applyAlignment="1" applyProtection="1">
      <alignment horizontal="left" vertical="top" wrapText="1"/>
      <protection locked="0"/>
    </xf>
    <xf numFmtId="0" fontId="9" fillId="4" borderId="0" xfId="0" applyFont="1" applyFill="1" applyAlignment="1">
      <alignment horizontal="left" vertical="center"/>
    </xf>
    <xf numFmtId="1" fontId="9" fillId="4" borderId="0" xfId="0" applyNumberFormat="1" applyFont="1" applyFill="1"/>
    <xf numFmtId="0" fontId="0" fillId="4" borderId="0" xfId="0" applyFill="1"/>
    <xf numFmtId="0" fontId="29" fillId="4" borderId="0" xfId="15" applyFont="1" applyFill="1" applyBorder="1" applyAlignment="1" applyProtection="1">
      <alignment horizontal="center" vertical="center" wrapText="1"/>
    </xf>
    <xf numFmtId="0" fontId="9" fillId="4" borderId="0" xfId="0" quotePrefix="1" applyFont="1" applyFill="1" applyAlignment="1" applyProtection="1">
      <alignment vertical="top" wrapText="1"/>
      <protection locked="0"/>
    </xf>
    <xf numFmtId="0" fontId="21" fillId="4" borderId="0" xfId="4" applyFont="1" applyFill="1" applyBorder="1" applyProtection="1"/>
    <xf numFmtId="1" fontId="21" fillId="4" borderId="0" xfId="0" applyNumberFormat="1" applyFont="1" applyFill="1"/>
    <xf numFmtId="0" fontId="64" fillId="4" borderId="0" xfId="0" applyFont="1" applyFill="1"/>
    <xf numFmtId="1" fontId="9" fillId="4" borderId="0" xfId="0" applyNumberFormat="1" applyFont="1" applyFill="1" applyAlignment="1">
      <alignment horizontal="left" vertical="center"/>
    </xf>
    <xf numFmtId="1" fontId="21" fillId="4" borderId="0" xfId="0" applyNumberFormat="1" applyFont="1" applyFill="1" applyAlignment="1">
      <alignment horizontal="left" vertical="center"/>
    </xf>
    <xf numFmtId="0" fontId="21" fillId="0" borderId="69" xfId="4" applyFont="1" applyFill="1" applyBorder="1" applyAlignment="1" applyProtection="1">
      <alignment vertical="center"/>
    </xf>
    <xf numFmtId="0" fontId="21" fillId="0" borderId="66" xfId="4" applyFont="1" applyFill="1" applyBorder="1" applyAlignment="1" applyProtection="1">
      <alignment vertical="center"/>
    </xf>
    <xf numFmtId="2" fontId="64" fillId="4" borderId="0" xfId="0" applyNumberFormat="1" applyFont="1" applyFill="1"/>
    <xf numFmtId="0" fontId="67" fillId="0" borderId="0" xfId="0" applyFont="1" applyAlignment="1">
      <alignment wrapText="1"/>
    </xf>
    <xf numFmtId="0" fontId="91" fillId="0" borderId="0" xfId="0" applyFont="1" applyAlignment="1">
      <alignment wrapText="1"/>
    </xf>
    <xf numFmtId="0" fontId="65" fillId="0" borderId="0" xfId="0" applyFont="1" applyAlignment="1">
      <alignment vertical="center"/>
    </xf>
    <xf numFmtId="14" fontId="33" fillId="0" borderId="0" xfId="0" applyNumberFormat="1" applyFont="1"/>
    <xf numFmtId="14" fontId="33" fillId="0" borderId="0" xfId="0" applyNumberFormat="1" applyFont="1" applyAlignment="1">
      <alignment horizontal="left"/>
    </xf>
    <xf numFmtId="0" fontId="65" fillId="4" borderId="19" xfId="0" applyFont="1" applyFill="1" applyBorder="1" applyAlignment="1">
      <alignment horizontal="left" vertical="center"/>
    </xf>
    <xf numFmtId="0" fontId="65" fillId="4" borderId="21" xfId="0" applyFont="1" applyFill="1" applyBorder="1" applyAlignment="1">
      <alignment horizontal="left"/>
    </xf>
    <xf numFmtId="0" fontId="65" fillId="0" borderId="0" xfId="0" applyFont="1" applyAlignment="1">
      <alignment horizontal="left"/>
    </xf>
    <xf numFmtId="0" fontId="65" fillId="0" borderId="0" xfId="0" applyFont="1" applyAlignment="1">
      <alignment horizontal="left" vertical="center"/>
    </xf>
    <xf numFmtId="165" fontId="77" fillId="0" borderId="0" xfId="0" applyNumberFormat="1" applyFont="1" applyAlignment="1">
      <alignment horizontal="center" vertical="center"/>
    </xf>
    <xf numFmtId="0" fontId="21" fillId="0" borderId="19" xfId="0" applyFont="1" applyBorder="1" applyAlignment="1">
      <alignment horizontal="center" vertical="center"/>
    </xf>
    <xf numFmtId="0" fontId="21" fillId="0" borderId="0" xfId="0" applyFont="1" applyAlignment="1">
      <alignment horizontal="left" vertical="center"/>
    </xf>
    <xf numFmtId="0" fontId="79" fillId="0" borderId="0" xfId="0" applyFont="1" applyAlignment="1">
      <alignment horizontal="center" vertical="center"/>
    </xf>
    <xf numFmtId="0" fontId="9" fillId="0" borderId="61" xfId="5" applyFont="1" applyBorder="1" applyAlignment="1">
      <alignment horizontal="left"/>
    </xf>
    <xf numFmtId="0" fontId="7" fillId="0" borderId="0" xfId="0" applyFont="1"/>
    <xf numFmtId="2" fontId="0" fillId="0" borderId="0" xfId="0" applyNumberFormat="1" applyAlignment="1">
      <alignment horizontal="center"/>
    </xf>
    <xf numFmtId="173" fontId="0" fillId="0" borderId="0" xfId="2" applyNumberFormat="1" applyFont="1" applyAlignment="1">
      <alignment horizontal="center"/>
    </xf>
    <xf numFmtId="2" fontId="7" fillId="0" borderId="0" xfId="0" applyNumberFormat="1" applyFont="1" applyAlignment="1">
      <alignment horizontal="center"/>
    </xf>
    <xf numFmtId="173" fontId="0" fillId="0" borderId="0" xfId="0" applyNumberFormat="1" applyAlignment="1">
      <alignment horizontal="center"/>
    </xf>
    <xf numFmtId="173" fontId="7" fillId="0" borderId="0" xfId="0" applyNumberFormat="1" applyFont="1" applyAlignment="1">
      <alignment horizontal="center"/>
    </xf>
    <xf numFmtId="0" fontId="9" fillId="4" borderId="5" xfId="0" applyFont="1" applyFill="1" applyBorder="1" applyAlignment="1" applyProtection="1">
      <alignment vertical="center"/>
      <protection locked="0"/>
    </xf>
    <xf numFmtId="0" fontId="33" fillId="4" borderId="0" xfId="0" applyFont="1" applyFill="1"/>
    <xf numFmtId="0" fontId="21" fillId="0" borderId="66" xfId="4" applyFont="1" applyFill="1" applyBorder="1" applyAlignment="1" applyProtection="1">
      <alignment vertical="center" wrapText="1"/>
    </xf>
    <xf numFmtId="173" fontId="9" fillId="0" borderId="0" xfId="2" applyNumberFormat="1" applyFont="1" applyAlignment="1">
      <alignment horizontal="center"/>
    </xf>
    <xf numFmtId="0" fontId="9" fillId="21" borderId="5" xfId="0" applyFont="1" applyFill="1" applyBorder="1" applyAlignment="1" applyProtection="1">
      <alignment horizontal="center" vertical="center"/>
      <protection locked="0"/>
    </xf>
    <xf numFmtId="1" fontId="9" fillId="0" borderId="0" xfId="0" applyNumberFormat="1" applyFont="1"/>
    <xf numFmtId="1" fontId="21" fillId="11" borderId="0" xfId="0" applyNumberFormat="1" applyFont="1" applyFill="1" applyAlignment="1">
      <alignment horizontal="center"/>
    </xf>
    <xf numFmtId="1" fontId="9" fillId="0" borderId="0" xfId="2" applyNumberFormat="1" applyFont="1" applyAlignment="1">
      <alignment horizontal="center"/>
    </xf>
    <xf numFmtId="0" fontId="7" fillId="4" borderId="0" xfId="0" applyFont="1" applyFill="1" applyAlignment="1">
      <alignment horizontal="center" vertical="center"/>
    </xf>
    <xf numFmtId="0" fontId="7" fillId="4" borderId="0" xfId="0" applyFont="1" applyFill="1"/>
    <xf numFmtId="0" fontId="0" fillId="0" borderId="0" xfId="0" quotePrefix="1"/>
    <xf numFmtId="0" fontId="76" fillId="0" borderId="0" xfId="0" applyFont="1"/>
    <xf numFmtId="0" fontId="21" fillId="0" borderId="0" xfId="4" applyFont="1" applyFill="1" applyAlignment="1">
      <alignment vertical="center"/>
    </xf>
    <xf numFmtId="0" fontId="21" fillId="0" borderId="19" xfId="4" applyFont="1" applyFill="1" applyBorder="1" applyAlignment="1">
      <alignment vertical="center"/>
    </xf>
    <xf numFmtId="0" fontId="67" fillId="0" borderId="0" xfId="0" quotePrefix="1" applyFont="1"/>
    <xf numFmtId="0" fontId="21" fillId="0" borderId="2" xfId="5" applyFont="1" applyBorder="1" applyAlignment="1">
      <alignment horizontal="left" vertical="center"/>
    </xf>
    <xf numFmtId="0" fontId="37" fillId="5" borderId="0" xfId="0" applyFont="1" applyFill="1"/>
    <xf numFmtId="0" fontId="9" fillId="5" borderId="0" xfId="0" applyFont="1" applyFill="1"/>
    <xf numFmtId="0" fontId="40" fillId="5" borderId="0" xfId="0" applyFont="1" applyFill="1"/>
    <xf numFmtId="0" fontId="19" fillId="5" borderId="0" xfId="0" applyFont="1" applyFill="1" applyAlignment="1">
      <alignment vertical="center"/>
    </xf>
    <xf numFmtId="170" fontId="9" fillId="5" borderId="0" xfId="0" applyNumberFormat="1" applyFont="1" applyFill="1"/>
    <xf numFmtId="9" fontId="9" fillId="0" borderId="0" xfId="0" applyNumberFormat="1" applyFont="1" applyAlignment="1">
      <alignment horizontal="center" vertical="center"/>
    </xf>
    <xf numFmtId="0" fontId="82" fillId="0" borderId="0" xfId="11" applyFont="1" applyBorder="1" applyProtection="1"/>
    <xf numFmtId="1" fontId="82" fillId="0" borderId="0" xfId="11" applyNumberFormat="1" applyFont="1" applyBorder="1" applyProtection="1"/>
    <xf numFmtId="169" fontId="82" fillId="0" borderId="0" xfId="2" applyNumberFormat="1" applyFont="1" applyBorder="1" applyProtection="1"/>
    <xf numFmtId="0" fontId="31" fillId="4" borderId="0" xfId="9" applyFont="1" applyFill="1" applyBorder="1" applyAlignment="1">
      <alignment horizontal="left" vertical="center" wrapText="1"/>
    </xf>
    <xf numFmtId="0" fontId="31" fillId="4" borderId="0" xfId="9" applyFont="1" applyFill="1" applyBorder="1" applyAlignment="1">
      <alignment horizontal="right" vertical="top" wrapText="1"/>
    </xf>
    <xf numFmtId="0" fontId="9" fillId="4" borderId="0" xfId="0" applyFont="1" applyFill="1" applyAlignment="1">
      <alignment horizontal="center"/>
    </xf>
    <xf numFmtId="0" fontId="21" fillId="4" borderId="0" xfId="0" applyFont="1" applyFill="1" applyAlignment="1">
      <alignment vertical="center"/>
    </xf>
    <xf numFmtId="1" fontId="9" fillId="20" borderId="20" xfId="0" applyNumberFormat="1" applyFont="1" applyFill="1" applyBorder="1" applyAlignment="1">
      <alignment horizontal="center"/>
    </xf>
    <xf numFmtId="1" fontId="9" fillId="20" borderId="22" xfId="0" applyNumberFormat="1" applyFont="1" applyFill="1" applyBorder="1" applyAlignment="1">
      <alignment horizontal="center"/>
    </xf>
    <xf numFmtId="0" fontId="29" fillId="11" borderId="38" xfId="8" applyFont="1" applyFill="1" applyBorder="1" applyAlignment="1">
      <alignment horizontal="left" vertical="center" wrapText="1"/>
    </xf>
    <xf numFmtId="0" fontId="29" fillId="11" borderId="77" xfId="8" applyFont="1" applyFill="1" applyBorder="1" applyAlignment="1">
      <alignment horizontal="left" vertical="center" wrapText="1"/>
    </xf>
    <xf numFmtId="1" fontId="9" fillId="20" borderId="18" xfId="0" applyNumberFormat="1" applyFont="1" applyFill="1" applyBorder="1" applyAlignment="1">
      <alignment horizontal="center"/>
    </xf>
    <xf numFmtId="9" fontId="9" fillId="4" borderId="17" xfId="0" applyNumberFormat="1" applyFont="1" applyFill="1" applyBorder="1" applyAlignment="1">
      <alignment horizontal="center"/>
    </xf>
    <xf numFmtId="9" fontId="9" fillId="4" borderId="19" xfId="0" applyNumberFormat="1" applyFont="1" applyFill="1" applyBorder="1" applyAlignment="1">
      <alignment horizontal="center"/>
    </xf>
    <xf numFmtId="9" fontId="9" fillId="4" borderId="21" xfId="0" applyNumberFormat="1" applyFont="1" applyFill="1" applyBorder="1" applyAlignment="1">
      <alignment horizontal="center"/>
    </xf>
    <xf numFmtId="1" fontId="9" fillId="4" borderId="81" xfId="0" applyNumberFormat="1" applyFont="1" applyFill="1" applyBorder="1" applyAlignment="1">
      <alignment horizontal="center"/>
    </xf>
    <xf numFmtId="1" fontId="9" fillId="4" borderId="2" xfId="0" applyNumberFormat="1" applyFont="1" applyFill="1" applyBorder="1" applyAlignment="1">
      <alignment horizontal="center"/>
    </xf>
    <xf numFmtId="1" fontId="9" fillId="4" borderId="82" xfId="0" applyNumberFormat="1" applyFont="1" applyFill="1" applyBorder="1" applyAlignment="1">
      <alignment horizontal="center"/>
    </xf>
    <xf numFmtId="0" fontId="7" fillId="2" borderId="31" xfId="8" applyFont="1" applyBorder="1" applyAlignment="1">
      <alignment horizontal="center" vertical="center" wrapText="1"/>
    </xf>
    <xf numFmtId="9" fontId="9" fillId="12" borderId="83" xfId="6" applyFont="1" applyFill="1" applyBorder="1" applyAlignment="1">
      <alignment horizontal="center" vertical="center"/>
    </xf>
    <xf numFmtId="9" fontId="9" fillId="12" borderId="31" xfId="6" applyFont="1" applyFill="1" applyBorder="1" applyAlignment="1">
      <alignment horizontal="center" vertical="center"/>
    </xf>
    <xf numFmtId="9" fontId="9" fillId="12" borderId="1" xfId="6" applyFont="1" applyFill="1" applyBorder="1" applyAlignment="1">
      <alignment horizontal="center" vertical="center"/>
    </xf>
    <xf numFmtId="0" fontId="9" fillId="7" borderId="19" xfId="0" applyFont="1" applyFill="1" applyBorder="1"/>
    <xf numFmtId="9" fontId="9" fillId="7" borderId="20" xfId="0" applyNumberFormat="1" applyFont="1" applyFill="1" applyBorder="1" applyAlignment="1">
      <alignment horizontal="center" vertical="center"/>
    </xf>
    <xf numFmtId="0" fontId="9" fillId="7" borderId="21" xfId="0" applyFont="1" applyFill="1" applyBorder="1"/>
    <xf numFmtId="9" fontId="9" fillId="7" borderId="22" xfId="0" applyNumberFormat="1" applyFont="1" applyFill="1" applyBorder="1" applyAlignment="1">
      <alignment horizontal="center" vertical="center"/>
    </xf>
    <xf numFmtId="2" fontId="9" fillId="0" borderId="0" xfId="0" applyNumberFormat="1" applyFont="1" applyAlignment="1">
      <alignment horizontal="right" wrapText="1"/>
    </xf>
    <xf numFmtId="0" fontId="98" fillId="0" borderId="0" xfId="0" applyFont="1"/>
    <xf numFmtId="0" fontId="33" fillId="4" borderId="20" xfId="0" applyFont="1" applyFill="1" applyBorder="1"/>
    <xf numFmtId="14" fontId="33" fillId="4" borderId="20" xfId="0" applyNumberFormat="1" applyFont="1" applyFill="1" applyBorder="1" applyAlignment="1">
      <alignment horizontal="left"/>
    </xf>
    <xf numFmtId="1" fontId="33" fillId="4" borderId="20" xfId="0" applyNumberFormat="1" applyFont="1" applyFill="1" applyBorder="1" applyAlignment="1">
      <alignment horizontal="left"/>
    </xf>
    <xf numFmtId="169" fontId="101" fillId="4" borderId="61" xfId="2" applyNumberFormat="1" applyFont="1" applyFill="1" applyBorder="1"/>
    <xf numFmtId="169" fontId="101" fillId="4" borderId="85" xfId="2" applyNumberFormat="1" applyFont="1" applyFill="1" applyBorder="1"/>
    <xf numFmtId="0" fontId="21" fillId="0" borderId="91" xfId="5" applyFont="1" applyBorder="1" applyAlignment="1">
      <alignment horizontal="left" vertical="center"/>
    </xf>
    <xf numFmtId="0" fontId="0" fillId="0" borderId="67" xfId="0" applyBorder="1"/>
    <xf numFmtId="0" fontId="9" fillId="0" borderId="61" xfId="0" applyFont="1" applyBorder="1" applyAlignment="1">
      <alignment horizontal="left"/>
    </xf>
    <xf numFmtId="0" fontId="9" fillId="0" borderId="61" xfId="5" applyFont="1" applyBorder="1" applyAlignment="1" applyProtection="1">
      <alignment horizontal="left" vertical="center" wrapText="1"/>
      <protection locked="0"/>
    </xf>
    <xf numFmtId="0" fontId="9" fillId="0" borderId="63" xfId="5" applyFont="1" applyBorder="1" applyAlignment="1" applyProtection="1">
      <alignment horizontal="left" vertical="center" wrapText="1"/>
      <protection locked="0"/>
    </xf>
    <xf numFmtId="0" fontId="106" fillId="0" borderId="0" xfId="0" applyFont="1"/>
    <xf numFmtId="0" fontId="7" fillId="23" borderId="17" xfId="0" applyFont="1" applyFill="1" applyBorder="1"/>
    <xf numFmtId="1" fontId="0" fillId="0" borderId="23" xfId="0" applyNumberFormat="1" applyBorder="1"/>
    <xf numFmtId="1" fontId="0" fillId="4" borderId="23" xfId="0" applyNumberFormat="1" applyFill="1" applyBorder="1"/>
    <xf numFmtId="0" fontId="0" fillId="0" borderId="23" xfId="0" applyBorder="1"/>
    <xf numFmtId="0" fontId="0" fillId="0" borderId="18" xfId="0" applyBorder="1"/>
    <xf numFmtId="0" fontId="0" fillId="0" borderId="21" xfId="0" applyBorder="1"/>
    <xf numFmtId="9" fontId="0" fillId="0" borderId="24" xfId="0" applyNumberFormat="1" applyBorder="1"/>
    <xf numFmtId="9" fontId="0" fillId="0" borderId="22" xfId="0" applyNumberFormat="1" applyBorder="1"/>
    <xf numFmtId="1" fontId="82" fillId="4" borderId="56" xfId="11" applyNumberFormat="1" applyFont="1" applyFill="1" applyBorder="1" applyProtection="1"/>
    <xf numFmtId="1" fontId="9" fillId="4" borderId="0" xfId="0" applyNumberFormat="1" applyFont="1" applyFill="1" applyProtection="1">
      <protection locked="0"/>
    </xf>
    <xf numFmtId="168" fontId="16" fillId="17" borderId="7" xfId="1" applyFont="1" applyFill="1" applyBorder="1" applyAlignment="1">
      <alignment vertical="center"/>
    </xf>
    <xf numFmtId="0" fontId="15" fillId="17" borderId="8" xfId="5" applyFont="1" applyFill="1" applyBorder="1" applyAlignment="1">
      <alignment vertical="center"/>
    </xf>
    <xf numFmtId="168" fontId="15" fillId="17" borderId="8" xfId="1" applyFont="1" applyFill="1" applyBorder="1" applyAlignment="1">
      <alignment vertical="center"/>
    </xf>
    <xf numFmtId="0" fontId="15" fillId="17" borderId="8" xfId="5" applyFont="1" applyFill="1" applyBorder="1" applyAlignment="1">
      <alignment horizontal="center" vertical="center"/>
    </xf>
    <xf numFmtId="0" fontId="15" fillId="17" borderId="9" xfId="5" applyFont="1" applyFill="1" applyBorder="1" applyAlignment="1">
      <alignment vertical="center"/>
    </xf>
    <xf numFmtId="168" fontId="16" fillId="17" borderId="10" xfId="1" applyFont="1" applyFill="1" applyBorder="1" applyAlignment="1">
      <alignment vertical="center"/>
    </xf>
    <xf numFmtId="0" fontId="107" fillId="17" borderId="0" xfId="5" applyFont="1" applyFill="1" applyAlignment="1">
      <alignment vertical="center"/>
    </xf>
    <xf numFmtId="168" fontId="15" fillId="17" borderId="0" xfId="1" applyFont="1" applyFill="1" applyBorder="1" applyAlignment="1">
      <alignment vertical="center"/>
    </xf>
    <xf numFmtId="0" fontId="15" fillId="17" borderId="0" xfId="5" applyFont="1" applyFill="1" applyAlignment="1">
      <alignment vertical="center"/>
    </xf>
    <xf numFmtId="0" fontId="15" fillId="17" borderId="0" xfId="5" applyFont="1" applyFill="1" applyAlignment="1">
      <alignment horizontal="center" vertical="center"/>
    </xf>
    <xf numFmtId="0" fontId="15" fillId="17" borderId="11" xfId="5" applyFont="1" applyFill="1" applyBorder="1" applyAlignment="1">
      <alignment vertical="center"/>
    </xf>
    <xf numFmtId="0" fontId="18" fillId="17" borderId="0" xfId="5" applyFont="1" applyFill="1" applyAlignment="1">
      <alignment vertical="center"/>
    </xf>
    <xf numFmtId="0" fontId="16" fillId="17" borderId="0" xfId="5" applyFont="1" applyFill="1" applyAlignment="1">
      <alignment vertical="center"/>
    </xf>
    <xf numFmtId="0" fontId="18" fillId="17" borderId="0" xfId="5" applyFont="1" applyFill="1" applyAlignment="1">
      <alignment horizontal="center" vertical="center"/>
    </xf>
    <xf numFmtId="0" fontId="17" fillId="17" borderId="0" xfId="5" applyFont="1" applyFill="1" applyAlignment="1">
      <alignment vertical="center"/>
    </xf>
    <xf numFmtId="0" fontId="15" fillId="17" borderId="0" xfId="1" quotePrefix="1" applyNumberFormat="1" applyFont="1" applyFill="1" applyBorder="1" applyAlignment="1">
      <alignment horizontal="left" vertical="center" indent="1"/>
    </xf>
    <xf numFmtId="0" fontId="15" fillId="17" borderId="0" xfId="1" quotePrefix="1" applyNumberFormat="1" applyFont="1" applyFill="1" applyBorder="1" applyAlignment="1">
      <alignment horizontal="left" vertical="center"/>
    </xf>
    <xf numFmtId="168" fontId="16" fillId="17" borderId="12" xfId="1" applyFont="1" applyFill="1" applyBorder="1" applyAlignment="1">
      <alignment vertical="center"/>
    </xf>
    <xf numFmtId="0" fontId="15" fillId="17" borderId="13" xfId="5" applyFont="1" applyFill="1" applyBorder="1" applyAlignment="1">
      <alignment vertical="center"/>
    </xf>
    <xf numFmtId="168" fontId="15" fillId="17" borderId="13" xfId="1" applyFont="1" applyFill="1" applyBorder="1" applyAlignment="1">
      <alignment vertical="center"/>
    </xf>
    <xf numFmtId="0" fontId="15" fillId="17" borderId="13" xfId="5" applyFont="1" applyFill="1" applyBorder="1" applyAlignment="1">
      <alignment horizontal="center" vertical="center"/>
    </xf>
    <xf numFmtId="0" fontId="15" fillId="17" borderId="14" xfId="5" applyFont="1" applyFill="1" applyBorder="1" applyAlignment="1">
      <alignment vertical="center"/>
    </xf>
    <xf numFmtId="0" fontId="29" fillId="24" borderId="0" xfId="0" applyFont="1" applyFill="1" applyAlignment="1">
      <alignment horizontal="left" vertical="center" wrapText="1"/>
    </xf>
    <xf numFmtId="0" fontId="34" fillId="24" borderId="0" xfId="0" applyFont="1" applyFill="1" applyAlignment="1">
      <alignment vertical="center"/>
    </xf>
    <xf numFmtId="0" fontId="34" fillId="17" borderId="0" xfId="0" applyFont="1" applyFill="1" applyAlignment="1">
      <alignment vertical="center"/>
    </xf>
    <xf numFmtId="168" fontId="108" fillId="17" borderId="0" xfId="1" applyFont="1" applyFill="1" applyBorder="1" applyAlignment="1">
      <alignment horizontal="left" vertical="center"/>
    </xf>
    <xf numFmtId="0" fontId="65" fillId="11" borderId="95" xfId="0" applyFont="1" applyFill="1" applyBorder="1" applyAlignment="1">
      <alignment vertical="center"/>
    </xf>
    <xf numFmtId="0" fontId="65" fillId="11" borderId="96" xfId="0" applyFont="1" applyFill="1" applyBorder="1" applyAlignment="1">
      <alignment vertical="center"/>
    </xf>
    <xf numFmtId="0" fontId="65" fillId="4" borderId="59" xfId="0" applyFont="1" applyFill="1" applyBorder="1" applyAlignment="1">
      <alignment horizontal="left" vertical="center"/>
    </xf>
    <xf numFmtId="0" fontId="9" fillId="21" borderId="5" xfId="0" applyFont="1" applyFill="1" applyBorder="1" applyAlignment="1" applyProtection="1">
      <alignment horizontal="left" vertical="center"/>
      <protection locked="0"/>
    </xf>
    <xf numFmtId="0" fontId="9" fillId="21" borderId="5" xfId="0" applyFont="1" applyFill="1" applyBorder="1" applyAlignment="1" applyProtection="1">
      <alignment vertical="center"/>
      <protection locked="0"/>
    </xf>
    <xf numFmtId="0" fontId="9" fillId="21" borderId="3" xfId="0" applyFont="1" applyFill="1" applyBorder="1" applyAlignment="1" applyProtection="1">
      <alignment horizontal="left" vertical="center"/>
      <protection locked="0"/>
    </xf>
    <xf numFmtId="169" fontId="74" fillId="11" borderId="5" xfId="2" applyNumberFormat="1" applyFont="1" applyFill="1" applyBorder="1" applyAlignment="1" applyProtection="1">
      <alignment horizontal="right" vertical="center" wrapText="1" indent="2"/>
    </xf>
    <xf numFmtId="169" fontId="9" fillId="4" borderId="5" xfId="5" applyNumberFormat="1" applyFont="1" applyFill="1" applyBorder="1" applyAlignment="1" applyProtection="1">
      <alignment horizontal="right" vertical="center" wrapText="1" indent="2"/>
      <protection locked="0"/>
    </xf>
    <xf numFmtId="0" fontId="75" fillId="4" borderId="0" xfId="5" applyFont="1" applyFill="1"/>
    <xf numFmtId="0" fontId="65" fillId="4" borderId="63" xfId="0" applyFont="1" applyFill="1" applyBorder="1" applyAlignment="1">
      <alignment horizontal="left" vertical="center"/>
    </xf>
    <xf numFmtId="0" fontId="69" fillId="11" borderId="100" xfId="8" applyFont="1" applyFill="1" applyBorder="1" applyAlignment="1">
      <alignment horizontal="center" vertical="center" wrapText="1"/>
    </xf>
    <xf numFmtId="0" fontId="69" fillId="11" borderId="71" xfId="8" applyFont="1" applyFill="1" applyBorder="1" applyAlignment="1">
      <alignment horizontal="center" vertical="center" wrapText="1"/>
    </xf>
    <xf numFmtId="0" fontId="9" fillId="4" borderId="0" xfId="0" applyFont="1" applyFill="1" applyAlignment="1">
      <alignment horizontal="left"/>
    </xf>
    <xf numFmtId="0" fontId="21" fillId="4" borderId="0" xfId="0" applyFont="1" applyFill="1" applyAlignment="1">
      <alignment horizontal="center" vertical="center"/>
    </xf>
    <xf numFmtId="0" fontId="86" fillId="0" borderId="0" xfId="0" applyFont="1" applyAlignment="1">
      <alignment horizontal="center" vertical="center" wrapText="1"/>
    </xf>
    <xf numFmtId="0" fontId="21" fillId="4" borderId="0" xfId="0" applyFont="1" applyFill="1" applyAlignment="1">
      <alignment horizontal="center"/>
    </xf>
    <xf numFmtId="168" fontId="15" fillId="17" borderId="0" xfId="1" applyFont="1" applyFill="1" applyAlignment="1">
      <alignment vertical="center"/>
    </xf>
    <xf numFmtId="0" fontId="17" fillId="17" borderId="101" xfId="1" applyNumberFormat="1" applyFont="1" applyFill="1" applyBorder="1" applyAlignment="1">
      <alignment vertical="center"/>
    </xf>
    <xf numFmtId="0" fontId="15" fillId="17" borderId="101" xfId="5" applyFont="1" applyFill="1" applyBorder="1" applyAlignment="1">
      <alignment vertical="center"/>
    </xf>
    <xf numFmtId="0" fontId="15" fillId="17" borderId="101" xfId="5" applyFont="1" applyFill="1" applyBorder="1" applyAlignment="1">
      <alignment horizontal="center" vertical="center"/>
    </xf>
    <xf numFmtId="0" fontId="112" fillId="17" borderId="0" xfId="5" applyFont="1" applyFill="1" applyAlignment="1">
      <alignment horizontal="left" vertical="center"/>
    </xf>
    <xf numFmtId="0" fontId="112" fillId="17" borderId="0" xfId="5" applyFont="1" applyFill="1" applyAlignment="1">
      <alignment vertical="center"/>
    </xf>
    <xf numFmtId="9" fontId="9" fillId="4" borderId="0" xfId="6" applyFont="1" applyFill="1" applyBorder="1" applyAlignment="1">
      <alignment horizontal="center" vertical="center"/>
    </xf>
    <xf numFmtId="1" fontId="0" fillId="4" borderId="0" xfId="0" applyNumberFormat="1" applyFill="1"/>
    <xf numFmtId="170" fontId="9" fillId="4" borderId="0" xfId="0" applyNumberFormat="1" applyFont="1" applyFill="1"/>
    <xf numFmtId="9" fontId="9" fillId="4" borderId="0" xfId="0" applyNumberFormat="1" applyFont="1" applyFill="1" applyAlignment="1">
      <alignment horizontal="center" vertical="center"/>
    </xf>
    <xf numFmtId="2" fontId="9" fillId="4" borderId="0" xfId="0" applyNumberFormat="1" applyFont="1" applyFill="1" applyAlignment="1">
      <alignment horizontal="center" vertical="center"/>
    </xf>
    <xf numFmtId="170" fontId="9" fillId="4" borderId="0" xfId="0" applyNumberFormat="1" applyFont="1" applyFill="1" applyAlignment="1">
      <alignment horizontal="center" vertical="center"/>
    </xf>
    <xf numFmtId="0" fontId="21" fillId="4" borderId="0" xfId="0" applyFont="1" applyFill="1"/>
    <xf numFmtId="0" fontId="9" fillId="4" borderId="0" xfId="0" applyFont="1" applyFill="1" applyAlignment="1">
      <alignment horizontal="center" vertical="center"/>
    </xf>
    <xf numFmtId="0" fontId="33" fillId="4" borderId="0" xfId="0" applyFont="1" applyFill="1" applyAlignment="1">
      <alignment horizontal="center"/>
    </xf>
    <xf numFmtId="171" fontId="33" fillId="4" borderId="0" xfId="0" applyNumberFormat="1" applyFont="1" applyFill="1" applyAlignment="1">
      <alignment horizontal="center"/>
    </xf>
    <xf numFmtId="0" fontId="32" fillId="25" borderId="0" xfId="9" applyFont="1" applyFill="1" applyBorder="1" applyAlignment="1">
      <alignment horizontal="right" vertical="top" wrapText="1"/>
    </xf>
    <xf numFmtId="0" fontId="30" fillId="4" borderId="0" xfId="0" applyFont="1" applyFill="1" applyAlignment="1">
      <alignment horizontal="center" vertical="center"/>
    </xf>
    <xf numFmtId="0" fontId="21" fillId="4" borderId="0" xfId="0" applyFont="1" applyFill="1" applyAlignment="1">
      <alignment vertical="center" wrapText="1"/>
    </xf>
    <xf numFmtId="0" fontId="21" fillId="4" borderId="0" xfId="0" applyFont="1" applyFill="1" applyAlignment="1">
      <alignment horizontal="left" vertical="center" wrapText="1"/>
    </xf>
    <xf numFmtId="0" fontId="9" fillId="4" borderId="0" xfId="0" applyFont="1" applyFill="1" applyAlignment="1">
      <alignment vertical="center" wrapText="1"/>
    </xf>
    <xf numFmtId="9" fontId="0" fillId="4" borderId="0" xfId="0" applyNumberFormat="1" applyFill="1"/>
    <xf numFmtId="0" fontId="40" fillId="4" borderId="0" xfId="0" applyFont="1" applyFill="1"/>
    <xf numFmtId="169" fontId="103" fillId="4" borderId="62" xfId="2" applyNumberFormat="1" applyFont="1" applyFill="1" applyBorder="1"/>
    <xf numFmtId="169" fontId="103" fillId="4" borderId="64" xfId="2" applyNumberFormat="1" applyFont="1" applyFill="1" applyBorder="1"/>
    <xf numFmtId="0" fontId="85" fillId="0" borderId="0" xfId="0" applyFont="1" applyAlignment="1">
      <alignment horizontal="center"/>
    </xf>
    <xf numFmtId="0" fontId="9" fillId="4" borderId="62" xfId="0" applyFont="1" applyFill="1" applyBorder="1" applyAlignment="1">
      <alignment vertical="center"/>
    </xf>
    <xf numFmtId="0" fontId="26" fillId="0" borderId="0" xfId="0" applyFont="1" applyAlignment="1">
      <alignment horizontal="center" vertical="center" wrapText="1"/>
    </xf>
    <xf numFmtId="0" fontId="102" fillId="4" borderId="0" xfId="0" applyFont="1" applyFill="1" applyAlignment="1">
      <alignment vertical="center"/>
    </xf>
    <xf numFmtId="0" fontId="21" fillId="0" borderId="84" xfId="4" applyFont="1" applyFill="1" applyBorder="1" applyAlignment="1">
      <alignment vertical="center"/>
    </xf>
    <xf numFmtId="0" fontId="65" fillId="0" borderId="26" xfId="0" applyFont="1" applyBorder="1" applyAlignment="1">
      <alignment horizontal="left" vertical="center"/>
    </xf>
    <xf numFmtId="0" fontId="9" fillId="4" borderId="20" xfId="0" applyFont="1" applyFill="1" applyBorder="1" applyAlignment="1">
      <alignment vertical="center"/>
    </xf>
    <xf numFmtId="0" fontId="21" fillId="0" borderId="109" xfId="4" applyFont="1" applyFill="1" applyBorder="1" applyAlignment="1">
      <alignment vertical="center"/>
    </xf>
    <xf numFmtId="0" fontId="21" fillId="0" borderId="78" xfId="4" applyFont="1" applyFill="1" applyBorder="1" applyAlignment="1">
      <alignment vertical="center"/>
    </xf>
    <xf numFmtId="0" fontId="21" fillId="0" borderId="110" xfId="4" applyFont="1" applyFill="1" applyBorder="1" applyAlignment="1">
      <alignment vertical="center"/>
    </xf>
    <xf numFmtId="0" fontId="21" fillId="0" borderId="110" xfId="4" applyFont="1" applyFill="1" applyBorder="1" applyAlignment="1">
      <alignment vertical="center" wrapText="1"/>
    </xf>
    <xf numFmtId="1" fontId="9" fillId="4" borderId="20" xfId="0" applyNumberFormat="1" applyFont="1" applyFill="1" applyBorder="1" applyAlignment="1">
      <alignment horizontal="left" vertical="center"/>
    </xf>
    <xf numFmtId="169" fontId="26" fillId="0" borderId="0" xfId="2" applyNumberFormat="1" applyFont="1" applyFill="1" applyBorder="1"/>
    <xf numFmtId="169" fontId="101" fillId="0" borderId="0" xfId="2" applyNumberFormat="1" applyFont="1" applyFill="1" applyBorder="1"/>
    <xf numFmtId="169" fontId="26" fillId="0" borderId="0" xfId="2" applyNumberFormat="1" applyFont="1" applyFill="1" applyBorder="1" applyAlignment="1">
      <alignment vertical="center"/>
    </xf>
    <xf numFmtId="169" fontId="101" fillId="0" borderId="0" xfId="2" applyNumberFormat="1" applyFont="1" applyFill="1" applyBorder="1" applyAlignment="1">
      <alignment vertical="center"/>
    </xf>
    <xf numFmtId="1" fontId="9" fillId="4" borderId="5" xfId="0" applyNumberFormat="1" applyFont="1" applyFill="1" applyBorder="1" applyAlignment="1">
      <alignment vertical="center"/>
    </xf>
    <xf numFmtId="0" fontId="9" fillId="11" borderId="26" xfId="4" applyFont="1" applyFill="1" applyBorder="1" applyProtection="1"/>
    <xf numFmtId="0" fontId="9" fillId="11" borderId="19" xfId="4" applyFont="1" applyFill="1" applyBorder="1" applyProtection="1"/>
    <xf numFmtId="0" fontId="102" fillId="4" borderId="20" xfId="0" applyFont="1" applyFill="1" applyBorder="1" applyAlignment="1">
      <alignment horizontal="left"/>
    </xf>
    <xf numFmtId="0" fontId="9" fillId="11" borderId="21" xfId="4" applyFont="1" applyFill="1" applyBorder="1" applyProtection="1"/>
    <xf numFmtId="0" fontId="9" fillId="0" borderId="34" xfId="0" applyFont="1" applyBorder="1"/>
    <xf numFmtId="1" fontId="21" fillId="0" borderId="3" xfId="0" applyNumberFormat="1" applyFont="1" applyBorder="1" applyAlignment="1">
      <alignment vertical="center"/>
    </xf>
    <xf numFmtId="0" fontId="65" fillId="4" borderId="61" xfId="0" applyFont="1" applyFill="1" applyBorder="1" applyAlignment="1">
      <alignment horizontal="left" vertical="center"/>
    </xf>
    <xf numFmtId="169" fontId="103" fillId="4" borderId="60" xfId="2" applyNumberFormat="1" applyFont="1" applyFill="1" applyBorder="1"/>
    <xf numFmtId="0" fontId="38" fillId="0" borderId="0" xfId="0" applyFont="1" applyAlignment="1">
      <alignment vertical="top"/>
    </xf>
    <xf numFmtId="0" fontId="65" fillId="0" borderId="54" xfId="0" applyFont="1" applyBorder="1" applyAlignment="1">
      <alignment horizontal="left" vertical="center"/>
    </xf>
    <xf numFmtId="0" fontId="65" fillId="0" borderId="19" xfId="0" applyFont="1" applyBorder="1" applyAlignment="1">
      <alignment horizontal="left" vertical="center"/>
    </xf>
    <xf numFmtId="0" fontId="21" fillId="4" borderId="117" xfId="0" applyFont="1" applyFill="1" applyBorder="1" applyAlignment="1">
      <alignment horizontal="left" vertical="center" indent="1"/>
    </xf>
    <xf numFmtId="1" fontId="9" fillId="4" borderId="117" xfId="6" applyNumberFormat="1" applyFont="1" applyFill="1" applyBorder="1" applyAlignment="1">
      <alignment horizontal="left" vertical="center" indent="1"/>
    </xf>
    <xf numFmtId="1" fontId="9" fillId="4" borderId="117" xfId="6" applyNumberFormat="1" applyFont="1" applyFill="1" applyBorder="1" applyAlignment="1">
      <alignment horizontal="left" indent="1"/>
    </xf>
    <xf numFmtId="1" fontId="21" fillId="4" borderId="44" xfId="6" applyNumberFormat="1" applyFont="1" applyFill="1" applyBorder="1" applyAlignment="1">
      <alignment horizontal="left" indent="1"/>
    </xf>
    <xf numFmtId="0" fontId="9" fillId="4" borderId="54" xfId="0" applyFont="1" applyFill="1" applyBorder="1" applyAlignment="1">
      <alignment horizontal="left" vertical="center" indent="1"/>
    </xf>
    <xf numFmtId="0" fontId="9" fillId="4" borderId="54" xfId="0" applyFont="1" applyFill="1" applyBorder="1" applyAlignment="1">
      <alignment horizontal="left" vertical="center" wrapText="1" indent="1"/>
    </xf>
    <xf numFmtId="0" fontId="21" fillId="4" borderId="48" xfId="0" applyFont="1" applyFill="1" applyBorder="1" applyAlignment="1">
      <alignment horizontal="left" vertical="center" indent="1"/>
    </xf>
    <xf numFmtId="9" fontId="9" fillId="4" borderId="55" xfId="6" applyFont="1" applyFill="1" applyBorder="1" applyAlignment="1">
      <alignment horizontal="left" indent="1"/>
    </xf>
    <xf numFmtId="0" fontId="9" fillId="4" borderId="55" xfId="0" applyFont="1" applyFill="1" applyBorder="1" applyAlignment="1">
      <alignment horizontal="left" indent="1"/>
    </xf>
    <xf numFmtId="0" fontId="9" fillId="4" borderId="124" xfId="0" applyFont="1" applyFill="1" applyBorder="1" applyAlignment="1">
      <alignment horizontal="left" indent="1"/>
    </xf>
    <xf numFmtId="0" fontId="21" fillId="4" borderId="36" xfId="0" applyFont="1" applyFill="1" applyBorder="1" applyAlignment="1">
      <alignment horizontal="left" indent="1"/>
    </xf>
    <xf numFmtId="0" fontId="69" fillId="11" borderId="125" xfId="8" applyFont="1" applyFill="1" applyBorder="1" applyAlignment="1">
      <alignment horizontal="center" vertical="center" wrapText="1"/>
    </xf>
    <xf numFmtId="0" fontId="69" fillId="11" borderId="126" xfId="8" applyFont="1" applyFill="1" applyBorder="1" applyAlignment="1">
      <alignment horizontal="center" vertical="center" wrapText="1"/>
    </xf>
    <xf numFmtId="170" fontId="9" fillId="0" borderId="0" xfId="0" applyNumberFormat="1" applyFont="1" applyAlignment="1">
      <alignment vertical="center"/>
    </xf>
    <xf numFmtId="0" fontId="21" fillId="0" borderId="113" xfId="4" applyFont="1" applyFill="1" applyBorder="1" applyAlignment="1">
      <alignment vertical="center"/>
    </xf>
    <xf numFmtId="0" fontId="21" fillId="0" borderId="106" xfId="4" applyFont="1" applyFill="1" applyBorder="1" applyAlignment="1">
      <alignment vertical="center"/>
    </xf>
    <xf numFmtId="0" fontId="9" fillId="4" borderId="64" xfId="0" applyFont="1" applyFill="1" applyBorder="1" applyAlignment="1">
      <alignment vertical="center"/>
    </xf>
    <xf numFmtId="0" fontId="69" fillId="11" borderId="0" xfId="8" applyFont="1" applyFill="1" applyBorder="1" applyAlignment="1">
      <alignment horizontal="center" vertical="center" wrapText="1"/>
    </xf>
    <xf numFmtId="0" fontId="9" fillId="4" borderId="0" xfId="0" applyFont="1" applyFill="1" applyProtection="1">
      <protection locked="0"/>
    </xf>
    <xf numFmtId="1" fontId="9" fillId="4" borderId="0" xfId="0" applyNumberFormat="1" applyFont="1" applyFill="1" applyAlignment="1">
      <alignment vertical="center"/>
    </xf>
    <xf numFmtId="0" fontId="21" fillId="4" borderId="0" xfId="4" applyFont="1" applyFill="1" applyBorder="1" applyAlignment="1" applyProtection="1">
      <alignment vertical="center"/>
    </xf>
    <xf numFmtId="0" fontId="9" fillId="4" borderId="0" xfId="0" quotePrefix="1" applyFont="1" applyFill="1" applyProtection="1">
      <protection locked="0"/>
    </xf>
    <xf numFmtId="2" fontId="9" fillId="4" borderId="0" xfId="0" applyNumberFormat="1" applyFont="1" applyFill="1" applyProtection="1">
      <protection locked="0"/>
    </xf>
    <xf numFmtId="0" fontId="118" fillId="4" borderId="0" xfId="0" applyFont="1" applyFill="1" applyAlignment="1">
      <alignment horizontal="left" vertical="center"/>
    </xf>
    <xf numFmtId="0" fontId="21" fillId="0" borderId="113" xfId="4" applyFont="1" applyFill="1" applyBorder="1" applyAlignment="1" applyProtection="1">
      <alignment horizontal="left" vertical="center" indent="1"/>
    </xf>
    <xf numFmtId="0" fontId="21" fillId="0" borderId="84" xfId="4" applyFont="1" applyFill="1" applyBorder="1" applyAlignment="1" applyProtection="1">
      <alignment horizontal="left" vertical="center" indent="1"/>
    </xf>
    <xf numFmtId="0" fontId="40" fillId="4" borderId="0" xfId="0" applyFont="1" applyFill="1" applyAlignment="1">
      <alignment horizontal="left" vertical="center"/>
    </xf>
    <xf numFmtId="167" fontId="7" fillId="4" borderId="0" xfId="0" applyNumberFormat="1" applyFont="1" applyFill="1" applyAlignment="1">
      <alignment horizontal="center" vertical="center"/>
    </xf>
    <xf numFmtId="167" fontId="6" fillId="0" borderId="0" xfId="5" applyNumberFormat="1" applyAlignment="1">
      <alignment vertical="center"/>
    </xf>
    <xf numFmtId="0" fontId="7" fillId="0" borderId="0" xfId="0" applyFont="1" applyAlignment="1">
      <alignment horizontal="center" vertical="center"/>
    </xf>
    <xf numFmtId="0" fontId="69" fillId="18" borderId="127" xfId="0" applyFont="1" applyFill="1" applyBorder="1" applyAlignment="1">
      <alignment horizontal="center" vertical="center" wrapText="1"/>
    </xf>
    <xf numFmtId="0" fontId="21" fillId="11" borderId="129" xfId="0" applyFont="1" applyFill="1" applyBorder="1" applyAlignment="1">
      <alignment horizontal="center" vertical="center"/>
    </xf>
    <xf numFmtId="0" fontId="9" fillId="11" borderId="79" xfId="5" applyFont="1" applyFill="1" applyBorder="1" applyAlignment="1">
      <alignment horizontal="center" vertical="center"/>
    </xf>
    <xf numFmtId="0" fontId="84" fillId="0" borderId="0" xfId="0" applyFont="1" applyAlignment="1">
      <alignment vertical="center"/>
    </xf>
    <xf numFmtId="0" fontId="78" fillId="11" borderId="133" xfId="0" applyFont="1" applyFill="1" applyBorder="1" applyAlignment="1">
      <alignment horizontal="center" vertical="center"/>
    </xf>
    <xf numFmtId="0" fontId="78" fillId="11" borderId="123" xfId="0" applyFont="1" applyFill="1" applyBorder="1" applyAlignment="1">
      <alignment horizontal="center" vertical="center" wrapText="1"/>
    </xf>
    <xf numFmtId="0" fontId="78" fillId="11" borderId="123" xfId="0" applyFont="1" applyFill="1" applyBorder="1" applyAlignment="1">
      <alignment horizontal="center" vertical="center"/>
    </xf>
    <xf numFmtId="0" fontId="27" fillId="11" borderId="134" xfId="0" applyFont="1" applyFill="1" applyBorder="1" applyAlignment="1">
      <alignment horizontal="center" vertical="center"/>
    </xf>
    <xf numFmtId="169" fontId="101" fillId="4" borderId="61" xfId="2" applyNumberFormat="1" applyFont="1" applyFill="1" applyBorder="1" applyAlignment="1">
      <alignment vertical="center"/>
    </xf>
    <xf numFmtId="0" fontId="27" fillId="0" borderId="59" xfId="7" applyFont="1" applyBorder="1" applyAlignment="1">
      <alignment horizontal="left"/>
    </xf>
    <xf numFmtId="0" fontId="27" fillId="0" borderId="61" xfId="7" applyFont="1" applyBorder="1" applyAlignment="1">
      <alignment horizontal="left"/>
    </xf>
    <xf numFmtId="0" fontId="27" fillId="0" borderId="63" xfId="7" applyFont="1" applyBorder="1" applyAlignment="1">
      <alignment horizontal="left"/>
    </xf>
    <xf numFmtId="0" fontId="21" fillId="11" borderId="26" xfId="0" applyFont="1" applyFill="1" applyBorder="1" applyAlignment="1">
      <alignment horizontal="left" vertical="center"/>
    </xf>
    <xf numFmtId="0" fontId="21" fillId="11" borderId="5" xfId="0" applyFont="1" applyFill="1" applyBorder="1" applyAlignment="1">
      <alignment horizontal="center" vertical="center"/>
    </xf>
    <xf numFmtId="0" fontId="21" fillId="11" borderId="34" xfId="0" applyFont="1" applyFill="1" applyBorder="1" applyAlignment="1">
      <alignment horizontal="center" vertical="center"/>
    </xf>
    <xf numFmtId="0" fontId="9" fillId="0" borderId="61" xfId="5" applyFont="1" applyBorder="1" applyAlignment="1" applyProtection="1">
      <alignment horizontal="left" vertical="center"/>
      <protection locked="0"/>
    </xf>
    <xf numFmtId="9" fontId="33" fillId="4" borderId="3" xfId="6" applyFont="1" applyFill="1" applyBorder="1" applyAlignment="1">
      <alignment horizontal="center" vertical="center"/>
    </xf>
    <xf numFmtId="9" fontId="33" fillId="4" borderId="97" xfId="6" applyFont="1" applyFill="1" applyBorder="1" applyAlignment="1">
      <alignment horizontal="center" vertical="center"/>
    </xf>
    <xf numFmtId="1" fontId="21" fillId="0" borderId="0" xfId="0" applyNumberFormat="1" applyFont="1" applyAlignment="1">
      <alignment vertical="center"/>
    </xf>
    <xf numFmtId="0" fontId="102" fillId="4" borderId="0" xfId="0" applyFont="1" applyFill="1" applyAlignment="1">
      <alignment horizontal="left"/>
    </xf>
    <xf numFmtId="0" fontId="9" fillId="4" borderId="0" xfId="4" applyFont="1" applyFill="1" applyBorder="1" applyProtection="1"/>
    <xf numFmtId="1" fontId="41" fillId="4" borderId="3" xfId="0" applyNumberFormat="1" applyFont="1" applyFill="1" applyBorder="1" applyAlignment="1">
      <alignment horizontal="left"/>
    </xf>
    <xf numFmtId="0" fontId="34" fillId="0" borderId="56" xfId="11" applyFont="1" applyBorder="1" applyProtection="1"/>
    <xf numFmtId="0" fontId="29" fillId="4" borderId="0" xfId="3" applyFont="1" applyFill="1" applyBorder="1" applyAlignment="1" applyProtection="1">
      <alignment horizontal="left" vertical="center" wrapText="1"/>
    </xf>
    <xf numFmtId="0" fontId="113" fillId="4" borderId="5" xfId="0" applyFont="1" applyFill="1" applyBorder="1" applyAlignment="1">
      <alignment horizontal="left" vertical="center"/>
    </xf>
    <xf numFmtId="0" fontId="9" fillId="11" borderId="59" xfId="4" applyFont="1" applyFill="1" applyBorder="1" applyProtection="1"/>
    <xf numFmtId="0" fontId="9" fillId="0" borderId="60" xfId="0" applyFont="1" applyBorder="1"/>
    <xf numFmtId="0" fontId="9" fillId="11" borderId="61" xfId="4" applyFont="1" applyFill="1" applyBorder="1" applyProtection="1"/>
    <xf numFmtId="0" fontId="102" fillId="4" borderId="62" xfId="0" applyFont="1" applyFill="1" applyBorder="1" applyAlignment="1">
      <alignment horizontal="left"/>
    </xf>
    <xf numFmtId="0" fontId="9" fillId="11" borderId="63" xfId="4" applyFont="1" applyFill="1" applyBorder="1" applyProtection="1"/>
    <xf numFmtId="0" fontId="9" fillId="4" borderId="62" xfId="0" applyFont="1" applyFill="1" applyBorder="1" applyAlignment="1">
      <alignment horizontal="left"/>
    </xf>
    <xf numFmtId="14" fontId="9" fillId="11" borderId="61" xfId="4" applyNumberFormat="1" applyFont="1" applyFill="1" applyBorder="1" applyProtection="1"/>
    <xf numFmtId="1" fontId="40" fillId="4" borderId="0" xfId="0" applyNumberFormat="1" applyFont="1" applyFill="1"/>
    <xf numFmtId="1" fontId="120" fillId="4" borderId="0" xfId="0" applyNumberFormat="1" applyFont="1" applyFill="1"/>
    <xf numFmtId="0" fontId="121" fillId="11" borderId="0" xfId="0" applyFont="1" applyFill="1" applyProtection="1">
      <protection locked="0"/>
    </xf>
    <xf numFmtId="0" fontId="121" fillId="0" borderId="0" xfId="0" applyFont="1" applyProtection="1">
      <protection locked="0"/>
    </xf>
    <xf numFmtId="0" fontId="40" fillId="4" borderId="0" xfId="0" applyFont="1" applyFill="1" applyAlignment="1">
      <alignment vertical="top"/>
    </xf>
    <xf numFmtId="169" fontId="82" fillId="0" borderId="0" xfId="2" applyNumberFormat="1" applyFont="1" applyFill="1" applyBorder="1" applyProtection="1"/>
    <xf numFmtId="2" fontId="82" fillId="0" borderId="0" xfId="2" applyNumberFormat="1" applyFont="1" applyFill="1" applyBorder="1" applyProtection="1"/>
    <xf numFmtId="0" fontId="9" fillId="0" borderId="0" xfId="0" pivotButton="1" applyFont="1"/>
    <xf numFmtId="0" fontId="9" fillId="11" borderId="0" xfId="0" applyFont="1" applyFill="1" applyProtection="1">
      <protection locked="0"/>
    </xf>
    <xf numFmtId="0" fontId="9" fillId="11" borderId="0" xfId="0" applyFont="1" applyFill="1"/>
    <xf numFmtId="0" fontId="29" fillId="11" borderId="0" xfId="15" applyFont="1" applyFill="1" applyBorder="1" applyAlignment="1" applyProtection="1">
      <alignment horizontal="left" vertical="center" wrapText="1"/>
    </xf>
    <xf numFmtId="0" fontId="34" fillId="11" borderId="0" xfId="0" applyFont="1" applyFill="1" applyAlignment="1">
      <alignment horizontal="left" vertical="center"/>
    </xf>
    <xf numFmtId="9" fontId="9" fillId="4" borderId="141" xfId="6" applyFont="1" applyFill="1" applyBorder="1"/>
    <xf numFmtId="9" fontId="77" fillId="4" borderId="135" xfId="6" applyFont="1" applyFill="1" applyBorder="1" applyAlignment="1">
      <alignment horizontal="center" vertical="center"/>
    </xf>
    <xf numFmtId="1" fontId="9" fillId="4" borderId="141" xfId="6" applyNumberFormat="1" applyFont="1" applyFill="1" applyBorder="1"/>
    <xf numFmtId="0" fontId="108" fillId="0" borderId="0" xfId="5" applyFont="1" applyAlignment="1">
      <alignment horizontal="left" vertical="center" wrapText="1" indent="1"/>
    </xf>
    <xf numFmtId="0" fontId="111" fillId="0" borderId="0" xfId="5" applyFont="1" applyAlignment="1">
      <alignment horizontal="left" vertical="center" wrapText="1" indent="1"/>
    </xf>
    <xf numFmtId="0" fontId="110" fillId="0" borderId="0" xfId="5" applyFont="1" applyAlignment="1">
      <alignment vertical="center"/>
    </xf>
    <xf numFmtId="0" fontId="87" fillId="11" borderId="96" xfId="0" applyFont="1" applyFill="1" applyBorder="1"/>
    <xf numFmtId="0" fontId="32" fillId="4" borderId="92" xfId="9" applyFont="1" applyFill="1" applyBorder="1" applyAlignment="1">
      <alignment horizontal="left" vertical="center" indent="1"/>
    </xf>
    <xf numFmtId="0" fontId="21" fillId="0" borderId="143" xfId="4" applyFont="1" applyFill="1" applyBorder="1" applyAlignment="1" applyProtection="1">
      <alignment horizontal="left" vertical="center" indent="1"/>
    </xf>
    <xf numFmtId="0" fontId="9" fillId="10" borderId="5" xfId="0" applyFont="1" applyFill="1" applyBorder="1" applyAlignment="1" applyProtection="1">
      <alignment horizontal="left" vertical="center"/>
      <protection locked="0"/>
    </xf>
    <xf numFmtId="0" fontId="9" fillId="10" borderId="5" xfId="0" applyFont="1" applyFill="1" applyBorder="1" applyAlignment="1" applyProtection="1">
      <alignment vertical="center"/>
      <protection locked="0"/>
    </xf>
    <xf numFmtId="1" fontId="9" fillId="10" borderId="3" xfId="0" applyNumberFormat="1" applyFont="1" applyFill="1" applyBorder="1" applyAlignment="1" applyProtection="1">
      <alignment horizontal="center"/>
      <protection locked="0"/>
    </xf>
    <xf numFmtId="0" fontId="83" fillId="4" borderId="0" xfId="1" applyNumberFormat="1" applyFont="1" applyFill="1" applyAlignment="1">
      <alignment horizontal="left" vertical="top"/>
    </xf>
    <xf numFmtId="0" fontId="7" fillId="11" borderId="0" xfId="0" applyFont="1" applyFill="1"/>
    <xf numFmtId="0" fontId="21" fillId="6" borderId="0" xfId="0" applyFont="1" applyFill="1"/>
    <xf numFmtId="0" fontId="30" fillId="17" borderId="0" xfId="5" applyFont="1" applyFill="1" applyAlignment="1">
      <alignment horizontal="left" vertical="center" wrapText="1" indent="1"/>
    </xf>
    <xf numFmtId="0" fontId="108" fillId="17" borderId="0" xfId="5" applyFont="1" applyFill="1" applyAlignment="1">
      <alignment horizontal="left" vertical="center" wrapText="1"/>
    </xf>
    <xf numFmtId="0" fontId="15" fillId="24" borderId="0" xfId="0" applyFont="1" applyFill="1" applyAlignment="1">
      <alignment vertical="center"/>
    </xf>
    <xf numFmtId="0" fontId="15" fillId="24" borderId="0" xfId="0" applyFont="1" applyFill="1" applyAlignment="1">
      <alignment horizontal="left" vertical="center" indent="1"/>
    </xf>
    <xf numFmtId="0" fontId="15" fillId="17" borderId="103" xfId="5" applyFont="1" applyFill="1" applyBorder="1" applyAlignment="1">
      <alignment vertical="center"/>
    </xf>
    <xf numFmtId="0" fontId="113" fillId="0" borderId="5" xfId="0" applyFont="1" applyBorder="1" applyAlignment="1">
      <alignment horizontal="left" vertical="center"/>
    </xf>
    <xf numFmtId="0" fontId="16" fillId="17" borderId="103" xfId="5" applyFont="1" applyFill="1" applyBorder="1" applyAlignment="1">
      <alignment vertical="center"/>
    </xf>
    <xf numFmtId="0" fontId="108" fillId="17" borderId="153" xfId="5" applyFont="1" applyFill="1" applyBorder="1" applyAlignment="1">
      <alignment horizontal="left" vertical="center" wrapText="1" indent="1"/>
    </xf>
    <xf numFmtId="0" fontId="17" fillId="17" borderId="103" xfId="5" applyFont="1" applyFill="1" applyBorder="1" applyAlignment="1">
      <alignment vertical="center"/>
    </xf>
    <xf numFmtId="0" fontId="17" fillId="17" borderId="103" xfId="5" applyFont="1" applyFill="1" applyBorder="1" applyAlignment="1">
      <alignment horizontal="center" vertical="center"/>
    </xf>
    <xf numFmtId="0" fontId="15" fillId="17" borderId="0" xfId="5" applyFont="1" applyFill="1" applyAlignment="1">
      <alignment horizontal="left" vertical="center" indent="12"/>
    </xf>
    <xf numFmtId="0" fontId="15" fillId="17" borderId="0" xfId="1" applyNumberFormat="1" applyFont="1" applyFill="1" applyBorder="1" applyAlignment="1">
      <alignment horizontal="left" vertical="center" indent="12"/>
    </xf>
    <xf numFmtId="0" fontId="128" fillId="17" borderId="0" xfId="5" applyFont="1" applyFill="1" applyAlignment="1">
      <alignment horizontal="left" vertical="center"/>
    </xf>
    <xf numFmtId="0" fontId="128" fillId="17" borderId="0" xfId="5" applyFont="1" applyFill="1" applyAlignment="1">
      <alignment horizontal="left" vertical="top"/>
    </xf>
    <xf numFmtId="0" fontId="40" fillId="17" borderId="101" xfId="5" applyFont="1" applyFill="1" applyBorder="1" applyAlignment="1">
      <alignment horizontal="center" vertical="center"/>
    </xf>
    <xf numFmtId="0" fontId="40" fillId="17" borderId="102" xfId="5" applyFont="1" applyFill="1" applyBorder="1" applyAlignment="1">
      <alignment horizontal="center" vertical="center" wrapText="1"/>
    </xf>
    <xf numFmtId="0" fontId="129" fillId="17" borderId="103" xfId="5" applyFont="1" applyFill="1" applyBorder="1" applyAlignment="1">
      <alignment horizontal="center" vertical="center" wrapText="1"/>
    </xf>
    <xf numFmtId="0" fontId="129" fillId="17" borderId="102" xfId="5" applyFont="1" applyFill="1" applyBorder="1" applyAlignment="1">
      <alignment horizontal="center" vertical="center" wrapText="1"/>
    </xf>
    <xf numFmtId="0" fontId="30" fillId="17" borderId="153" xfId="5" applyFont="1" applyFill="1" applyBorder="1" applyAlignment="1">
      <alignment horizontal="left" vertical="center" wrapText="1" indent="1"/>
    </xf>
    <xf numFmtId="0" fontId="30" fillId="17" borderId="156" xfId="5" applyFont="1" applyFill="1" applyBorder="1" applyAlignment="1">
      <alignment horizontal="left" vertical="center" wrapText="1" indent="1"/>
    </xf>
    <xf numFmtId="0" fontId="30" fillId="17" borderId="152" xfId="5" applyFont="1" applyFill="1" applyBorder="1" applyAlignment="1">
      <alignment horizontal="left" vertical="center" wrapText="1" indent="1"/>
    </xf>
    <xf numFmtId="0" fontId="108" fillId="17" borderId="164" xfId="5" applyFont="1" applyFill="1" applyBorder="1" applyAlignment="1">
      <alignment horizontal="left" vertical="center" wrapText="1" indent="1"/>
    </xf>
    <xf numFmtId="0" fontId="108" fillId="17" borderId="152" xfId="5" applyFont="1" applyFill="1" applyBorder="1" applyAlignment="1">
      <alignment horizontal="left" vertical="center" wrapText="1" indent="1"/>
    </xf>
    <xf numFmtId="0" fontId="30" fillId="17" borderId="161" xfId="5" applyFont="1" applyFill="1" applyBorder="1" applyAlignment="1">
      <alignment horizontal="center" vertical="center"/>
    </xf>
    <xf numFmtId="168" fontId="108" fillId="17" borderId="0" xfId="1" applyFont="1" applyFill="1" applyBorder="1" applyAlignment="1">
      <alignment horizontal="left" vertical="center" indent="1"/>
    </xf>
    <xf numFmtId="0" fontId="9" fillId="0" borderId="98" xfId="0" applyFont="1" applyBorder="1"/>
    <xf numFmtId="0" fontId="9" fillId="0" borderId="68" xfId="0" applyFont="1" applyBorder="1"/>
    <xf numFmtId="0" fontId="9" fillId="0" borderId="92" xfId="0" applyFont="1" applyBorder="1"/>
    <xf numFmtId="0" fontId="21" fillId="0" borderId="92" xfId="0" applyFont="1" applyBorder="1" applyAlignment="1">
      <alignment horizontal="left"/>
    </xf>
    <xf numFmtId="0" fontId="65" fillId="11" borderId="71" xfId="0" applyFont="1" applyFill="1" applyBorder="1" applyAlignment="1">
      <alignment vertical="center"/>
    </xf>
    <xf numFmtId="0" fontId="69" fillId="11" borderId="63" xfId="5" applyFont="1" applyFill="1" applyBorder="1" applyAlignment="1">
      <alignment horizontal="left" vertical="center"/>
    </xf>
    <xf numFmtId="0" fontId="21" fillId="17" borderId="59" xfId="0" applyFont="1" applyFill="1" applyBorder="1" applyAlignment="1">
      <alignment vertical="center"/>
    </xf>
    <xf numFmtId="165" fontId="78" fillId="17" borderId="5" xfId="0" applyNumberFormat="1" applyFont="1" applyFill="1" applyBorder="1" applyAlignment="1">
      <alignment horizontal="center" vertical="center"/>
    </xf>
    <xf numFmtId="9" fontId="78" fillId="17" borderId="5" xfId="0" applyNumberFormat="1" applyFont="1" applyFill="1" applyBorder="1" applyAlignment="1">
      <alignment horizontal="center" vertical="center"/>
    </xf>
    <xf numFmtId="0" fontId="27" fillId="17" borderId="5" xfId="0" applyFont="1" applyFill="1" applyBorder="1" applyAlignment="1">
      <alignment horizontal="center" vertical="center"/>
    </xf>
    <xf numFmtId="166" fontId="78" fillId="17" borderId="60" xfId="0" applyNumberFormat="1" applyFont="1" applyFill="1" applyBorder="1" applyAlignment="1">
      <alignment horizontal="center" vertical="center"/>
    </xf>
    <xf numFmtId="9" fontId="9" fillId="4" borderId="22" xfId="6" applyFont="1" applyFill="1" applyBorder="1" applyAlignment="1">
      <alignment horizontal="center" vertical="center"/>
    </xf>
    <xf numFmtId="2" fontId="119" fillId="11" borderId="168" xfId="8" applyNumberFormat="1" applyFont="1" applyFill="1" applyBorder="1" applyAlignment="1">
      <alignment horizontal="center" vertical="center" wrapText="1"/>
    </xf>
    <xf numFmtId="0" fontId="26" fillId="17" borderId="32" xfId="10" applyFont="1" applyFill="1" applyBorder="1" applyAlignment="1" applyProtection="1">
      <alignment horizontal="center" vertical="center" wrapText="1"/>
    </xf>
    <xf numFmtId="0" fontId="9" fillId="11" borderId="147" xfId="0" applyFont="1" applyFill="1" applyBorder="1" applyAlignment="1">
      <alignment vertical="center"/>
    </xf>
    <xf numFmtId="0" fontId="9" fillId="11" borderId="172" xfId="0" applyFont="1" applyFill="1" applyBorder="1" applyAlignment="1">
      <alignment horizontal="center" vertical="center"/>
    </xf>
    <xf numFmtId="0" fontId="9" fillId="11" borderId="146" xfId="0" applyFont="1" applyFill="1" applyBorder="1" applyAlignment="1">
      <alignment horizontal="center" vertical="center" wrapText="1"/>
    </xf>
    <xf numFmtId="2" fontId="9" fillId="11" borderId="148" xfId="0" applyNumberFormat="1" applyFont="1" applyFill="1" applyBorder="1" applyAlignment="1">
      <alignment horizontal="center" vertical="center"/>
    </xf>
    <xf numFmtId="0" fontId="15" fillId="21" borderId="173" xfId="5" applyFont="1" applyFill="1" applyBorder="1" applyAlignment="1">
      <alignment vertical="center"/>
    </xf>
    <xf numFmtId="0" fontId="15" fillId="10" borderId="173" xfId="5" applyFont="1" applyFill="1" applyBorder="1" applyAlignment="1">
      <alignment vertical="center"/>
    </xf>
    <xf numFmtId="0" fontId="15" fillId="4" borderId="173" xfId="5" applyFont="1" applyFill="1" applyBorder="1" applyAlignment="1">
      <alignment vertical="center"/>
    </xf>
    <xf numFmtId="0" fontId="123" fillId="4" borderId="173" xfId="5" applyFont="1" applyFill="1" applyBorder="1" applyAlignment="1">
      <alignment vertical="center"/>
    </xf>
    <xf numFmtId="0" fontId="124" fillId="4" borderId="173" xfId="5" applyFont="1" applyFill="1" applyBorder="1" applyAlignment="1">
      <alignment vertical="center"/>
    </xf>
    <xf numFmtId="0" fontId="98" fillId="0" borderId="0" xfId="0" applyFont="1" applyAlignment="1">
      <alignment vertical="center"/>
    </xf>
    <xf numFmtId="1" fontId="9" fillId="4" borderId="3" xfId="0" applyNumberFormat="1" applyFont="1" applyFill="1" applyBorder="1" applyAlignment="1">
      <alignment horizontal="center" vertical="center"/>
    </xf>
    <xf numFmtId="169" fontId="0" fillId="0" borderId="173" xfId="2" applyNumberFormat="1" applyFont="1" applyBorder="1"/>
    <xf numFmtId="169" fontId="0" fillId="0" borderId="173" xfId="2" applyNumberFormat="1" applyFont="1" applyFill="1" applyBorder="1"/>
    <xf numFmtId="0" fontId="0" fillId="6" borderId="173" xfId="0" applyFill="1" applyBorder="1"/>
    <xf numFmtId="0" fontId="6" fillId="4" borderId="173" xfId="5" applyFill="1" applyBorder="1"/>
    <xf numFmtId="175" fontId="0" fillId="0" borderId="173" xfId="0" applyNumberFormat="1" applyBorder="1"/>
    <xf numFmtId="0" fontId="6" fillId="4" borderId="0" xfId="5" applyFill="1"/>
    <xf numFmtId="0" fontId="1" fillId="0" borderId="0" xfId="0" applyFont="1"/>
    <xf numFmtId="0" fontId="7" fillId="0" borderId="173" xfId="0" applyFont="1" applyBorder="1" applyAlignment="1">
      <alignment horizontal="center"/>
    </xf>
    <xf numFmtId="0" fontId="8" fillId="0" borderId="173" xfId="0" applyFont="1" applyBorder="1" applyAlignment="1">
      <alignment horizontal="center"/>
    </xf>
    <xf numFmtId="3" fontId="7" fillId="0" borderId="173" xfId="0" applyNumberFormat="1" applyFont="1" applyBorder="1" applyAlignment="1">
      <alignment horizontal="center"/>
    </xf>
    <xf numFmtId="0" fontId="0" fillId="0" borderId="173" xfId="0" applyBorder="1" applyAlignment="1">
      <alignment horizontal="left"/>
    </xf>
    <xf numFmtId="0" fontId="19" fillId="0" borderId="173" xfId="0" applyFont="1" applyBorder="1"/>
    <xf numFmtId="169" fontId="19" fillId="0" borderId="173" xfId="2" applyNumberFormat="1" applyFont="1" applyFill="1" applyBorder="1"/>
    <xf numFmtId="0" fontId="134" fillId="0" borderId="173" xfId="0" applyFont="1" applyBorder="1" applyAlignment="1">
      <alignment horizontal="left" vertical="center" wrapText="1"/>
    </xf>
    <xf numFmtId="0" fontId="21" fillId="4" borderId="149" xfId="0" applyFont="1" applyFill="1" applyBorder="1"/>
    <xf numFmtId="0" fontId="21" fillId="4" borderId="150" xfId="0" applyFont="1" applyFill="1" applyBorder="1"/>
    <xf numFmtId="0" fontId="21" fillId="4" borderId="150" xfId="0" applyFont="1" applyFill="1" applyBorder="1" applyAlignment="1">
      <alignment wrapText="1"/>
    </xf>
    <xf numFmtId="1" fontId="21" fillId="4" borderId="151" xfId="0" applyNumberFormat="1" applyFont="1" applyFill="1" applyBorder="1" applyAlignment="1">
      <alignment horizontal="right"/>
    </xf>
    <xf numFmtId="0" fontId="29" fillId="11" borderId="52" xfId="3" applyFont="1" applyFill="1" applyBorder="1" applyAlignment="1" applyProtection="1">
      <alignment horizontal="left" vertical="center" wrapText="1"/>
    </xf>
    <xf numFmtId="0" fontId="29" fillId="4" borderId="0" xfId="3" applyFont="1" applyFill="1" applyAlignment="1">
      <alignment horizontal="left" vertical="center" wrapText="1"/>
    </xf>
    <xf numFmtId="0" fontId="29" fillId="11" borderId="3" xfId="3" applyFont="1" applyFill="1" applyBorder="1" applyAlignment="1">
      <alignment horizontal="left" vertical="center"/>
    </xf>
    <xf numFmtId="0" fontId="29" fillId="11" borderId="3" xfId="3" applyFont="1" applyFill="1" applyBorder="1" applyAlignment="1">
      <alignment horizontal="left" vertical="center" wrapText="1"/>
    </xf>
    <xf numFmtId="1" fontId="82" fillId="4" borderId="47" xfId="11" applyNumberFormat="1" applyFont="1" applyFill="1" applyBorder="1" applyProtection="1"/>
    <xf numFmtId="1" fontId="9" fillId="0" borderId="64" xfId="0" applyNumberFormat="1" applyFont="1" applyBorder="1" applyAlignment="1">
      <alignment horizontal="left"/>
    </xf>
    <xf numFmtId="1" fontId="9" fillId="0" borderId="22" xfId="0" applyNumberFormat="1" applyFont="1" applyBorder="1" applyAlignment="1">
      <alignment horizontal="left"/>
    </xf>
    <xf numFmtId="0" fontId="7" fillId="4" borderId="173" xfId="0" applyFont="1" applyFill="1" applyBorder="1"/>
    <xf numFmtId="0" fontId="7" fillId="0" borderId="173" xfId="0" applyFont="1" applyBorder="1"/>
    <xf numFmtId="0" fontId="6" fillId="0" borderId="173" xfId="0" applyFont="1" applyBorder="1"/>
    <xf numFmtId="174" fontId="6" fillId="0" borderId="173" xfId="0" applyNumberFormat="1" applyFont="1" applyBorder="1"/>
    <xf numFmtId="169" fontId="6" fillId="0" borderId="173" xfId="2" applyNumberFormat="1" applyFont="1" applyBorder="1"/>
    <xf numFmtId="169" fontId="6" fillId="0" borderId="173" xfId="2" applyNumberFormat="1" applyFont="1" applyFill="1" applyBorder="1"/>
    <xf numFmtId="0" fontId="6" fillId="6" borderId="173" xfId="0" applyFont="1" applyFill="1" applyBorder="1"/>
    <xf numFmtId="175" fontId="6" fillId="0" borderId="173" xfId="0" applyNumberFormat="1" applyFont="1" applyBorder="1"/>
    <xf numFmtId="0" fontId="27" fillId="4" borderId="0" xfId="0" applyFont="1" applyFill="1" applyAlignment="1">
      <alignment horizontal="center" vertical="center"/>
    </xf>
    <xf numFmtId="167" fontId="77" fillId="4" borderId="0" xfId="2" applyFont="1" applyFill="1" applyBorder="1" applyAlignment="1">
      <alignment horizontal="center" vertical="center"/>
    </xf>
    <xf numFmtId="0" fontId="21" fillId="4" borderId="21" xfId="0" applyFont="1" applyFill="1" applyBorder="1" applyAlignment="1">
      <alignment horizontal="center" vertical="center"/>
    </xf>
    <xf numFmtId="14" fontId="101" fillId="0" borderId="0" xfId="2" applyNumberFormat="1" applyFont="1" applyFill="1" applyBorder="1" applyAlignment="1">
      <alignment vertical="center"/>
    </xf>
    <xf numFmtId="0" fontId="102" fillId="0" borderId="0" xfId="0" applyFont="1" applyAlignment="1">
      <alignment vertical="center"/>
    </xf>
    <xf numFmtId="0" fontId="32" fillId="0" borderId="0" xfId="9" applyFont="1" applyFill="1" applyBorder="1" applyAlignment="1">
      <alignment horizontal="right" vertical="top" wrapText="1"/>
    </xf>
    <xf numFmtId="0" fontId="20" fillId="0" borderId="0" xfId="1" applyNumberFormat="1" applyFont="1" applyFill="1" applyBorder="1" applyAlignment="1">
      <alignment horizontal="left" vertical="top" indent="2"/>
    </xf>
    <xf numFmtId="0" fontId="21" fillId="0" borderId="0" xfId="0" applyFont="1" applyAlignment="1">
      <alignment horizontal="center"/>
    </xf>
    <xf numFmtId="0" fontId="30" fillId="0" borderId="0" xfId="0" applyFont="1" applyAlignment="1">
      <alignment horizontal="center" vertical="center"/>
    </xf>
    <xf numFmtId="0" fontId="21" fillId="0" borderId="0" xfId="0" applyFont="1" applyAlignment="1">
      <alignment vertical="center" wrapText="1"/>
    </xf>
    <xf numFmtId="0" fontId="9" fillId="0" borderId="0" xfId="0" applyFont="1" applyAlignment="1">
      <alignment vertical="center" wrapText="1"/>
    </xf>
    <xf numFmtId="9" fontId="0" fillId="0" borderId="0" xfId="0" applyNumberFormat="1"/>
    <xf numFmtId="0" fontId="26" fillId="0" borderId="0" xfId="0" applyFont="1" applyAlignment="1">
      <alignment vertical="center" wrapText="1"/>
    </xf>
    <xf numFmtId="0" fontId="69" fillId="11" borderId="176" xfId="8" applyFont="1" applyFill="1" applyBorder="1" applyAlignment="1">
      <alignment horizontal="center" vertical="center" wrapText="1"/>
    </xf>
    <xf numFmtId="0" fontId="70" fillId="0" borderId="0" xfId="0" applyFont="1" applyAlignment="1">
      <alignment vertical="top" wrapText="1"/>
    </xf>
    <xf numFmtId="0" fontId="65" fillId="0" borderId="182" xfId="0" applyFont="1" applyBorder="1" applyAlignment="1">
      <alignment horizontal="left"/>
    </xf>
    <xf numFmtId="0" fontId="65" fillId="0" borderId="183" xfId="0" applyFont="1" applyBorder="1" applyAlignment="1">
      <alignment horizontal="left"/>
    </xf>
    <xf numFmtId="9" fontId="0" fillId="0" borderId="0" xfId="6" applyFont="1" applyAlignment="1" applyProtection="1">
      <alignment vertical="center"/>
      <protection locked="0"/>
    </xf>
    <xf numFmtId="1" fontId="41" fillId="0" borderId="3" xfId="2" applyNumberFormat="1" applyFont="1" applyFill="1" applyBorder="1" applyAlignment="1">
      <alignment horizontal="left"/>
    </xf>
    <xf numFmtId="0" fontId="137" fillId="4" borderId="3" xfId="0" applyFont="1" applyFill="1" applyBorder="1" applyAlignment="1">
      <alignment horizontal="left"/>
    </xf>
    <xf numFmtId="9" fontId="138" fillId="4" borderId="3" xfId="6" applyFont="1" applyFill="1" applyBorder="1" applyAlignment="1">
      <alignment horizontal="center" vertical="center"/>
    </xf>
    <xf numFmtId="167" fontId="137" fillId="4" borderId="3" xfId="2" applyFont="1" applyFill="1" applyBorder="1" applyAlignment="1">
      <alignment horizontal="center" vertical="center"/>
    </xf>
    <xf numFmtId="167" fontId="137" fillId="4" borderId="62" xfId="2" applyFont="1" applyFill="1" applyBorder="1" applyAlignment="1">
      <alignment horizontal="center" vertical="center"/>
    </xf>
    <xf numFmtId="9" fontId="33" fillId="4" borderId="62" xfId="6" applyFont="1" applyFill="1" applyBorder="1" applyAlignment="1">
      <alignment horizontal="center"/>
    </xf>
    <xf numFmtId="9" fontId="33" fillId="4" borderId="64" xfId="6" applyFont="1" applyFill="1" applyBorder="1" applyAlignment="1">
      <alignment horizontal="center"/>
    </xf>
    <xf numFmtId="0" fontId="38" fillId="4" borderId="0" xfId="0" applyFont="1" applyFill="1" applyAlignment="1">
      <alignment horizontal="left"/>
    </xf>
    <xf numFmtId="0" fontId="91" fillId="4" borderId="0" xfId="0" applyFont="1" applyFill="1" applyAlignment="1">
      <alignment wrapText="1"/>
    </xf>
    <xf numFmtId="0" fontId="116" fillId="4" borderId="0" xfId="0" applyFont="1" applyFill="1" applyAlignment="1">
      <alignment vertical="center"/>
    </xf>
    <xf numFmtId="170" fontId="9" fillId="4" borderId="0" xfId="0" applyNumberFormat="1" applyFont="1" applyFill="1" applyAlignment="1">
      <alignment vertical="center"/>
    </xf>
    <xf numFmtId="2" fontId="9" fillId="0" borderId="0" xfId="0" applyNumberFormat="1" applyFont="1" applyAlignment="1">
      <alignment horizontal="center" vertical="center"/>
    </xf>
    <xf numFmtId="0" fontId="9" fillId="4" borderId="5" xfId="0" applyFont="1" applyFill="1" applyBorder="1" applyAlignment="1" applyProtection="1">
      <alignment horizontal="center" vertical="center"/>
      <protection locked="0"/>
    </xf>
    <xf numFmtId="0" fontId="9" fillId="4" borderId="60" xfId="0" applyFont="1" applyFill="1" applyBorder="1" applyAlignment="1">
      <alignment vertical="center"/>
    </xf>
    <xf numFmtId="10" fontId="113" fillId="0" borderId="5" xfId="0" applyNumberFormat="1" applyFont="1" applyBorder="1" applyAlignment="1">
      <alignment horizontal="left" vertical="center"/>
    </xf>
    <xf numFmtId="10" fontId="113" fillId="4" borderId="5" xfId="0" applyNumberFormat="1" applyFont="1" applyFill="1" applyBorder="1" applyAlignment="1">
      <alignment horizontal="left" vertical="center"/>
    </xf>
    <xf numFmtId="49" fontId="9" fillId="4" borderId="34" xfId="0" applyNumberFormat="1" applyFont="1" applyFill="1" applyBorder="1" applyAlignment="1">
      <alignment horizontal="left" vertical="center"/>
    </xf>
    <xf numFmtId="0" fontId="21" fillId="0" borderId="92" xfId="4" applyFont="1" applyFill="1" applyBorder="1" applyAlignment="1" applyProtection="1">
      <alignment vertical="center"/>
    </xf>
    <xf numFmtId="0" fontId="21" fillId="0" borderId="191" xfId="4" applyFont="1" applyFill="1" applyBorder="1" applyAlignment="1" applyProtection="1">
      <alignment vertical="center"/>
    </xf>
    <xf numFmtId="0" fontId="21" fillId="0" borderId="84" xfId="4" applyFont="1" applyFill="1" applyBorder="1" applyAlignment="1" applyProtection="1">
      <alignment vertical="center"/>
    </xf>
    <xf numFmtId="0" fontId="33" fillId="4" borderId="20" xfId="0" applyFont="1" applyFill="1" applyBorder="1" applyAlignment="1">
      <alignment horizontal="left"/>
    </xf>
    <xf numFmtId="173" fontId="100" fillId="4" borderId="60" xfId="2" applyNumberFormat="1" applyFont="1" applyFill="1" applyBorder="1" applyAlignment="1">
      <alignment horizontal="left" vertical="center"/>
    </xf>
    <xf numFmtId="170" fontId="9" fillId="4" borderId="104" xfId="2" applyNumberFormat="1" applyFont="1" applyFill="1" applyBorder="1"/>
    <xf numFmtId="173" fontId="9" fillId="4" borderId="141" xfId="2" applyNumberFormat="1" applyFont="1" applyFill="1" applyBorder="1"/>
    <xf numFmtId="1" fontId="9" fillId="4" borderId="141" xfId="0" applyNumberFormat="1" applyFont="1" applyFill="1" applyBorder="1"/>
    <xf numFmtId="1" fontId="21" fillId="4" borderId="140" xfId="0" applyNumberFormat="1" applyFont="1" applyFill="1" applyBorder="1"/>
    <xf numFmtId="173" fontId="26" fillId="0" borderId="3" xfId="18" applyNumberFormat="1" applyFont="1" applyBorder="1"/>
    <xf numFmtId="173" fontId="26" fillId="0" borderId="3" xfId="7" applyNumberFormat="1" applyFont="1" applyBorder="1"/>
    <xf numFmtId="173" fontId="26" fillId="0" borderId="62" xfId="7" applyNumberFormat="1" applyFont="1" applyBorder="1"/>
    <xf numFmtId="173" fontId="26" fillId="0" borderId="97" xfId="7" applyNumberFormat="1" applyFont="1" applyBorder="1"/>
    <xf numFmtId="173" fontId="26" fillId="0" borderId="64" xfId="7" applyNumberFormat="1" applyFont="1" applyBorder="1"/>
    <xf numFmtId="1" fontId="41" fillId="4" borderId="97" xfId="0" applyNumberFormat="1" applyFont="1" applyFill="1" applyBorder="1" applyAlignment="1">
      <alignment horizontal="left"/>
    </xf>
    <xf numFmtId="173" fontId="41" fillId="4" borderId="97" xfId="2" applyNumberFormat="1" applyFont="1" applyFill="1" applyBorder="1" applyAlignment="1">
      <alignment horizontal="left"/>
    </xf>
    <xf numFmtId="173" fontId="41" fillId="4" borderId="3" xfId="2" applyNumberFormat="1" applyFont="1" applyFill="1" applyBorder="1" applyAlignment="1">
      <alignment horizontal="left"/>
    </xf>
    <xf numFmtId="1" fontId="9" fillId="4" borderId="24" xfId="0" applyNumberFormat="1" applyFont="1" applyFill="1" applyBorder="1" applyAlignment="1">
      <alignment horizontal="center" vertical="center"/>
    </xf>
    <xf numFmtId="0" fontId="26" fillId="0" borderId="99" xfId="0" applyFont="1" applyBorder="1" applyAlignment="1">
      <alignment vertical="center" wrapText="1"/>
    </xf>
    <xf numFmtId="0" fontId="21" fillId="4" borderId="99" xfId="4" applyFont="1" applyFill="1" applyBorder="1" applyAlignment="1" applyProtection="1">
      <alignment vertical="center"/>
    </xf>
    <xf numFmtId="1" fontId="21" fillId="0" borderId="99" xfId="0" applyNumberFormat="1" applyFont="1" applyBorder="1" applyAlignment="1">
      <alignment vertical="center"/>
    </xf>
    <xf numFmtId="0" fontId="29" fillId="4" borderId="0" xfId="3" applyFont="1" applyFill="1" applyBorder="1" applyAlignment="1" applyProtection="1">
      <alignment horizontal="left" vertical="center"/>
    </xf>
    <xf numFmtId="0" fontId="78" fillId="11" borderId="138" xfId="0" applyFont="1" applyFill="1" applyBorder="1" applyAlignment="1">
      <alignment horizontal="center" vertical="center"/>
    </xf>
    <xf numFmtId="173" fontId="9" fillId="4" borderId="62" xfId="2" applyNumberFormat="1" applyFont="1" applyFill="1" applyBorder="1" applyAlignment="1">
      <alignment horizontal="center" vertical="center"/>
    </xf>
    <xf numFmtId="1" fontId="9" fillId="4" borderId="65" xfId="0" applyNumberFormat="1" applyFont="1" applyFill="1" applyBorder="1"/>
    <xf numFmtId="0" fontId="9" fillId="4" borderId="68" xfId="0" applyFont="1" applyFill="1" applyBorder="1"/>
    <xf numFmtId="0" fontId="9" fillId="4" borderId="92" xfId="0" applyFont="1" applyFill="1" applyBorder="1"/>
    <xf numFmtId="0" fontId="21" fillId="4" borderId="92" xfId="0" applyFont="1" applyFill="1" applyBorder="1" applyAlignment="1">
      <alignment horizontal="left"/>
    </xf>
    <xf numFmtId="0" fontId="27" fillId="4" borderId="5" xfId="0" applyFont="1" applyFill="1" applyBorder="1" applyAlignment="1">
      <alignment horizontal="center" vertical="center"/>
    </xf>
    <xf numFmtId="9" fontId="78" fillId="4" borderId="5" xfId="0" applyNumberFormat="1" applyFont="1" applyFill="1" applyBorder="1" applyAlignment="1">
      <alignment horizontal="center" vertical="center"/>
    </xf>
    <xf numFmtId="0" fontId="27" fillId="4" borderId="0" xfId="7" applyFont="1" applyFill="1" applyAlignment="1">
      <alignment horizontal="left"/>
    </xf>
    <xf numFmtId="9" fontId="26" fillId="4" borderId="0" xfId="7" applyNumberFormat="1" applyFont="1" applyFill="1" applyAlignment="1" applyProtection="1">
      <alignment horizontal="center"/>
      <protection locked="0"/>
    </xf>
    <xf numFmtId="173" fontId="26" fillId="4" borderId="0" xfId="18" applyNumberFormat="1" applyFont="1" applyFill="1" applyBorder="1"/>
    <xf numFmtId="173" fontId="26" fillId="4" borderId="0" xfId="7" applyNumberFormat="1" applyFont="1" applyFill="1"/>
    <xf numFmtId="0" fontId="21" fillId="11" borderId="167" xfId="0" applyFont="1" applyFill="1" applyBorder="1" applyAlignment="1">
      <alignment horizontal="center" vertical="center"/>
    </xf>
    <xf numFmtId="0" fontId="21" fillId="11" borderId="105" xfId="0" applyFont="1" applyFill="1" applyBorder="1" applyAlignment="1">
      <alignment horizontal="center" vertical="center"/>
    </xf>
    <xf numFmtId="1" fontId="9" fillId="4" borderId="170" xfId="0" applyNumberFormat="1" applyFont="1" applyFill="1" applyBorder="1"/>
    <xf numFmtId="0" fontId="21" fillId="11" borderId="165" xfId="0" applyFont="1" applyFill="1" applyBorder="1" applyAlignment="1">
      <alignment vertical="center"/>
    </xf>
    <xf numFmtId="173" fontId="9" fillId="4" borderId="168" xfId="2" applyNumberFormat="1" applyFont="1" applyFill="1" applyBorder="1"/>
    <xf numFmtId="0" fontId="9" fillId="4" borderId="199" xfId="0" applyFont="1" applyFill="1" applyBorder="1"/>
    <xf numFmtId="0" fontId="9" fillId="4" borderId="201" xfId="0" applyFont="1" applyFill="1" applyBorder="1"/>
    <xf numFmtId="0" fontId="27" fillId="4" borderId="33" xfId="0" applyFont="1" applyFill="1" applyBorder="1" applyAlignment="1">
      <alignment horizontal="center" vertical="center"/>
    </xf>
    <xf numFmtId="170" fontId="98" fillId="0" borderId="0" xfId="0" applyNumberFormat="1" applyFont="1" applyAlignment="1">
      <alignment vertical="top"/>
    </xf>
    <xf numFmtId="0" fontId="9" fillId="4" borderId="55" xfId="0" applyFont="1" applyFill="1" applyBorder="1" applyAlignment="1">
      <alignment horizontal="left" vertical="center" indent="1"/>
    </xf>
    <xf numFmtId="0" fontId="21" fillId="4" borderId="19" xfId="0" applyFont="1" applyFill="1" applyBorder="1" applyAlignment="1" applyProtection="1">
      <alignment vertical="center"/>
      <protection locked="0"/>
    </xf>
    <xf numFmtId="173" fontId="9" fillId="4" borderId="20" xfId="0" applyNumberFormat="1" applyFont="1" applyFill="1" applyBorder="1" applyAlignment="1" applyProtection="1">
      <alignment horizontal="left"/>
      <protection locked="0"/>
    </xf>
    <xf numFmtId="0" fontId="21" fillId="4" borderId="21" xfId="0" applyFont="1" applyFill="1" applyBorder="1" applyAlignment="1" applyProtection="1">
      <alignment vertical="center"/>
      <protection locked="0"/>
    </xf>
    <xf numFmtId="9" fontId="9" fillId="0" borderId="22" xfId="0" applyNumberFormat="1" applyFont="1" applyBorder="1" applyAlignment="1" applyProtection="1">
      <alignment horizontal="left"/>
      <protection locked="0"/>
    </xf>
    <xf numFmtId="0" fontId="21" fillId="11" borderId="4" xfId="3" applyFont="1" applyFill="1" applyBorder="1" applyAlignment="1" applyProtection="1">
      <alignment horizontal="center" vertical="center" wrapText="1"/>
      <protection locked="0"/>
    </xf>
    <xf numFmtId="0" fontId="21" fillId="11" borderId="4" xfId="3" applyFont="1" applyFill="1" applyBorder="1" applyAlignment="1" applyProtection="1">
      <alignment horizontal="center" vertical="center"/>
      <protection locked="0"/>
    </xf>
    <xf numFmtId="0" fontId="21" fillId="11" borderId="31" xfId="3" applyFont="1" applyFill="1" applyBorder="1" applyAlignment="1" applyProtection="1">
      <alignment horizontal="center" vertical="center" wrapText="1"/>
      <protection locked="0"/>
    </xf>
    <xf numFmtId="0" fontId="21" fillId="11" borderId="186" xfId="3" applyFont="1" applyFill="1" applyBorder="1" applyAlignment="1" applyProtection="1">
      <alignment horizontal="center" vertical="center" wrapText="1"/>
      <protection locked="0"/>
    </xf>
    <xf numFmtId="0" fontId="21" fillId="11" borderId="15" xfId="3" applyFont="1" applyFill="1" applyBorder="1" applyAlignment="1" applyProtection="1">
      <alignment horizontal="center" vertical="center" wrapText="1"/>
      <protection locked="0"/>
    </xf>
    <xf numFmtId="0" fontId="21" fillId="11" borderId="15" xfId="3" applyFont="1" applyFill="1" applyBorder="1" applyAlignment="1" applyProtection="1">
      <alignment horizontal="center" vertical="center"/>
      <protection locked="0"/>
    </xf>
    <xf numFmtId="0" fontId="21" fillId="11" borderId="28" xfId="3" applyFont="1" applyFill="1" applyBorder="1" applyAlignment="1" applyProtection="1">
      <alignment horizontal="left" vertical="center"/>
      <protection locked="0"/>
    </xf>
    <xf numFmtId="0" fontId="21" fillId="11" borderId="28" xfId="3" applyFont="1" applyFill="1" applyBorder="1" applyAlignment="1" applyProtection="1">
      <alignment vertical="center"/>
      <protection locked="0"/>
    </xf>
    <xf numFmtId="0" fontId="21" fillId="11" borderId="28" xfId="3" applyFont="1" applyFill="1" applyBorder="1" applyAlignment="1" applyProtection="1">
      <alignment horizontal="left" vertical="center" wrapText="1"/>
      <protection locked="0"/>
    </xf>
    <xf numFmtId="0" fontId="21" fillId="11" borderId="184" xfId="3" applyFont="1" applyFill="1" applyBorder="1" applyAlignment="1" applyProtection="1">
      <alignment horizontal="left" vertical="center" wrapText="1"/>
      <protection locked="0"/>
    </xf>
    <xf numFmtId="1" fontId="9" fillId="4" borderId="2" xfId="0" applyNumberFormat="1" applyFont="1" applyFill="1" applyBorder="1" applyAlignment="1" applyProtection="1">
      <alignment horizontal="center" vertical="center"/>
      <protection locked="0"/>
    </xf>
    <xf numFmtId="1" fontId="21" fillId="0" borderId="5" xfId="0" applyNumberFormat="1" applyFont="1" applyBorder="1" applyAlignment="1" applyProtection="1">
      <alignment horizontal="center"/>
      <protection locked="0"/>
    </xf>
    <xf numFmtId="1" fontId="21" fillId="21" borderId="3" xfId="0" applyNumberFormat="1" applyFont="1" applyFill="1" applyBorder="1" applyAlignment="1" applyProtection="1">
      <alignment horizontal="center"/>
      <protection locked="0"/>
    </xf>
    <xf numFmtId="0" fontId="9" fillId="21" borderId="3" xfId="0" applyFont="1" applyFill="1" applyBorder="1" applyAlignment="1" applyProtection="1">
      <alignment horizontal="center" vertical="center"/>
      <protection locked="0"/>
    </xf>
    <xf numFmtId="0" fontId="9" fillId="4" borderId="3" xfId="0" applyFont="1" applyFill="1" applyBorder="1" applyAlignment="1" applyProtection="1">
      <alignment horizontal="center" vertical="center"/>
      <protection locked="0"/>
    </xf>
    <xf numFmtId="1" fontId="9" fillId="0" borderId="3" xfId="0" applyNumberFormat="1" applyFont="1" applyBorder="1" applyAlignment="1" applyProtection="1">
      <alignment horizontal="center" vertical="center"/>
      <protection locked="0"/>
    </xf>
    <xf numFmtId="0" fontId="76" fillId="0" borderId="0" xfId="5" applyFont="1" applyProtection="1">
      <protection locked="0"/>
    </xf>
    <xf numFmtId="0" fontId="70" fillId="11" borderId="65" xfId="5" applyFont="1" applyFill="1" applyBorder="1" applyAlignment="1" applyProtection="1">
      <alignment horizontal="center" vertical="center" wrapText="1"/>
      <protection locked="0"/>
    </xf>
    <xf numFmtId="0" fontId="70" fillId="11" borderId="2" xfId="5" applyFont="1" applyFill="1" applyBorder="1" applyAlignment="1" applyProtection="1">
      <alignment horizontal="center" vertical="center" wrapText="1"/>
      <protection locked="0"/>
    </xf>
    <xf numFmtId="0" fontId="70" fillId="11" borderId="3" xfId="5" applyFont="1" applyFill="1" applyBorder="1" applyAlignment="1" applyProtection="1">
      <alignment horizontal="center" vertical="center" wrapText="1"/>
      <protection locked="0"/>
    </xf>
    <xf numFmtId="0" fontId="72" fillId="11" borderId="3" xfId="5" applyFont="1" applyFill="1" applyBorder="1" applyAlignment="1" applyProtection="1">
      <alignment horizontal="center" vertical="center" wrapText="1"/>
      <protection locked="0"/>
    </xf>
    <xf numFmtId="0" fontId="72" fillId="4" borderId="3" xfId="5" applyFont="1" applyFill="1" applyBorder="1" applyAlignment="1" applyProtection="1">
      <alignment horizontal="center" vertical="center" wrapText="1"/>
      <protection locked="0"/>
    </xf>
    <xf numFmtId="0" fontId="30" fillId="0" borderId="0" xfId="12" applyFont="1" applyFill="1" applyBorder="1" applyAlignment="1" applyProtection="1">
      <alignment horizontal="center" vertical="center"/>
      <protection locked="0"/>
    </xf>
    <xf numFmtId="0" fontId="70" fillId="11" borderId="28" xfId="5" applyFont="1" applyFill="1" applyBorder="1" applyAlignment="1" applyProtection="1">
      <alignment horizontal="center" vertical="center" wrapText="1"/>
      <protection locked="0"/>
    </xf>
    <xf numFmtId="0" fontId="70" fillId="11" borderId="15" xfId="5" applyFont="1" applyFill="1" applyBorder="1" applyAlignment="1" applyProtection="1">
      <alignment horizontal="center" vertical="center" wrapText="1"/>
      <protection locked="0"/>
    </xf>
    <xf numFmtId="0" fontId="72" fillId="11" borderId="15" xfId="5" applyFont="1" applyFill="1" applyBorder="1" applyAlignment="1" applyProtection="1">
      <alignment horizontal="center" vertical="center" wrapText="1"/>
      <protection locked="0"/>
    </xf>
    <xf numFmtId="0" fontId="72" fillId="4" borderId="15" xfId="5" applyFont="1" applyFill="1" applyBorder="1" applyAlignment="1" applyProtection="1">
      <alignment horizontal="center" vertical="center" wrapText="1"/>
      <protection locked="0"/>
    </xf>
    <xf numFmtId="0" fontId="44" fillId="0" borderId="0" xfId="5" applyFont="1" applyProtection="1">
      <protection locked="0"/>
    </xf>
    <xf numFmtId="0" fontId="67" fillId="4" borderId="0" xfId="0" applyFont="1" applyFill="1" applyAlignment="1" applyProtection="1">
      <alignment horizontal="center" vertical="center"/>
      <protection locked="0"/>
    </xf>
    <xf numFmtId="0" fontId="67" fillId="0" borderId="0" xfId="0" applyFont="1" applyProtection="1">
      <protection locked="0"/>
    </xf>
    <xf numFmtId="0" fontId="65" fillId="4" borderId="26" xfId="0" applyFont="1" applyFill="1" applyBorder="1" applyAlignment="1" applyProtection="1">
      <alignment horizontal="left" vertical="center"/>
      <protection locked="0"/>
    </xf>
    <xf numFmtId="49" fontId="26" fillId="4" borderId="20" xfId="2" applyNumberFormat="1" applyFont="1" applyFill="1" applyBorder="1" applyAlignment="1" applyProtection="1">
      <alignment vertical="center"/>
      <protection locked="0"/>
    </xf>
    <xf numFmtId="0" fontId="65" fillId="4" borderId="19" xfId="0" applyFont="1" applyFill="1" applyBorder="1" applyAlignment="1" applyProtection="1">
      <alignment horizontal="left" vertical="center"/>
      <protection locked="0"/>
    </xf>
    <xf numFmtId="169" fontId="26" fillId="4" borderId="20" xfId="2" applyNumberFormat="1" applyFont="1" applyFill="1" applyBorder="1" applyAlignment="1" applyProtection="1">
      <alignment vertical="center"/>
      <protection locked="0"/>
    </xf>
    <xf numFmtId="0" fontId="21" fillId="0" borderId="109" xfId="4" applyFont="1" applyFill="1" applyBorder="1" applyAlignment="1" applyProtection="1">
      <alignment vertical="center"/>
      <protection locked="0"/>
    </xf>
    <xf numFmtId="169" fontId="26" fillId="0" borderId="20" xfId="2" applyNumberFormat="1" applyFont="1" applyFill="1" applyBorder="1" applyAlignment="1" applyProtection="1">
      <alignment vertical="center"/>
      <protection locked="0"/>
    </xf>
    <xf numFmtId="0" fontId="21" fillId="0" borderId="78" xfId="4" applyFont="1" applyFill="1" applyBorder="1" applyAlignment="1" applyProtection="1">
      <alignment vertical="center"/>
      <protection locked="0"/>
    </xf>
    <xf numFmtId="0" fontId="21" fillId="4" borderId="78" xfId="4" applyFont="1" applyFill="1" applyBorder="1" applyAlignment="1" applyProtection="1">
      <alignment vertical="center"/>
      <protection locked="0"/>
    </xf>
    <xf numFmtId="0" fontId="21" fillId="0" borderId="78" xfId="4" applyFont="1" applyFill="1" applyBorder="1" applyAlignment="1" applyProtection="1">
      <alignment vertical="center" wrapText="1"/>
      <protection locked="0"/>
    </xf>
    <xf numFmtId="0" fontId="26" fillId="4" borderId="20" xfId="2" applyNumberFormat="1" applyFont="1" applyFill="1" applyBorder="1" applyAlignment="1" applyProtection="1">
      <alignment horizontal="left" vertical="center" indent="1"/>
      <protection locked="0"/>
    </xf>
    <xf numFmtId="0" fontId="65" fillId="4" borderId="19" xfId="0" applyFont="1" applyFill="1" applyBorder="1" applyAlignment="1" applyProtection="1">
      <alignment horizontal="left"/>
      <protection locked="0"/>
    </xf>
    <xf numFmtId="1" fontId="26" fillId="4" borderId="20" xfId="2" applyNumberFormat="1" applyFont="1" applyFill="1" applyBorder="1" applyAlignment="1" applyProtection="1">
      <alignment horizontal="left" vertical="center" indent="1"/>
      <protection locked="0"/>
    </xf>
    <xf numFmtId="0" fontId="65" fillId="4" borderId="21" xfId="0" applyFont="1" applyFill="1" applyBorder="1" applyAlignment="1" applyProtection="1">
      <alignment horizontal="left" vertical="center"/>
      <protection locked="0"/>
    </xf>
    <xf numFmtId="169" fontId="26" fillId="4" borderId="22" xfId="2" applyNumberFormat="1" applyFont="1" applyFill="1" applyBorder="1" applyAlignment="1" applyProtection="1">
      <alignment vertical="center"/>
      <protection locked="0"/>
    </xf>
    <xf numFmtId="0" fontId="0" fillId="11" borderId="49" xfId="0" applyFill="1" applyBorder="1"/>
    <xf numFmtId="0" fontId="139" fillId="11" borderId="128" xfId="0" applyFont="1" applyFill="1" applyBorder="1" applyAlignment="1">
      <alignment horizontal="center" vertical="center"/>
    </xf>
    <xf numFmtId="0" fontId="139" fillId="11" borderId="50" xfId="0" applyFont="1" applyFill="1" applyBorder="1" applyAlignment="1">
      <alignment horizontal="center" vertical="center"/>
    </xf>
    <xf numFmtId="0" fontId="139" fillId="11" borderId="185" xfId="0" applyFont="1" applyFill="1" applyBorder="1" applyAlignment="1">
      <alignment horizontal="center" vertical="center"/>
    </xf>
    <xf numFmtId="0" fontId="21" fillId="4" borderId="189" xfId="0" applyFont="1" applyFill="1" applyBorder="1" applyAlignment="1">
      <alignment vertical="center"/>
    </xf>
    <xf numFmtId="0" fontId="21" fillId="4" borderId="117" xfId="0" applyFont="1" applyFill="1" applyBorder="1" applyAlignment="1">
      <alignment vertical="center"/>
    </xf>
    <xf numFmtId="0" fontId="0" fillId="0" borderId="3" xfId="0" applyBorder="1"/>
    <xf numFmtId="0" fontId="0" fillId="0" borderId="20" xfId="0" applyBorder="1"/>
    <xf numFmtId="0" fontId="21" fillId="4" borderId="118" xfId="0" applyFont="1" applyFill="1" applyBorder="1" applyAlignment="1">
      <alignment vertical="center"/>
    </xf>
    <xf numFmtId="0" fontId="0" fillId="0" borderId="22" xfId="0" applyBorder="1"/>
    <xf numFmtId="0" fontId="9" fillId="11" borderId="204" xfId="0" applyFont="1" applyFill="1" applyBorder="1"/>
    <xf numFmtId="0" fontId="21" fillId="11" borderId="205" xfId="0" applyFont="1" applyFill="1" applyBorder="1" applyAlignment="1">
      <alignment horizontal="center" vertical="center"/>
    </xf>
    <xf numFmtId="0" fontId="21" fillId="11" borderId="206" xfId="0" applyFont="1" applyFill="1" applyBorder="1" applyAlignment="1">
      <alignment horizontal="center" vertical="center"/>
    </xf>
    <xf numFmtId="0" fontId="21" fillId="11" borderId="207" xfId="0" applyFont="1" applyFill="1" applyBorder="1" applyAlignment="1">
      <alignment horizontal="center" vertical="center"/>
    </xf>
    <xf numFmtId="0" fontId="21" fillId="0" borderId="189" xfId="0" applyFont="1" applyBorder="1" applyAlignment="1">
      <alignment horizontal="center"/>
    </xf>
    <xf numFmtId="0" fontId="21" fillId="0" borderId="117" xfId="0" applyFont="1" applyBorder="1" applyAlignment="1">
      <alignment horizontal="center"/>
    </xf>
    <xf numFmtId="0" fontId="9" fillId="0" borderId="5" xfId="0" applyFont="1" applyBorder="1" applyAlignment="1">
      <alignment horizontal="left" vertical="center"/>
    </xf>
    <xf numFmtId="1" fontId="9" fillId="4" borderId="5" xfId="0" applyNumberFormat="1" applyFont="1" applyFill="1" applyBorder="1" applyAlignment="1">
      <alignment horizontal="center" vertical="center"/>
    </xf>
    <xf numFmtId="173" fontId="9" fillId="4" borderId="5" xfId="0" applyNumberFormat="1" applyFont="1" applyFill="1" applyBorder="1" applyAlignment="1">
      <alignment horizontal="center" vertical="center"/>
    </xf>
    <xf numFmtId="0" fontId="9" fillId="4" borderId="5" xfId="0" applyFont="1" applyFill="1" applyBorder="1" applyAlignment="1">
      <alignment horizontal="left" vertical="center"/>
    </xf>
    <xf numFmtId="1" fontId="21" fillId="0" borderId="3" xfId="0" applyNumberFormat="1" applyFont="1" applyBorder="1" applyAlignment="1">
      <alignment horizontal="center" vertical="center"/>
    </xf>
    <xf numFmtId="173" fontId="21" fillId="0" borderId="3" xfId="0" applyNumberFormat="1" applyFont="1" applyBorder="1" applyAlignment="1">
      <alignment horizontal="center" vertical="center"/>
    </xf>
    <xf numFmtId="0" fontId="38" fillId="0" borderId="65" xfId="0" applyFont="1" applyBorder="1" applyAlignment="1">
      <alignment vertical="center"/>
    </xf>
    <xf numFmtId="0" fontId="38" fillId="4" borderId="65" xfId="0" applyFont="1" applyFill="1" applyBorder="1" applyAlignment="1">
      <alignment vertical="center"/>
    </xf>
    <xf numFmtId="10" fontId="39" fillId="4" borderId="128" xfId="0" applyNumberFormat="1" applyFont="1" applyFill="1" applyBorder="1" applyAlignment="1">
      <alignment vertical="center" wrapText="1"/>
    </xf>
    <xf numFmtId="10" fontId="39" fillId="4" borderId="50" xfId="0" applyNumberFormat="1" applyFont="1" applyFill="1" applyBorder="1" applyAlignment="1">
      <alignment vertical="center" wrapText="1"/>
    </xf>
    <xf numFmtId="0" fontId="0" fillId="0" borderId="0" xfId="0" applyAlignment="1">
      <alignment horizontal="center"/>
    </xf>
    <xf numFmtId="0" fontId="9" fillId="11" borderId="51" xfId="0" applyFont="1" applyFill="1" applyBorder="1" applyAlignment="1">
      <alignment horizontal="center"/>
    </xf>
    <xf numFmtId="0" fontId="9" fillId="11" borderId="37" xfId="0" applyFont="1" applyFill="1" applyBorder="1" applyAlignment="1">
      <alignment horizontal="center"/>
    </xf>
    <xf numFmtId="167" fontId="26" fillId="0" borderId="82" xfId="2" applyFont="1" applyBorder="1" applyAlignment="1" applyProtection="1">
      <alignment horizontal="center"/>
    </xf>
    <xf numFmtId="167" fontId="26" fillId="0" borderId="24" xfId="2" applyFont="1" applyBorder="1" applyAlignment="1" applyProtection="1">
      <alignment horizontal="center"/>
    </xf>
    <xf numFmtId="167" fontId="26" fillId="0" borderId="22" xfId="2" applyFont="1" applyBorder="1" applyAlignment="1" applyProtection="1">
      <alignment horizontal="center"/>
    </xf>
    <xf numFmtId="167" fontId="26" fillId="4" borderId="80" xfId="2" applyFont="1" applyFill="1" applyBorder="1" applyAlignment="1" applyProtection="1">
      <alignment horizontal="center" vertical="center"/>
    </xf>
    <xf numFmtId="169" fontId="27" fillId="0" borderId="49" xfId="5" applyNumberFormat="1" applyFont="1" applyBorder="1" applyAlignment="1">
      <alignment vertical="center"/>
    </xf>
    <xf numFmtId="170" fontId="101" fillId="4" borderId="3" xfId="2" applyNumberFormat="1" applyFont="1" applyFill="1" applyBorder="1" applyProtection="1">
      <protection locked="0"/>
    </xf>
    <xf numFmtId="170" fontId="101" fillId="4" borderId="3" xfId="2" applyNumberFormat="1" applyFont="1" applyFill="1" applyBorder="1" applyAlignment="1" applyProtection="1">
      <alignment vertical="center"/>
      <protection locked="0"/>
    </xf>
    <xf numFmtId="169" fontId="39" fillId="4" borderId="140" xfId="2" applyNumberFormat="1" applyFont="1" applyFill="1" applyBorder="1" applyAlignment="1" applyProtection="1">
      <alignment horizontal="center"/>
      <protection locked="0"/>
    </xf>
    <xf numFmtId="0" fontId="119" fillId="11" borderId="113" xfId="8" applyFont="1" applyFill="1" applyBorder="1" applyAlignment="1" applyProtection="1">
      <alignment horizontal="center" vertical="center" wrapText="1"/>
      <protection locked="0"/>
    </xf>
    <xf numFmtId="0" fontId="119" fillId="11" borderId="168" xfId="8" applyFont="1" applyFill="1" applyBorder="1" applyAlignment="1" applyProtection="1">
      <alignment horizontal="center" vertical="center" wrapText="1"/>
      <protection locked="0"/>
    </xf>
    <xf numFmtId="2" fontId="119" fillId="11" borderId="168" xfId="8" applyNumberFormat="1" applyFont="1" applyFill="1" applyBorder="1" applyAlignment="1" applyProtection="1">
      <alignment horizontal="center" vertical="center" wrapText="1"/>
      <protection locked="0"/>
    </xf>
    <xf numFmtId="9" fontId="9" fillId="4" borderId="66" xfId="6" applyFont="1" applyFill="1" applyBorder="1" applyAlignment="1" applyProtection="1">
      <alignment horizontal="center" vertical="center"/>
      <protection locked="0"/>
    </xf>
    <xf numFmtId="9" fontId="113" fillId="4" borderId="65" xfId="6" applyFont="1" applyFill="1" applyBorder="1" applyAlignment="1" applyProtection="1">
      <alignment horizontal="left" vertical="center"/>
      <protection locked="0"/>
    </xf>
    <xf numFmtId="0" fontId="113" fillId="25" borderId="65" xfId="0" applyFont="1" applyFill="1" applyBorder="1" applyAlignment="1" applyProtection="1">
      <alignment horizontal="left" vertical="top"/>
      <protection locked="0"/>
    </xf>
    <xf numFmtId="1" fontId="9" fillId="4" borderId="65" xfId="6" applyNumberFormat="1" applyFont="1" applyFill="1" applyBorder="1" applyAlignment="1" applyProtection="1">
      <alignment horizontal="center" vertical="center"/>
      <protection locked="0"/>
    </xf>
    <xf numFmtId="9" fontId="9" fillId="4" borderId="65" xfId="6" applyFont="1" applyFill="1" applyBorder="1" applyAlignment="1" applyProtection="1">
      <alignment horizontal="center" vertical="center"/>
      <protection locked="0"/>
    </xf>
    <xf numFmtId="0" fontId="113" fillId="4" borderId="65" xfId="0" applyFont="1" applyFill="1" applyBorder="1" applyAlignment="1" applyProtection="1">
      <alignment horizontal="left" vertical="top"/>
      <protection locked="0"/>
    </xf>
    <xf numFmtId="0" fontId="9" fillId="4" borderId="65" xfId="0" applyFont="1" applyFill="1" applyBorder="1" applyAlignment="1" applyProtection="1">
      <alignment horizontal="left" vertical="top"/>
      <protection locked="0"/>
    </xf>
    <xf numFmtId="2" fontId="9" fillId="4" borderId="65" xfId="6" applyNumberFormat="1" applyFont="1" applyFill="1" applyBorder="1" applyAlignment="1" applyProtection="1">
      <alignment horizontal="center" vertical="center"/>
      <protection locked="0"/>
    </xf>
    <xf numFmtId="0" fontId="119" fillId="11" borderId="169" xfId="8" applyFont="1" applyFill="1" applyBorder="1" applyAlignment="1" applyProtection="1">
      <alignment horizontal="center" vertical="center" wrapText="1"/>
      <protection locked="0"/>
    </xf>
    <xf numFmtId="9" fontId="102" fillId="4" borderId="65" xfId="6" applyFont="1" applyFill="1" applyBorder="1" applyAlignment="1" applyProtection="1">
      <alignment horizontal="center" vertical="center"/>
      <protection locked="0"/>
    </xf>
    <xf numFmtId="9" fontId="102" fillId="4" borderId="170" xfId="6" applyFont="1" applyFill="1" applyBorder="1" applyAlignment="1" applyProtection="1">
      <alignment horizontal="center" vertical="center"/>
      <protection locked="0"/>
    </xf>
    <xf numFmtId="9" fontId="9" fillId="4" borderId="170" xfId="6" applyFont="1" applyFill="1" applyBorder="1" applyAlignment="1" applyProtection="1">
      <alignment horizontal="center" vertical="center"/>
      <protection locked="0"/>
    </xf>
    <xf numFmtId="0" fontId="9" fillId="4" borderId="65" xfId="0" applyFont="1" applyFill="1" applyBorder="1" applyAlignment="1" applyProtection="1">
      <alignment horizontal="center" vertical="center"/>
      <protection locked="0"/>
    </xf>
    <xf numFmtId="2" fontId="9" fillId="4" borderId="65" xfId="0" applyNumberFormat="1" applyFont="1" applyFill="1" applyBorder="1" applyAlignment="1" applyProtection="1">
      <alignment horizontal="center" vertical="center"/>
      <protection locked="0"/>
    </xf>
    <xf numFmtId="9" fontId="9" fillId="4" borderId="149" xfId="6" applyFont="1" applyFill="1" applyBorder="1" applyAlignment="1" applyProtection="1">
      <alignment horizontal="center" vertical="center"/>
      <protection locked="0"/>
    </xf>
    <xf numFmtId="0" fontId="113" fillId="4" borderId="171" xfId="0" applyFont="1" applyFill="1" applyBorder="1" applyAlignment="1" applyProtection="1">
      <alignment horizontal="left" vertical="top"/>
      <protection locked="0"/>
    </xf>
    <xf numFmtId="2" fontId="9" fillId="4" borderId="171" xfId="6" applyNumberFormat="1" applyFont="1" applyFill="1" applyBorder="1" applyAlignment="1" applyProtection="1">
      <alignment horizontal="center" vertical="center"/>
      <protection locked="0"/>
    </xf>
    <xf numFmtId="9" fontId="9" fillId="4" borderId="171" xfId="6" applyFont="1" applyFill="1" applyBorder="1" applyAlignment="1" applyProtection="1">
      <alignment horizontal="center" vertical="center"/>
      <protection locked="0"/>
    </xf>
    <xf numFmtId="0" fontId="9" fillId="4" borderId="171" xfId="0" applyFont="1" applyFill="1" applyBorder="1" applyAlignment="1" applyProtection="1">
      <alignment horizontal="center" vertical="center"/>
      <protection locked="0"/>
    </xf>
    <xf numFmtId="2" fontId="9" fillId="4" borderId="171" xfId="0" applyNumberFormat="1" applyFont="1" applyFill="1" applyBorder="1" applyAlignment="1" applyProtection="1">
      <alignment horizontal="center" vertical="center"/>
      <protection locked="0"/>
    </xf>
    <xf numFmtId="9" fontId="9" fillId="4" borderId="145" xfId="6" applyFont="1" applyFill="1" applyBorder="1" applyAlignment="1" applyProtection="1">
      <alignment horizontal="center" vertical="center"/>
      <protection locked="0"/>
    </xf>
    <xf numFmtId="0" fontId="9" fillId="4" borderId="59" xfId="0" applyFont="1" applyFill="1" applyBorder="1" applyProtection="1">
      <protection locked="0"/>
    </xf>
    <xf numFmtId="0" fontId="113" fillId="4" borderId="33" xfId="0" applyFont="1" applyFill="1" applyBorder="1" applyProtection="1">
      <protection locked="0"/>
    </xf>
    <xf numFmtId="0" fontId="113" fillId="4" borderId="5" xfId="0" applyFont="1" applyFill="1" applyBorder="1" applyAlignment="1" applyProtection="1">
      <alignment wrapText="1"/>
      <protection locked="0"/>
    </xf>
    <xf numFmtId="1" fontId="34" fillId="4" borderId="62" xfId="0" applyNumberFormat="1" applyFont="1" applyFill="1" applyBorder="1" applyAlignment="1" applyProtection="1">
      <alignment horizontal="right"/>
      <protection locked="0"/>
    </xf>
    <xf numFmtId="169" fontId="26" fillId="4" borderId="62" xfId="2" applyNumberFormat="1" applyFont="1" applyFill="1" applyBorder="1" applyProtection="1">
      <protection locked="0"/>
    </xf>
    <xf numFmtId="169" fontId="26" fillId="4" borderId="62" xfId="2" applyNumberFormat="1" applyFont="1" applyFill="1" applyBorder="1" applyAlignment="1" applyProtection="1">
      <alignment vertical="center"/>
      <protection locked="0"/>
    </xf>
    <xf numFmtId="169" fontId="26" fillId="10" borderId="62" xfId="2" applyNumberFormat="1" applyFont="1" applyFill="1" applyBorder="1" applyProtection="1">
      <protection locked="0"/>
    </xf>
    <xf numFmtId="169" fontId="103" fillId="21" borderId="60" xfId="2" applyNumberFormat="1" applyFont="1" applyFill="1" applyBorder="1" applyProtection="1">
      <protection locked="0"/>
    </xf>
    <xf numFmtId="169" fontId="103" fillId="21" borderId="62" xfId="2" applyNumberFormat="1" applyFont="1" applyFill="1" applyBorder="1" applyProtection="1">
      <protection locked="0"/>
    </xf>
    <xf numFmtId="169" fontId="103" fillId="21" borderId="144" xfId="2" applyNumberFormat="1" applyFont="1" applyFill="1" applyBorder="1" applyAlignment="1" applyProtection="1">
      <alignment vertical="center"/>
      <protection locked="0"/>
    </xf>
    <xf numFmtId="0" fontId="113" fillId="21" borderId="145" xfId="0" applyFont="1" applyFill="1" applyBorder="1" applyAlignment="1" applyProtection="1">
      <alignment horizontal="left" indent="1"/>
      <protection locked="0"/>
    </xf>
    <xf numFmtId="0" fontId="102" fillId="4" borderId="62" xfId="0" applyFont="1" applyFill="1" applyBorder="1" applyAlignment="1" applyProtection="1">
      <alignment vertical="center"/>
      <protection locked="0"/>
    </xf>
    <xf numFmtId="0" fontId="102" fillId="4" borderId="64" xfId="0" applyFont="1" applyFill="1" applyBorder="1" applyAlignment="1" applyProtection="1">
      <alignment vertical="center"/>
      <protection locked="0"/>
    </xf>
    <xf numFmtId="169" fontId="101" fillId="4" borderId="192" xfId="2" applyNumberFormat="1" applyFont="1" applyFill="1" applyBorder="1" applyAlignment="1" applyProtection="1">
      <alignment vertical="center"/>
      <protection locked="0"/>
    </xf>
    <xf numFmtId="169" fontId="101" fillId="4" borderId="193" xfId="2" applyNumberFormat="1" applyFont="1" applyFill="1" applyBorder="1" applyAlignment="1" applyProtection="1">
      <alignment vertical="center"/>
      <protection locked="0"/>
    </xf>
    <xf numFmtId="169" fontId="101" fillId="4" borderId="140" xfId="2" applyNumberFormat="1" applyFont="1" applyFill="1" applyBorder="1" applyAlignment="1" applyProtection="1">
      <alignment vertical="center"/>
      <protection locked="0"/>
    </xf>
    <xf numFmtId="169" fontId="101" fillId="4" borderId="175" xfId="2" applyNumberFormat="1" applyFont="1" applyFill="1" applyBorder="1" applyProtection="1">
      <protection locked="0"/>
    </xf>
    <xf numFmtId="169" fontId="101" fillId="4" borderId="26" xfId="2" applyNumberFormat="1" applyFont="1" applyFill="1" applyBorder="1" applyProtection="1">
      <protection locked="0"/>
    </xf>
    <xf numFmtId="169" fontId="101" fillId="4" borderId="19" xfId="2" applyNumberFormat="1" applyFont="1" applyFill="1" applyBorder="1" applyProtection="1">
      <protection locked="0"/>
    </xf>
    <xf numFmtId="169" fontId="101" fillId="4" borderId="181" xfId="2" applyNumberFormat="1" applyFont="1" applyFill="1" applyBorder="1" applyProtection="1">
      <protection locked="0"/>
    </xf>
    <xf numFmtId="0" fontId="29" fillId="11" borderId="104" xfId="8" applyFont="1" applyFill="1" applyBorder="1" applyAlignment="1" applyProtection="1">
      <alignment horizontal="center" vertical="center" wrapText="1"/>
      <protection locked="0"/>
    </xf>
    <xf numFmtId="0" fontId="29" fillId="11" borderId="58" xfId="8" applyFont="1" applyFill="1" applyBorder="1" applyAlignment="1" applyProtection="1">
      <alignment horizontal="center" vertical="center" wrapText="1"/>
      <protection locked="0"/>
    </xf>
    <xf numFmtId="0" fontId="29" fillId="11" borderId="105" xfId="8" applyFont="1" applyFill="1" applyBorder="1" applyAlignment="1" applyProtection="1">
      <alignment horizontal="center" vertical="center" wrapText="1"/>
      <protection locked="0"/>
    </xf>
    <xf numFmtId="9" fontId="9" fillId="4" borderId="116" xfId="0" applyNumberFormat="1" applyFont="1" applyFill="1" applyBorder="1" applyAlignment="1" applyProtection="1">
      <alignment horizontal="center"/>
      <protection locked="0"/>
    </xf>
    <xf numFmtId="0" fontId="9" fillId="4" borderId="114" xfId="0" applyFont="1" applyFill="1" applyBorder="1" applyAlignment="1" applyProtection="1">
      <alignment horizontal="center"/>
      <protection locked="0"/>
    </xf>
    <xf numFmtId="169" fontId="115" fillId="4" borderId="120" xfId="2" applyNumberFormat="1" applyFont="1" applyFill="1" applyBorder="1" applyAlignment="1" applyProtection="1">
      <alignment horizontal="center" vertical="center"/>
      <protection locked="0"/>
    </xf>
    <xf numFmtId="9" fontId="9" fillId="4" borderId="117" xfId="0" applyNumberFormat="1" applyFont="1" applyFill="1" applyBorder="1" applyAlignment="1" applyProtection="1">
      <alignment horizontal="center"/>
      <protection locked="0"/>
    </xf>
    <xf numFmtId="0" fontId="9" fillId="4" borderId="115" xfId="0" applyFont="1" applyFill="1" applyBorder="1" applyAlignment="1" applyProtection="1">
      <alignment horizontal="center"/>
      <protection locked="0"/>
    </xf>
    <xf numFmtId="169" fontId="115" fillId="4" borderId="121" xfId="2" applyNumberFormat="1" applyFont="1" applyFill="1" applyBorder="1" applyAlignment="1" applyProtection="1">
      <alignment horizontal="center" vertical="center"/>
      <protection locked="0"/>
    </xf>
    <xf numFmtId="0" fontId="9" fillId="4" borderId="119" xfId="0" applyFont="1" applyFill="1" applyBorder="1" applyAlignment="1" applyProtection="1">
      <alignment horizontal="center"/>
      <protection locked="0"/>
    </xf>
    <xf numFmtId="1" fontId="9" fillId="4" borderId="115" xfId="0" applyNumberFormat="1" applyFont="1" applyFill="1" applyBorder="1" applyAlignment="1" applyProtection="1">
      <alignment horizontal="center"/>
      <protection locked="0"/>
    </xf>
    <xf numFmtId="9" fontId="9" fillId="4" borderId="118" xfId="0" applyNumberFormat="1" applyFont="1" applyFill="1" applyBorder="1" applyAlignment="1" applyProtection="1">
      <alignment horizontal="center" vertical="center"/>
      <protection locked="0"/>
    </xf>
    <xf numFmtId="1" fontId="9" fillId="4" borderId="73" xfId="0" applyNumberFormat="1" applyFont="1" applyFill="1" applyBorder="1" applyAlignment="1" applyProtection="1">
      <alignment horizontal="center"/>
      <protection locked="0"/>
    </xf>
    <xf numFmtId="1" fontId="9" fillId="4" borderId="122" xfId="0" applyNumberFormat="1" applyFont="1" applyFill="1" applyBorder="1" applyAlignment="1" applyProtection="1">
      <alignment horizontal="center"/>
      <protection locked="0"/>
    </xf>
    <xf numFmtId="170" fontId="9" fillId="0" borderId="0" xfId="0" applyNumberFormat="1" applyFont="1" applyAlignment="1" applyProtection="1">
      <alignment vertical="center"/>
      <protection locked="0"/>
    </xf>
    <xf numFmtId="170" fontId="9" fillId="0" borderId="0" xfId="0" applyNumberFormat="1" applyFont="1" applyProtection="1">
      <protection locked="0"/>
    </xf>
    <xf numFmtId="0" fontId="21" fillId="0" borderId="0" xfId="0" applyFont="1" applyProtection="1">
      <protection locked="0"/>
    </xf>
    <xf numFmtId="0" fontId="38" fillId="4" borderId="0" xfId="0" applyFont="1" applyFill="1" applyAlignment="1" applyProtection="1">
      <alignment horizontal="left"/>
      <protection locked="0"/>
    </xf>
    <xf numFmtId="0" fontId="9" fillId="4" borderId="0" xfId="0" applyFont="1" applyFill="1" applyAlignment="1" applyProtection="1">
      <alignment horizontal="center"/>
      <protection locked="0"/>
    </xf>
    <xf numFmtId="0" fontId="9" fillId="4" borderId="0" xfId="0" applyFont="1" applyFill="1" applyAlignment="1" applyProtection="1">
      <alignment vertical="center"/>
      <protection locked="0"/>
    </xf>
    <xf numFmtId="171" fontId="33" fillId="4" borderId="0" xfId="0" applyNumberFormat="1" applyFont="1" applyFill="1" applyAlignment="1" applyProtection="1">
      <alignment horizontal="center"/>
      <protection locked="0"/>
    </xf>
    <xf numFmtId="9" fontId="9" fillId="0" borderId="0" xfId="6" applyFont="1" applyAlignment="1" applyProtection="1">
      <alignment horizontal="right"/>
      <protection locked="0"/>
    </xf>
    <xf numFmtId="0" fontId="9" fillId="0" borderId="0" xfId="0" applyFont="1" applyAlignment="1" applyProtection="1">
      <alignment horizontal="left"/>
      <protection locked="0"/>
    </xf>
    <xf numFmtId="173" fontId="80" fillId="0" borderId="0" xfId="2" applyNumberFormat="1" applyFont="1" applyFill="1" applyBorder="1" applyProtection="1">
      <protection locked="0"/>
    </xf>
    <xf numFmtId="0" fontId="9" fillId="4" borderId="0" xfId="0" applyFont="1" applyFill="1" applyAlignment="1" applyProtection="1">
      <alignment horizontal="right" vertical="center"/>
      <protection locked="0"/>
    </xf>
    <xf numFmtId="169" fontId="101" fillId="4" borderId="0" xfId="2" applyNumberFormat="1" applyFont="1" applyFill="1" applyBorder="1" applyAlignment="1" applyProtection="1">
      <alignment horizontal="center" vertical="center"/>
      <protection locked="0"/>
    </xf>
    <xf numFmtId="1" fontId="9" fillId="4" borderId="0" xfId="0" applyNumberFormat="1" applyFont="1" applyFill="1" applyAlignment="1" applyProtection="1">
      <alignment vertical="center"/>
      <protection locked="0"/>
    </xf>
    <xf numFmtId="0" fontId="21" fillId="4" borderId="0" xfId="4" applyFont="1" applyFill="1" applyBorder="1" applyAlignment="1" applyProtection="1">
      <alignment vertical="center"/>
      <protection locked="0"/>
    </xf>
    <xf numFmtId="1" fontId="21" fillId="4" borderId="0" xfId="0" applyNumberFormat="1" applyFont="1" applyFill="1" applyAlignment="1" applyProtection="1">
      <alignment vertical="center"/>
      <protection locked="0"/>
    </xf>
    <xf numFmtId="0" fontId="9" fillId="4" borderId="0" xfId="0" applyFont="1" applyFill="1" applyAlignment="1" applyProtection="1">
      <alignment horizontal="left"/>
      <protection locked="0"/>
    </xf>
    <xf numFmtId="0" fontId="21" fillId="4" borderId="0" xfId="0" applyFont="1" applyFill="1" applyAlignment="1" applyProtection="1">
      <alignment horizontal="left" vertical="center"/>
      <protection locked="0"/>
    </xf>
    <xf numFmtId="0" fontId="21" fillId="4" borderId="0" xfId="0" applyFont="1" applyFill="1" applyAlignment="1" applyProtection="1">
      <alignment horizontal="left" vertical="top"/>
      <protection locked="0"/>
    </xf>
    <xf numFmtId="0" fontId="82" fillId="4" borderId="0" xfId="11" applyFont="1" applyFill="1" applyBorder="1" applyProtection="1">
      <protection locked="0"/>
    </xf>
    <xf numFmtId="1" fontId="82" fillId="4" borderId="0" xfId="11" applyNumberFormat="1" applyFont="1" applyFill="1" applyBorder="1" applyProtection="1">
      <protection locked="0"/>
    </xf>
    <xf numFmtId="169" fontId="82" fillId="4" borderId="0" xfId="2" applyNumberFormat="1" applyFont="1" applyFill="1" applyBorder="1" applyProtection="1">
      <protection locked="0"/>
    </xf>
    <xf numFmtId="9" fontId="9" fillId="4" borderId="0" xfId="6" applyFont="1" applyFill="1" applyAlignment="1" applyProtection="1">
      <alignment horizontal="right"/>
      <protection locked="0"/>
    </xf>
    <xf numFmtId="2" fontId="82" fillId="4" borderId="0" xfId="2" applyNumberFormat="1" applyFont="1" applyFill="1" applyBorder="1" applyProtection="1">
      <protection locked="0"/>
    </xf>
    <xf numFmtId="9" fontId="21" fillId="0" borderId="0" xfId="6" applyFont="1" applyAlignment="1" applyProtection="1">
      <alignment horizontal="right"/>
      <protection locked="0"/>
    </xf>
    <xf numFmtId="0" fontId="9" fillId="4" borderId="0" xfId="0" applyFont="1" applyFill="1" applyAlignment="1" applyProtection="1">
      <alignment horizontal="left" vertical="center"/>
      <protection locked="0"/>
    </xf>
    <xf numFmtId="1" fontId="9" fillId="0" borderId="0" xfId="0" applyNumberFormat="1" applyFont="1" applyAlignment="1" applyProtection="1">
      <alignment horizontal="left"/>
      <protection locked="0"/>
    </xf>
    <xf numFmtId="1" fontId="34" fillId="4" borderId="65" xfId="6" applyNumberFormat="1" applyFont="1" applyFill="1" applyBorder="1" applyAlignment="1" applyProtection="1">
      <alignment horizontal="center" vertical="center"/>
      <protection locked="0"/>
    </xf>
    <xf numFmtId="0" fontId="64" fillId="4" borderId="0" xfId="0" applyFont="1" applyFill="1" applyProtection="1">
      <protection locked="0"/>
    </xf>
    <xf numFmtId="0" fontId="21" fillId="0" borderId="0" xfId="4" applyFont="1" applyFill="1" applyBorder="1" applyAlignment="1" applyProtection="1">
      <alignment vertical="center"/>
      <protection locked="0"/>
    </xf>
    <xf numFmtId="169" fontId="101" fillId="0" borderId="0" xfId="2" applyNumberFormat="1" applyFont="1" applyFill="1" applyBorder="1" applyProtection="1">
      <protection locked="0"/>
    </xf>
    <xf numFmtId="0" fontId="69" fillId="4" borderId="0" xfId="15" applyFont="1" applyFill="1" applyBorder="1" applyAlignment="1" applyProtection="1">
      <alignment horizontal="left" vertical="center"/>
      <protection locked="0"/>
    </xf>
    <xf numFmtId="1" fontId="9" fillId="4" borderId="0" xfId="0" applyNumberFormat="1" applyFont="1" applyFill="1" applyAlignment="1" applyProtection="1">
      <alignment horizontal="left" vertical="center"/>
      <protection locked="0"/>
    </xf>
    <xf numFmtId="169" fontId="26" fillId="0" borderId="0" xfId="2" applyNumberFormat="1" applyFont="1" applyFill="1" applyBorder="1" applyProtection="1">
      <protection locked="0"/>
    </xf>
    <xf numFmtId="0" fontId="21" fillId="0" borderId="0" xfId="4" applyFont="1" applyFill="1" applyBorder="1" applyAlignment="1" applyProtection="1">
      <alignment vertical="center" wrapText="1"/>
      <protection locked="0"/>
    </xf>
    <xf numFmtId="169" fontId="26" fillId="0" borderId="0" xfId="2" applyNumberFormat="1" applyFont="1" applyFill="1" applyBorder="1" applyAlignment="1" applyProtection="1">
      <alignment vertical="center"/>
      <protection locked="0"/>
    </xf>
    <xf numFmtId="0" fontId="65" fillId="0" borderId="0" xfId="0" applyFont="1" applyAlignment="1" applyProtection="1">
      <alignment horizontal="left"/>
      <protection locked="0"/>
    </xf>
    <xf numFmtId="169" fontId="101" fillId="0" borderId="0" xfId="2" applyNumberFormat="1" applyFont="1" applyFill="1" applyBorder="1" applyAlignment="1" applyProtection="1">
      <alignment vertical="center"/>
      <protection locked="0"/>
    </xf>
    <xf numFmtId="1" fontId="33" fillId="0" borderId="0" xfId="0" applyNumberFormat="1" applyFont="1" applyAlignment="1" applyProtection="1">
      <alignment horizontal="left" indent="1"/>
      <protection locked="0"/>
    </xf>
    <xf numFmtId="0" fontId="65" fillId="0" borderId="0" xfId="0" applyFont="1" applyAlignment="1" applyProtection="1">
      <alignment horizontal="left" vertical="center"/>
      <protection locked="0"/>
    </xf>
    <xf numFmtId="0" fontId="25" fillId="0" borderId="0" xfId="0" applyFont="1" applyAlignment="1" applyProtection="1">
      <alignment horizontal="left"/>
      <protection locked="0"/>
    </xf>
    <xf numFmtId="0" fontId="29" fillId="0" borderId="0" xfId="8" applyFont="1" applyFill="1" applyBorder="1" applyAlignment="1" applyProtection="1">
      <alignment horizontal="left" vertical="center" wrapText="1"/>
      <protection locked="0"/>
    </xf>
    <xf numFmtId="0" fontId="65" fillId="4" borderId="0" xfId="0" applyFont="1" applyFill="1" applyAlignment="1" applyProtection="1">
      <alignment vertical="center"/>
      <protection locked="0"/>
    </xf>
    <xf numFmtId="0" fontId="64" fillId="4" borderId="0" xfId="0" applyFont="1" applyFill="1" applyAlignment="1" applyProtection="1">
      <alignment horizontal="left"/>
      <protection locked="0"/>
    </xf>
    <xf numFmtId="0" fontId="33" fillId="4" borderId="0" xfId="0" applyFont="1" applyFill="1" applyProtection="1">
      <protection locked="0"/>
    </xf>
    <xf numFmtId="0" fontId="26" fillId="0" borderId="0" xfId="2" applyNumberFormat="1" applyFont="1" applyFill="1" applyBorder="1" applyAlignment="1" applyProtection="1">
      <alignment horizontal="left" vertical="center" indent="1"/>
      <protection locked="0"/>
    </xf>
    <xf numFmtId="0" fontId="64" fillId="4" borderId="0" xfId="0" applyFont="1" applyFill="1" applyAlignment="1" applyProtection="1">
      <alignment vertical="center"/>
      <protection locked="0"/>
    </xf>
    <xf numFmtId="1" fontId="26" fillId="0" borderId="0" xfId="2" applyNumberFormat="1" applyFont="1" applyFill="1" applyBorder="1" applyAlignment="1" applyProtection="1">
      <alignment horizontal="left" vertical="center" indent="1"/>
      <protection locked="0"/>
    </xf>
    <xf numFmtId="0" fontId="67" fillId="4" borderId="0" xfId="0" applyFont="1" applyFill="1" applyProtection="1">
      <protection locked="0"/>
    </xf>
    <xf numFmtId="14" fontId="64" fillId="4" borderId="0" xfId="0" applyNumberFormat="1" applyFont="1" applyFill="1" applyAlignment="1" applyProtection="1">
      <alignment horizontal="left"/>
      <protection locked="0"/>
    </xf>
    <xf numFmtId="1" fontId="33" fillId="4" borderId="0" xfId="0" applyNumberFormat="1" applyFont="1" applyFill="1" applyAlignment="1" applyProtection="1">
      <alignment horizontal="left"/>
      <protection locked="0"/>
    </xf>
    <xf numFmtId="9" fontId="113" fillId="0" borderId="0" xfId="6" applyFont="1" applyFill="1" applyBorder="1" applyAlignment="1" applyProtection="1">
      <alignment horizontal="left" vertical="center"/>
      <protection locked="0"/>
    </xf>
    <xf numFmtId="170" fontId="9" fillId="0" borderId="0" xfId="0" applyNumberFormat="1" applyFont="1" applyAlignment="1" applyProtection="1">
      <alignment horizontal="left"/>
      <protection locked="0"/>
    </xf>
    <xf numFmtId="173" fontId="9" fillId="0" borderId="0" xfId="0" applyNumberFormat="1" applyFont="1" applyAlignment="1" applyProtection="1">
      <alignment horizontal="left"/>
      <protection locked="0"/>
    </xf>
    <xf numFmtId="0" fontId="80" fillId="0" borderId="0" xfId="4" applyFont="1" applyFill="1" applyBorder="1" applyProtection="1">
      <protection locked="0"/>
    </xf>
    <xf numFmtId="169" fontId="9" fillId="0" borderId="0" xfId="2" applyNumberFormat="1" applyFont="1" applyBorder="1" applyAlignment="1" applyProtection="1">
      <alignment horizontal="right" vertical="center"/>
      <protection locked="0"/>
    </xf>
    <xf numFmtId="0" fontId="53" fillId="0" borderId="0" xfId="5" applyFont="1" applyAlignment="1" applyProtection="1">
      <alignment vertical="center"/>
      <protection locked="0"/>
    </xf>
    <xf numFmtId="0" fontId="6" fillId="0" borderId="0" xfId="5" applyAlignment="1" applyProtection="1">
      <alignment vertical="center"/>
      <protection locked="0"/>
    </xf>
    <xf numFmtId="0" fontId="46" fillId="0" borderId="0" xfId="5" applyFont="1" applyAlignment="1" applyProtection="1">
      <alignment horizontal="center" vertical="center" wrapText="1"/>
      <protection locked="0"/>
    </xf>
    <xf numFmtId="0" fontId="54" fillId="0" borderId="0" xfId="5" applyFont="1" applyAlignment="1" applyProtection="1">
      <alignment horizontal="center" vertical="center" wrapText="1"/>
      <protection locked="0"/>
    </xf>
    <xf numFmtId="0" fontId="55" fillId="0" borderId="0" xfId="5" applyFont="1" applyAlignment="1" applyProtection="1">
      <alignment horizontal="center" vertical="center"/>
      <protection locked="0"/>
    </xf>
    <xf numFmtId="0" fontId="42" fillId="0" borderId="0" xfId="5" applyFont="1" applyAlignment="1" applyProtection="1">
      <alignment horizontal="right" vertical="center" wrapText="1" indent="2"/>
      <protection locked="0"/>
    </xf>
    <xf numFmtId="169" fontId="42" fillId="0" borderId="0" xfId="2" applyNumberFormat="1" applyFont="1" applyFill="1" applyBorder="1" applyAlignment="1" applyProtection="1">
      <alignment horizontal="right" vertical="center" wrapText="1" indent="2"/>
      <protection locked="0"/>
    </xf>
    <xf numFmtId="164" fontId="42" fillId="0" borderId="0" xfId="5" applyNumberFormat="1" applyFont="1" applyAlignment="1" applyProtection="1">
      <alignment horizontal="right" vertical="center" wrapText="1" indent="2"/>
      <protection locked="0"/>
    </xf>
    <xf numFmtId="169" fontId="13" fillId="0" borderId="0" xfId="2" applyNumberFormat="1" applyFont="1" applyFill="1" applyBorder="1" applyAlignment="1" applyProtection="1">
      <alignment horizontal="right" vertical="center" wrapText="1" indent="2"/>
      <protection locked="0"/>
    </xf>
    <xf numFmtId="1" fontId="42" fillId="0" borderId="0" xfId="14" applyNumberFormat="1" applyFont="1" applyFill="1" applyBorder="1" applyAlignment="1" applyProtection="1">
      <alignment horizontal="right" vertical="center" wrapText="1" indent="2"/>
      <protection locked="0"/>
    </xf>
    <xf numFmtId="169" fontId="42" fillId="0" borderId="0" xfId="5" applyNumberFormat="1" applyFont="1" applyAlignment="1" applyProtection="1">
      <alignment horizontal="right" vertical="center" wrapText="1" indent="2"/>
      <protection locked="0"/>
    </xf>
    <xf numFmtId="169" fontId="6" fillId="0" borderId="0" xfId="5" applyNumberFormat="1" applyAlignment="1" applyProtection="1">
      <alignment horizontal="right" vertical="center" wrapText="1" indent="2"/>
      <protection locked="0"/>
    </xf>
    <xf numFmtId="169" fontId="43" fillId="0" borderId="0" xfId="2" applyNumberFormat="1" applyFont="1" applyFill="1" applyBorder="1" applyAlignment="1" applyProtection="1">
      <alignment horizontal="right" vertical="center" wrapText="1" indent="2"/>
      <protection locked="0"/>
    </xf>
    <xf numFmtId="0" fontId="44" fillId="0" borderId="0" xfId="5" applyFont="1" applyAlignment="1" applyProtection="1">
      <alignment vertical="center" wrapText="1"/>
      <protection locked="0"/>
    </xf>
    <xf numFmtId="0" fontId="43" fillId="0" borderId="0" xfId="5" applyFont="1" applyAlignment="1" applyProtection="1">
      <alignment horizontal="center"/>
      <protection locked="0"/>
    </xf>
    <xf numFmtId="169" fontId="43" fillId="0" borderId="0" xfId="2" applyNumberFormat="1" applyFont="1" applyFill="1" applyBorder="1" applyProtection="1">
      <protection locked="0"/>
    </xf>
    <xf numFmtId="0" fontId="6" fillId="0" borderId="0" xfId="5" applyAlignment="1" applyProtection="1">
      <alignment horizontal="center"/>
      <protection locked="0"/>
    </xf>
    <xf numFmtId="169" fontId="13" fillId="0" borderId="0" xfId="2" applyNumberFormat="1" applyFont="1" applyFill="1" applyBorder="1" applyProtection="1">
      <protection locked="0"/>
    </xf>
    <xf numFmtId="0" fontId="43" fillId="0" borderId="0" xfId="5" applyFont="1" applyAlignment="1" applyProtection="1">
      <alignment horizontal="right" vertical="center"/>
      <protection locked="0"/>
    </xf>
    <xf numFmtId="164" fontId="6" fillId="0" borderId="0" xfId="5" applyNumberFormat="1" applyAlignment="1" applyProtection="1">
      <alignment horizontal="right" indent="2"/>
      <protection locked="0"/>
    </xf>
    <xf numFmtId="0" fontId="45" fillId="0" borderId="0" xfId="5" applyFont="1" applyAlignment="1" applyProtection="1">
      <alignment horizontal="right" vertical="center"/>
      <protection locked="0"/>
    </xf>
    <xf numFmtId="164" fontId="45" fillId="0" borderId="0" xfId="5" applyNumberFormat="1" applyFont="1" applyAlignment="1" applyProtection="1">
      <alignment horizontal="right" indent="2"/>
      <protection locked="0"/>
    </xf>
    <xf numFmtId="0" fontId="6" fillId="0" borderId="0" xfId="5" applyAlignment="1" applyProtection="1">
      <alignment wrapText="1"/>
      <protection locked="0"/>
    </xf>
    <xf numFmtId="0" fontId="33" fillId="0" borderId="0" xfId="0" applyFont="1" applyProtection="1">
      <protection locked="0"/>
    </xf>
    <xf numFmtId="0" fontId="43" fillId="0" borderId="0" xfId="5" applyFont="1" applyProtection="1">
      <protection locked="0"/>
    </xf>
    <xf numFmtId="0" fontId="65" fillId="0" borderId="0" xfId="0" applyFont="1" applyProtection="1">
      <protection locked="0"/>
    </xf>
    <xf numFmtId="0" fontId="22" fillId="0" borderId="0" xfId="9" applyFill="1" applyBorder="1" applyProtection="1">
      <protection locked="0"/>
    </xf>
    <xf numFmtId="169" fontId="13" fillId="0" borderId="0" xfId="2" applyNumberFormat="1" applyFont="1" applyFill="1" applyBorder="1" applyAlignment="1" applyProtection="1">
      <alignment vertical="center"/>
      <protection locked="0"/>
    </xf>
    <xf numFmtId="10" fontId="13" fillId="0" borderId="0" xfId="14" applyNumberFormat="1" applyFont="1" applyFill="1" applyBorder="1" applyAlignment="1" applyProtection="1">
      <alignment vertical="center"/>
      <protection locked="0"/>
    </xf>
    <xf numFmtId="0" fontId="47" fillId="0" borderId="0" xfId="5" applyFont="1" applyAlignment="1" applyProtection="1">
      <alignment vertical="center"/>
      <protection locked="0"/>
    </xf>
    <xf numFmtId="10" fontId="29" fillId="0" borderId="0" xfId="14" applyNumberFormat="1" applyFont="1" applyFill="1" applyBorder="1" applyAlignment="1" applyProtection="1">
      <alignment vertical="center" wrapText="1"/>
    </xf>
    <xf numFmtId="0" fontId="94" fillId="0" borderId="0" xfId="5" applyFont="1" applyAlignment="1">
      <alignment horizontal="left"/>
    </xf>
    <xf numFmtId="0" fontId="95" fillId="0" borderId="0" xfId="5" applyFont="1"/>
    <xf numFmtId="0" fontId="96" fillId="0" borderId="0" xfId="5" applyFont="1" applyAlignment="1">
      <alignment wrapText="1"/>
    </xf>
    <xf numFmtId="0" fontId="95" fillId="0" borderId="0" xfId="5" applyFont="1" applyAlignment="1">
      <alignment vertical="center"/>
    </xf>
    <xf numFmtId="9" fontId="9" fillId="4" borderId="0" xfId="6" applyFont="1" applyFill="1" applyBorder="1" applyAlignment="1" applyProtection="1">
      <alignment vertical="center"/>
    </xf>
    <xf numFmtId="1" fontId="9" fillId="4" borderId="0" xfId="0" applyNumberFormat="1" applyFont="1" applyFill="1" applyAlignment="1">
      <alignment horizontal="center" vertical="center"/>
    </xf>
    <xf numFmtId="1" fontId="21" fillId="4" borderId="0" xfId="0" applyNumberFormat="1" applyFont="1" applyFill="1" applyAlignment="1">
      <alignment vertical="center"/>
    </xf>
    <xf numFmtId="1" fontId="21" fillId="4" borderId="0" xfId="0" applyNumberFormat="1" applyFont="1" applyFill="1" applyAlignment="1">
      <alignment horizontal="center" vertical="center"/>
    </xf>
    <xf numFmtId="0" fontId="21" fillId="4" borderId="0" xfId="0" applyFont="1" applyFill="1" applyAlignment="1" applyProtection="1">
      <alignment horizontal="center"/>
      <protection locked="0"/>
    </xf>
    <xf numFmtId="0" fontId="21" fillId="4" borderId="0" xfId="0" applyFont="1" applyFill="1" applyAlignment="1" applyProtection="1">
      <alignment horizontal="center" vertical="center"/>
      <protection locked="0"/>
    </xf>
    <xf numFmtId="9" fontId="9" fillId="4" borderId="0" xfId="6" applyFont="1" applyFill="1" applyBorder="1" applyAlignment="1" applyProtection="1">
      <alignment horizontal="center" vertical="center"/>
      <protection locked="0"/>
    </xf>
    <xf numFmtId="0" fontId="80" fillId="4" borderId="0" xfId="0" applyFont="1" applyFill="1" applyAlignment="1" applyProtection="1">
      <alignment vertical="center"/>
      <protection locked="0"/>
    </xf>
    <xf numFmtId="0" fontId="84" fillId="4" borderId="0" xfId="1" applyNumberFormat="1" applyFont="1" applyFill="1" applyAlignment="1" applyProtection="1">
      <alignment horizontal="left" vertical="top"/>
      <protection locked="0"/>
    </xf>
    <xf numFmtId="0" fontId="84" fillId="4" borderId="0" xfId="1" applyNumberFormat="1" applyFont="1" applyFill="1" applyAlignment="1" applyProtection="1">
      <alignment vertical="top"/>
      <protection locked="0"/>
    </xf>
    <xf numFmtId="0" fontId="65" fillId="0" borderId="0" xfId="0" applyFont="1" applyAlignment="1" applyProtection="1">
      <alignment vertical="center"/>
      <protection locked="0"/>
    </xf>
    <xf numFmtId="0" fontId="33" fillId="0" borderId="0" xfId="0" applyFont="1" applyAlignment="1" applyProtection="1">
      <alignment horizontal="left"/>
      <protection locked="0"/>
    </xf>
    <xf numFmtId="14" fontId="33" fillId="0" borderId="0" xfId="0" applyNumberFormat="1" applyFont="1" applyProtection="1">
      <protection locked="0"/>
    </xf>
    <xf numFmtId="14" fontId="33" fillId="0" borderId="0" xfId="0" applyNumberFormat="1" applyFont="1" applyAlignment="1" applyProtection="1">
      <alignment horizontal="left"/>
      <protection locked="0"/>
    </xf>
    <xf numFmtId="0" fontId="97" fillId="0" borderId="0" xfId="0" applyFont="1" applyProtection="1">
      <protection locked="0"/>
    </xf>
    <xf numFmtId="169" fontId="103" fillId="0" borderId="0" xfId="0" applyNumberFormat="1" applyFont="1" applyAlignment="1" applyProtection="1">
      <alignment vertical="center"/>
      <protection locked="0"/>
    </xf>
    <xf numFmtId="0" fontId="102" fillId="4" borderId="209" xfId="0" applyFont="1" applyFill="1" applyBorder="1" applyAlignment="1" applyProtection="1">
      <alignment vertical="center"/>
      <protection locked="0"/>
    </xf>
    <xf numFmtId="0" fontId="21" fillId="0" borderId="0" xfId="4" applyFont="1" applyFill="1" applyBorder="1" applyAlignment="1">
      <alignment vertical="center"/>
    </xf>
    <xf numFmtId="169" fontId="103" fillId="4" borderId="0" xfId="2" applyNumberFormat="1" applyFont="1" applyFill="1" applyBorder="1"/>
    <xf numFmtId="0" fontId="9" fillId="4" borderId="211" xfId="0" applyFont="1" applyFill="1" applyBorder="1" applyAlignment="1">
      <alignment horizontal="left" vertical="center" indent="1"/>
    </xf>
    <xf numFmtId="1" fontId="9" fillId="4" borderId="117" xfId="0" applyNumberFormat="1" applyFont="1" applyFill="1" applyBorder="1" applyAlignment="1">
      <alignment horizontal="center" vertical="center"/>
    </xf>
    <xf numFmtId="0" fontId="9" fillId="6" borderId="2" xfId="0" applyFont="1" applyFill="1" applyBorder="1" applyAlignment="1">
      <alignment horizontal="center" vertical="center"/>
    </xf>
    <xf numFmtId="0" fontId="9" fillId="6" borderId="91" xfId="0" applyFont="1" applyFill="1" applyBorder="1" applyAlignment="1">
      <alignment horizontal="center" vertical="center"/>
    </xf>
    <xf numFmtId="0" fontId="9" fillId="4" borderId="174" xfId="0" applyFont="1" applyFill="1" applyBorder="1" applyAlignment="1">
      <alignment horizontal="center" vertical="center"/>
    </xf>
    <xf numFmtId="0" fontId="9" fillId="4" borderId="2" xfId="0" applyFont="1" applyFill="1" applyBorder="1" applyAlignment="1">
      <alignment horizontal="center" vertical="center"/>
    </xf>
    <xf numFmtId="0" fontId="9" fillId="4" borderId="91" xfId="0" applyFont="1" applyFill="1" applyBorder="1" applyAlignment="1">
      <alignment horizontal="center" vertical="center"/>
    </xf>
    <xf numFmtId="1" fontId="21" fillId="4" borderId="36" xfId="0" applyNumberFormat="1" applyFont="1" applyFill="1" applyBorder="1" applyAlignment="1">
      <alignment horizontal="center" vertical="center"/>
    </xf>
    <xf numFmtId="1" fontId="9" fillId="4" borderId="0" xfId="0" applyNumberFormat="1" applyFont="1" applyFill="1" applyAlignment="1" applyProtection="1">
      <alignment horizontal="center" vertical="center"/>
      <protection locked="0"/>
    </xf>
    <xf numFmtId="0" fontId="9" fillId="4" borderId="212" xfId="0" applyFont="1" applyFill="1" applyBorder="1" applyAlignment="1">
      <alignment horizontal="center" vertical="center"/>
    </xf>
    <xf numFmtId="0" fontId="30" fillId="0" borderId="127" xfId="0" applyFont="1" applyBorder="1"/>
    <xf numFmtId="0" fontId="21" fillId="0" borderId="117" xfId="0" applyFont="1" applyBorder="1" applyAlignment="1">
      <alignment horizontal="center" vertical="center"/>
    </xf>
    <xf numFmtId="0" fontId="21" fillId="0" borderId="118" xfId="0" applyFont="1" applyBorder="1" applyAlignment="1">
      <alignment horizontal="center"/>
    </xf>
    <xf numFmtId="0" fontId="133" fillId="0" borderId="0" xfId="5" applyFont="1" applyAlignment="1">
      <alignment vertical="center"/>
    </xf>
    <xf numFmtId="0" fontId="122" fillId="0" borderId="0" xfId="5" applyFont="1" applyAlignment="1">
      <alignment vertical="center"/>
    </xf>
    <xf numFmtId="0" fontId="83" fillId="4" borderId="0" xfId="1" applyNumberFormat="1" applyFont="1" applyFill="1" applyAlignment="1">
      <alignment vertical="top"/>
    </xf>
    <xf numFmtId="0" fontId="29" fillId="11" borderId="177" xfId="3" applyFont="1" applyFill="1" applyBorder="1" applyAlignment="1" applyProtection="1">
      <alignment horizontal="center" vertical="center" wrapText="1"/>
    </xf>
    <xf numFmtId="0" fontId="29" fillId="11" borderId="178" xfId="3" applyFont="1" applyFill="1" applyBorder="1" applyAlignment="1" applyProtection="1">
      <alignment horizontal="center" vertical="center"/>
    </xf>
    <xf numFmtId="0" fontId="127" fillId="17" borderId="0" xfId="5" applyFont="1" applyFill="1" applyAlignment="1">
      <alignment vertical="top" wrapText="1"/>
    </xf>
    <xf numFmtId="0" fontId="29" fillId="11" borderId="3" xfId="3" applyFont="1" applyFill="1" applyBorder="1" applyAlignment="1" applyProtection="1">
      <alignment horizontal="center" vertical="center" wrapText="1"/>
    </xf>
    <xf numFmtId="0" fontId="0" fillId="0" borderId="220" xfId="0" applyBorder="1"/>
    <xf numFmtId="0" fontId="123" fillId="0" borderId="0" xfId="5" applyFont="1" applyAlignment="1">
      <alignment vertical="center"/>
    </xf>
    <xf numFmtId="0" fontId="124" fillId="0" borderId="0" xfId="5" applyFont="1" applyAlignment="1">
      <alignment vertical="center"/>
    </xf>
    <xf numFmtId="1" fontId="9" fillId="0" borderId="0" xfId="0" applyNumberFormat="1" applyFont="1" applyAlignment="1" applyProtection="1">
      <alignment horizontal="left" vertical="center"/>
      <protection locked="0"/>
    </xf>
    <xf numFmtId="0" fontId="15" fillId="0" borderId="220" xfId="5" applyFont="1" applyBorder="1" applyAlignment="1">
      <alignment vertical="center"/>
    </xf>
    <xf numFmtId="0" fontId="154" fillId="22" borderId="0" xfId="0" applyFont="1" applyFill="1" applyAlignment="1">
      <alignment vertical="top"/>
    </xf>
    <xf numFmtId="0" fontId="83" fillId="4" borderId="0" xfId="0" applyFont="1" applyFill="1"/>
    <xf numFmtId="1" fontId="98" fillId="4" borderId="0" xfId="0" applyNumberFormat="1" applyFont="1" applyFill="1"/>
    <xf numFmtId="0" fontId="33" fillId="4" borderId="22" xfId="0" applyFont="1" applyFill="1" applyBorder="1" applyAlignment="1">
      <alignment horizontal="left"/>
    </xf>
    <xf numFmtId="0" fontId="110" fillId="21" borderId="213" xfId="5" applyFont="1" applyFill="1" applyBorder="1" applyAlignment="1">
      <alignment vertical="center"/>
    </xf>
    <xf numFmtId="0" fontId="110" fillId="17" borderId="215" xfId="5" applyFont="1" applyFill="1" applyBorder="1" applyAlignment="1">
      <alignment horizontal="left" vertical="center"/>
    </xf>
    <xf numFmtId="0" fontId="110" fillId="17" borderId="72" xfId="5" applyFont="1" applyFill="1" applyBorder="1" applyAlignment="1">
      <alignment horizontal="left" vertical="center"/>
    </xf>
    <xf numFmtId="0" fontId="110" fillId="10" borderId="213" xfId="5" applyFont="1" applyFill="1" applyBorder="1" applyAlignment="1">
      <alignment vertical="center"/>
    </xf>
    <xf numFmtId="0" fontId="110" fillId="4" borderId="213" xfId="5" applyFont="1" applyFill="1" applyBorder="1" applyAlignment="1">
      <alignment vertical="center"/>
    </xf>
    <xf numFmtId="0" fontId="156" fillId="4" borderId="213" xfId="5" applyFont="1" applyFill="1" applyBorder="1" applyAlignment="1">
      <alignment vertical="center"/>
    </xf>
    <xf numFmtId="0" fontId="157" fillId="4" borderId="214" xfId="5" applyFont="1" applyFill="1" applyBorder="1" applyAlignment="1">
      <alignment vertical="center"/>
    </xf>
    <xf numFmtId="171" fontId="114" fillId="0" borderId="0" xfId="0" applyNumberFormat="1" applyFont="1" applyAlignment="1" applyProtection="1">
      <alignment vertical="center" wrapText="1"/>
      <protection locked="0"/>
    </xf>
    <xf numFmtId="0" fontId="16" fillId="17" borderId="153" xfId="5" applyFont="1" applyFill="1" applyBorder="1" applyAlignment="1">
      <alignment vertical="center"/>
    </xf>
    <xf numFmtId="0" fontId="16" fillId="17" borderId="158" xfId="5" applyFont="1" applyFill="1" applyBorder="1" applyAlignment="1">
      <alignment vertical="center"/>
    </xf>
    <xf numFmtId="0" fontId="16" fillId="17" borderId="101" xfId="5" applyFont="1" applyFill="1" applyBorder="1" applyAlignment="1">
      <alignment vertical="center"/>
    </xf>
    <xf numFmtId="0" fontId="109" fillId="17" borderId="224" xfId="5" applyFont="1" applyFill="1" applyBorder="1" applyAlignment="1">
      <alignment horizontal="center" vertical="center"/>
    </xf>
    <xf numFmtId="0" fontId="21" fillId="0" borderId="219" xfId="0" applyFont="1" applyBorder="1" applyProtection="1">
      <protection locked="0"/>
    </xf>
    <xf numFmtId="0" fontId="122" fillId="17" borderId="225" xfId="5" applyFont="1" applyFill="1" applyBorder="1" applyAlignment="1">
      <alignment vertical="center"/>
    </xf>
    <xf numFmtId="0" fontId="122" fillId="17" borderId="226" xfId="5" applyFont="1" applyFill="1" applyBorder="1" applyAlignment="1">
      <alignment vertical="center"/>
    </xf>
    <xf numFmtId="0" fontId="122" fillId="17" borderId="227" xfId="5" applyFont="1" applyFill="1" applyBorder="1" applyAlignment="1">
      <alignment vertical="center"/>
    </xf>
    <xf numFmtId="0" fontId="15" fillId="21" borderId="230" xfId="5" applyFont="1" applyFill="1" applyBorder="1" applyAlignment="1">
      <alignment vertical="center"/>
    </xf>
    <xf numFmtId="0" fontId="15" fillId="10" borderId="196" xfId="5" applyFont="1" applyFill="1" applyBorder="1" applyAlignment="1">
      <alignment vertical="center"/>
    </xf>
    <xf numFmtId="0" fontId="15" fillId="4" borderId="196" xfId="5" applyFont="1" applyFill="1" applyBorder="1" applyAlignment="1">
      <alignment vertical="center"/>
    </xf>
    <xf numFmtId="0" fontId="123" fillId="4" borderId="196" xfId="5" applyFont="1" applyFill="1" applyBorder="1" applyAlignment="1">
      <alignment vertical="center"/>
    </xf>
    <xf numFmtId="0" fontId="124" fillId="4" borderId="231" xfId="5" applyFont="1" applyFill="1" applyBorder="1" applyAlignment="1">
      <alignment vertical="center"/>
    </xf>
    <xf numFmtId="0" fontId="29" fillId="0" borderId="222" xfId="0" applyFont="1" applyBorder="1" applyAlignment="1">
      <alignment horizontal="left" wrapText="1"/>
    </xf>
    <xf numFmtId="0" fontId="34" fillId="0" borderId="222" xfId="0" applyFont="1" applyBorder="1" applyAlignment="1">
      <alignment vertical="center"/>
    </xf>
    <xf numFmtId="0" fontId="9" fillId="0" borderId="222" xfId="0" applyFont="1" applyBorder="1" applyAlignment="1" applyProtection="1">
      <alignment vertical="center"/>
      <protection locked="0"/>
    </xf>
    <xf numFmtId="0" fontId="9" fillId="0" borderId="222" xfId="0" applyFont="1" applyBorder="1" applyProtection="1">
      <protection locked="0"/>
    </xf>
    <xf numFmtId="0" fontId="21" fillId="0" borderId="222" xfId="0" applyFont="1" applyBorder="1" applyProtection="1">
      <protection locked="0"/>
    </xf>
    <xf numFmtId="0" fontId="116" fillId="4" borderId="220" xfId="0" applyFont="1" applyFill="1" applyBorder="1" applyAlignment="1">
      <alignment vertical="center"/>
    </xf>
    <xf numFmtId="0" fontId="9" fillId="4" borderId="220" xfId="0" applyFont="1" applyFill="1" applyBorder="1" applyAlignment="1">
      <alignment vertical="center"/>
    </xf>
    <xf numFmtId="0" fontId="9" fillId="0" borderId="220" xfId="0" applyFont="1" applyBorder="1" applyAlignment="1">
      <alignment vertical="center"/>
    </xf>
    <xf numFmtId="0" fontId="116" fillId="4" borderId="220" xfId="0" applyFont="1" applyFill="1" applyBorder="1" applyAlignment="1">
      <alignment horizontal="left" vertical="center"/>
    </xf>
    <xf numFmtId="169" fontId="26" fillId="4" borderId="220" xfId="2" applyNumberFormat="1" applyFont="1" applyFill="1" applyBorder="1"/>
    <xf numFmtId="169" fontId="26" fillId="0" borderId="220" xfId="2" applyNumberFormat="1" applyFont="1" applyFill="1" applyBorder="1"/>
    <xf numFmtId="0" fontId="98" fillId="0" borderId="220" xfId="0" applyFont="1" applyBorder="1"/>
    <xf numFmtId="0" fontId="9" fillId="0" borderId="220" xfId="0" applyFont="1" applyBorder="1"/>
    <xf numFmtId="0" fontId="9" fillId="0" borderId="220" xfId="0" applyFont="1" applyBorder="1" applyAlignment="1">
      <alignment horizontal="center"/>
    </xf>
    <xf numFmtId="0" fontId="110" fillId="21" borderId="232" xfId="5" applyFont="1" applyFill="1" applyBorder="1" applyAlignment="1">
      <alignment vertical="center"/>
    </xf>
    <xf numFmtId="0" fontId="110" fillId="17" borderId="222" xfId="5" applyFont="1" applyFill="1" applyBorder="1" applyAlignment="1">
      <alignment horizontal="left" vertical="center"/>
    </xf>
    <xf numFmtId="0" fontId="110" fillId="10" borderId="232" xfId="5" applyFont="1" applyFill="1" applyBorder="1" applyAlignment="1">
      <alignment vertical="center"/>
    </xf>
    <xf numFmtId="0" fontId="110" fillId="4" borderId="232" xfId="5" applyFont="1" applyFill="1" applyBorder="1" applyAlignment="1">
      <alignment vertical="center"/>
    </xf>
    <xf numFmtId="0" fontId="156" fillId="4" borderId="232" xfId="5" applyFont="1" applyFill="1" applyBorder="1" applyAlignment="1">
      <alignment vertical="center"/>
    </xf>
    <xf numFmtId="0" fontId="157" fillId="4" borderId="233" xfId="5" applyFont="1" applyFill="1" applyBorder="1" applyAlignment="1">
      <alignment vertical="center"/>
    </xf>
    <xf numFmtId="0" fontId="84" fillId="4" borderId="220" xfId="1" applyNumberFormat="1" applyFont="1" applyFill="1" applyBorder="1" applyAlignment="1">
      <alignment vertical="top"/>
    </xf>
    <xf numFmtId="2" fontId="9" fillId="0" borderId="220" xfId="0" applyNumberFormat="1" applyFont="1" applyBorder="1" applyAlignment="1">
      <alignment horizontal="right"/>
    </xf>
    <xf numFmtId="9" fontId="9" fillId="0" borderId="220" xfId="6" applyFont="1" applyBorder="1" applyAlignment="1">
      <alignment horizontal="right"/>
    </xf>
    <xf numFmtId="0" fontId="9" fillId="4" borderId="220" xfId="0" applyFont="1" applyFill="1" applyBorder="1"/>
    <xf numFmtId="0" fontId="9" fillId="4" borderId="222" xfId="0" applyFont="1" applyFill="1" applyBorder="1"/>
    <xf numFmtId="0" fontId="117" fillId="4" borderId="220" xfId="1" applyNumberFormat="1" applyFont="1" applyFill="1" applyBorder="1" applyAlignment="1">
      <alignment vertical="top"/>
    </xf>
    <xf numFmtId="0" fontId="9" fillId="0" borderId="220" xfId="0" applyFont="1" applyBorder="1" applyAlignment="1">
      <alignment wrapText="1"/>
    </xf>
    <xf numFmtId="2" fontId="9" fillId="0" borderId="220" xfId="0" applyNumberFormat="1" applyFont="1" applyBorder="1"/>
    <xf numFmtId="0" fontId="9" fillId="0" borderId="220" xfId="0" applyFont="1" applyBorder="1" applyAlignment="1">
      <alignment horizontal="left"/>
    </xf>
    <xf numFmtId="0" fontId="25" fillId="0" borderId="220" xfId="4" applyFont="1" applyFill="1" applyBorder="1" applyProtection="1"/>
    <xf numFmtId="0" fontId="25" fillId="0" borderId="220" xfId="0" applyFont="1" applyBorder="1"/>
    <xf numFmtId="2" fontId="9" fillId="4" borderId="220" xfId="10" applyNumberFormat="1" applyFont="1" applyFill="1" applyBorder="1" applyAlignment="1" applyProtection="1">
      <alignment horizontal="right" wrapText="1"/>
    </xf>
    <xf numFmtId="9" fontId="9" fillId="4" borderId="220" xfId="6" applyFont="1" applyFill="1" applyBorder="1" applyAlignment="1">
      <alignment horizontal="right"/>
    </xf>
    <xf numFmtId="0" fontId="9" fillId="4" borderId="220" xfId="0" quotePrefix="1" applyFont="1" applyFill="1" applyBorder="1" applyAlignment="1">
      <alignment horizontal="left" wrapText="1" indent="1"/>
    </xf>
    <xf numFmtId="0" fontId="9" fillId="4" borderId="20" xfId="0" applyFont="1" applyFill="1" applyBorder="1" applyAlignment="1">
      <alignment horizontal="left" vertical="center"/>
    </xf>
    <xf numFmtId="0" fontId="70" fillId="4" borderId="236" xfId="0" applyFont="1" applyFill="1" applyBorder="1" applyAlignment="1" applyProtection="1">
      <alignment horizontal="center" vertical="center" wrapText="1"/>
      <protection locked="0"/>
    </xf>
    <xf numFmtId="0" fontId="70" fillId="4" borderId="6" xfId="0" applyFont="1" applyFill="1" applyBorder="1" applyAlignment="1" applyProtection="1">
      <alignment horizontal="center" vertical="center" wrapText="1"/>
      <protection locked="0"/>
    </xf>
    <xf numFmtId="0" fontId="26" fillId="4" borderId="32" xfId="0" applyFont="1" applyFill="1" applyBorder="1" applyAlignment="1">
      <alignment horizontal="center" vertical="center" wrapText="1"/>
    </xf>
    <xf numFmtId="0" fontId="26" fillId="4" borderId="241" xfId="10" applyFont="1" applyFill="1" applyBorder="1" applyAlignment="1" applyProtection="1">
      <alignment horizontal="center" vertical="center" wrapText="1"/>
      <protection locked="0"/>
    </xf>
    <xf numFmtId="0" fontId="26" fillId="0" borderId="242" xfId="0" applyFont="1" applyBorder="1" applyAlignment="1" applyProtection="1">
      <alignment horizontal="center" vertical="center" wrapText="1"/>
      <protection locked="0"/>
    </xf>
    <xf numFmtId="0" fontId="26" fillId="4" borderId="242" xfId="10" applyFont="1" applyFill="1" applyBorder="1" applyAlignment="1" applyProtection="1">
      <alignment horizontal="center" vertical="center" wrapText="1"/>
      <protection locked="0"/>
    </xf>
    <xf numFmtId="2" fontId="26" fillId="4" borderId="242" xfId="10" applyNumberFormat="1" applyFont="1" applyFill="1" applyBorder="1" applyAlignment="1" applyProtection="1">
      <alignment horizontal="center" vertical="center" wrapText="1"/>
      <protection locked="0"/>
    </xf>
    <xf numFmtId="0" fontId="26" fillId="4" borderId="242" xfId="0" applyFont="1" applyFill="1" applyBorder="1" applyAlignment="1" applyProtection="1">
      <alignment horizontal="center" vertical="center" wrapText="1"/>
      <protection locked="0"/>
    </xf>
    <xf numFmtId="0" fontId="26" fillId="4" borderId="243" xfId="0" applyFont="1" applyFill="1" applyBorder="1" applyAlignment="1">
      <alignment horizontal="center" vertical="center" wrapText="1"/>
    </xf>
    <xf numFmtId="0" fontId="26" fillId="4" borderId="243" xfId="0" quotePrefix="1" applyFont="1" applyFill="1" applyBorder="1" applyAlignment="1">
      <alignment horizontal="center" vertical="center" wrapText="1"/>
    </xf>
    <xf numFmtId="171" fontId="116" fillId="0" borderId="220" xfId="0" applyNumberFormat="1" applyFont="1" applyBorder="1" applyAlignment="1" applyProtection="1">
      <alignment vertical="center"/>
      <protection locked="0"/>
    </xf>
    <xf numFmtId="0" fontId="102" fillId="4" borderId="220" xfId="0" applyFont="1" applyFill="1" applyBorder="1" applyAlignment="1">
      <alignment horizontal="left"/>
    </xf>
    <xf numFmtId="0" fontId="0" fillId="11" borderId="220" xfId="0" applyFill="1" applyBorder="1" applyProtection="1">
      <protection locked="0"/>
    </xf>
    <xf numFmtId="0" fontId="0" fillId="0" borderId="220" xfId="0" applyBorder="1" applyProtection="1">
      <protection locked="0"/>
    </xf>
    <xf numFmtId="0" fontId="9" fillId="4" borderId="220" xfId="4" applyFont="1" applyFill="1" applyBorder="1" applyProtection="1"/>
    <xf numFmtId="0" fontId="0" fillId="11" borderId="220" xfId="0" applyFill="1" applyBorder="1"/>
    <xf numFmtId="171" fontId="116" fillId="11" borderId="220" xfId="0" applyNumberFormat="1" applyFont="1" applyFill="1" applyBorder="1" applyAlignment="1" applyProtection="1">
      <alignment vertical="center"/>
      <protection locked="0"/>
    </xf>
    <xf numFmtId="0" fontId="116" fillId="0" borderId="220" xfId="0" applyFont="1" applyBorder="1" applyProtection="1">
      <protection locked="0"/>
    </xf>
    <xf numFmtId="0" fontId="116" fillId="4" borderId="220" xfId="1" applyNumberFormat="1" applyFont="1" applyFill="1" applyBorder="1" applyAlignment="1">
      <alignment vertical="top"/>
    </xf>
    <xf numFmtId="0" fontId="116" fillId="0" borderId="220" xfId="9" applyFont="1" applyBorder="1" applyAlignment="1" applyProtection="1">
      <alignment vertical="center"/>
    </xf>
    <xf numFmtId="0" fontId="0" fillId="0" borderId="69" xfId="0" applyBorder="1"/>
    <xf numFmtId="0" fontId="81" fillId="0" borderId="0" xfId="5" applyFont="1" applyAlignment="1" applyProtection="1">
      <alignment wrapText="1"/>
      <protection locked="0"/>
    </xf>
    <xf numFmtId="0" fontId="67" fillId="4" borderId="0" xfId="5" applyFont="1" applyFill="1"/>
    <xf numFmtId="0" fontId="0" fillId="0" borderId="0" xfId="5" applyFont="1"/>
    <xf numFmtId="0" fontId="25" fillId="0" borderId="220" xfId="0" applyFont="1" applyBorder="1" applyAlignment="1">
      <alignment horizontal="left"/>
    </xf>
    <xf numFmtId="0" fontId="6" fillId="0" borderId="220" xfId="5" applyBorder="1"/>
    <xf numFmtId="0" fontId="44" fillId="0" borderId="220" xfId="5" applyFont="1" applyBorder="1"/>
    <xf numFmtId="0" fontId="38" fillId="0" borderId="0" xfId="0" applyFont="1"/>
    <xf numFmtId="0" fontId="38" fillId="0" borderId="0" xfId="0" applyFont="1" applyProtection="1">
      <protection locked="0"/>
    </xf>
    <xf numFmtId="0" fontId="105" fillId="4" borderId="220" xfId="1" applyNumberFormat="1" applyFont="1" applyFill="1" applyBorder="1" applyAlignment="1">
      <alignment vertical="top"/>
    </xf>
    <xf numFmtId="0" fontId="104" fillId="4" borderId="220" xfId="1" applyNumberFormat="1" applyFont="1" applyFill="1" applyBorder="1" applyAlignment="1">
      <alignment vertical="top"/>
    </xf>
    <xf numFmtId="0" fontId="106" fillId="0" borderId="220" xfId="0" applyFont="1" applyBorder="1"/>
    <xf numFmtId="0" fontId="105" fillId="0" borderId="220" xfId="1" applyNumberFormat="1" applyFont="1" applyBorder="1" applyAlignment="1">
      <alignment vertical="top"/>
    </xf>
    <xf numFmtId="0" fontId="106" fillId="0" borderId="220" xfId="0" quotePrefix="1" applyFont="1" applyBorder="1"/>
    <xf numFmtId="0" fontId="112" fillId="4" borderId="0" xfId="1" applyNumberFormat="1" applyFont="1" applyFill="1" applyAlignment="1" applyProtection="1">
      <alignment horizontal="left" vertical="top"/>
      <protection locked="0"/>
    </xf>
    <xf numFmtId="0" fontId="38" fillId="4" borderId="0" xfId="1" applyNumberFormat="1" applyFont="1" applyFill="1" applyAlignment="1" applyProtection="1">
      <alignment vertical="center"/>
      <protection locked="0"/>
    </xf>
    <xf numFmtId="0" fontId="38" fillId="21" borderId="244" xfId="0" applyFont="1" applyFill="1" applyBorder="1" applyProtection="1">
      <protection locked="0"/>
    </xf>
    <xf numFmtId="0" fontId="105" fillId="4" borderId="220" xfId="0" applyFont="1" applyFill="1" applyBorder="1"/>
    <xf numFmtId="0" fontId="0" fillId="4" borderId="220" xfId="0" applyFill="1" applyBorder="1"/>
    <xf numFmtId="0" fontId="38" fillId="4" borderId="0" xfId="0" applyFont="1" applyFill="1"/>
    <xf numFmtId="0" fontId="160" fillId="0" borderId="0" xfId="0" applyFont="1"/>
    <xf numFmtId="0" fontId="161" fillId="0" borderId="0" xfId="0" applyFont="1"/>
    <xf numFmtId="0" fontId="118" fillId="4" borderId="32" xfId="0" applyFont="1" applyFill="1" applyBorder="1" applyAlignment="1">
      <alignment vertical="center"/>
    </xf>
    <xf numFmtId="0" fontId="118" fillId="4" borderId="0" xfId="0" applyFont="1" applyFill="1" applyAlignment="1">
      <alignment vertical="center"/>
    </xf>
    <xf numFmtId="1" fontId="9" fillId="4" borderId="197" xfId="6" applyNumberFormat="1" applyFont="1" applyFill="1" applyBorder="1"/>
    <xf numFmtId="1" fontId="9" fillId="4" borderId="202" xfId="6" applyNumberFormat="1" applyFont="1" applyFill="1" applyBorder="1"/>
    <xf numFmtId="9" fontId="33" fillId="4" borderId="24" xfId="6" applyFont="1" applyFill="1" applyBorder="1" applyAlignment="1">
      <alignment horizontal="center" vertical="center"/>
    </xf>
    <xf numFmtId="0" fontId="21" fillId="11" borderId="0" xfId="0" applyFont="1" applyFill="1"/>
    <xf numFmtId="0" fontId="163" fillId="26" borderId="248" xfId="0" applyFont="1" applyFill="1" applyBorder="1" applyAlignment="1">
      <alignment horizontal="center"/>
    </xf>
    <xf numFmtId="173" fontId="0" fillId="29" borderId="0" xfId="2" applyNumberFormat="1" applyFont="1" applyFill="1" applyBorder="1" applyAlignment="1">
      <alignment horizontal="center"/>
    </xf>
    <xf numFmtId="173" fontId="0" fillId="4" borderId="0" xfId="2" applyNumberFormat="1" applyFont="1" applyFill="1" applyBorder="1" applyAlignment="1">
      <alignment horizontal="center"/>
    </xf>
    <xf numFmtId="1" fontId="0" fillId="29" borderId="0" xfId="2" applyNumberFormat="1" applyFont="1" applyFill="1" applyBorder="1" applyAlignment="1">
      <alignment horizontal="center"/>
    </xf>
    <xf numFmtId="1" fontId="0" fillId="4" borderId="0" xfId="2" applyNumberFormat="1" applyFont="1" applyFill="1" applyBorder="1" applyAlignment="1">
      <alignment horizontal="center"/>
    </xf>
    <xf numFmtId="0" fontId="110" fillId="17" borderId="217" xfId="5" applyFont="1" applyFill="1" applyBorder="1" applyAlignment="1">
      <alignment horizontal="left" vertical="center"/>
    </xf>
    <xf numFmtId="0" fontId="110" fillId="17" borderId="140" xfId="5" applyFont="1" applyFill="1" applyBorder="1" applyAlignment="1">
      <alignment horizontal="left" vertical="center"/>
    </xf>
    <xf numFmtId="169" fontId="26" fillId="10" borderId="64" xfId="2" applyNumberFormat="1" applyFont="1" applyFill="1" applyBorder="1" applyAlignment="1" applyProtection="1">
      <alignment horizontal="left" vertical="center"/>
      <protection locked="0"/>
    </xf>
    <xf numFmtId="9" fontId="101" fillId="4" borderId="115" xfId="2" applyNumberFormat="1" applyFont="1" applyFill="1" applyBorder="1" applyAlignment="1" applyProtection="1">
      <alignment horizontal="center" vertical="center"/>
      <protection locked="0"/>
    </xf>
    <xf numFmtId="9" fontId="101" fillId="4" borderId="73" xfId="2" applyNumberFormat="1" applyFont="1" applyFill="1" applyBorder="1" applyAlignment="1" applyProtection="1">
      <alignment horizontal="center" vertical="center"/>
      <protection locked="0"/>
    </xf>
    <xf numFmtId="9" fontId="101" fillId="4" borderId="189" xfId="2" applyNumberFormat="1" applyFont="1" applyFill="1" applyBorder="1" applyAlignment="1" applyProtection="1">
      <alignment horizontal="center" vertical="center"/>
      <protection locked="0"/>
    </xf>
    <xf numFmtId="9" fontId="101" fillId="4" borderId="118" xfId="2" applyNumberFormat="1" applyFont="1" applyFill="1" applyBorder="1" applyAlignment="1" applyProtection="1">
      <alignment horizontal="center" vertical="center"/>
      <protection locked="0"/>
    </xf>
    <xf numFmtId="9" fontId="113" fillId="10" borderId="18" xfId="6" applyFont="1" applyFill="1" applyBorder="1" applyAlignment="1" applyProtection="1">
      <alignment horizontal="left" vertical="center"/>
      <protection locked="0"/>
    </xf>
    <xf numFmtId="0" fontId="65" fillId="0" borderId="17" xfId="0" applyFont="1" applyBorder="1" applyAlignment="1" applyProtection="1">
      <alignment vertical="center" wrapText="1"/>
      <protection locked="0"/>
    </xf>
    <xf numFmtId="173" fontId="9" fillId="0" borderId="55" xfId="0" applyNumberFormat="1" applyFont="1" applyBorder="1" applyAlignment="1" applyProtection="1">
      <alignment horizontal="left" vertical="center"/>
      <protection locked="0"/>
    </xf>
    <xf numFmtId="0" fontId="9" fillId="0" borderId="19" xfId="0" applyFont="1" applyBorder="1" applyAlignment="1" applyProtection="1">
      <alignment horizontal="left" vertical="center"/>
      <protection locked="0"/>
    </xf>
    <xf numFmtId="0" fontId="9" fillId="0" borderId="26" xfId="0" applyFont="1" applyBorder="1" applyAlignment="1" applyProtection="1">
      <alignment horizontal="left" vertical="center"/>
      <protection locked="0"/>
    </xf>
    <xf numFmtId="0" fontId="21" fillId="0" borderId="35" xfId="0" applyFont="1" applyBorder="1" applyAlignment="1" applyProtection="1">
      <alignment horizontal="left" vertical="center"/>
      <protection locked="0"/>
    </xf>
    <xf numFmtId="0" fontId="21" fillId="11" borderId="48" xfId="0" applyFont="1" applyFill="1" applyBorder="1"/>
    <xf numFmtId="0" fontId="21" fillId="11" borderId="249" xfId="0" applyFont="1" applyFill="1" applyBorder="1"/>
    <xf numFmtId="1" fontId="21" fillId="11" borderId="250" xfId="0" applyNumberFormat="1" applyFont="1" applyFill="1" applyBorder="1"/>
    <xf numFmtId="173" fontId="9" fillId="0" borderId="76" xfId="0" applyNumberFormat="1" applyFont="1" applyBorder="1" applyAlignment="1" applyProtection="1">
      <alignment horizontal="left" vertical="center"/>
      <protection locked="0"/>
    </xf>
    <xf numFmtId="0" fontId="78" fillId="0" borderId="251" xfId="0" applyFont="1" applyBorder="1"/>
    <xf numFmtId="173" fontId="29" fillId="4" borderId="86" xfId="2" applyNumberFormat="1" applyFont="1" applyFill="1" applyBorder="1" applyAlignment="1" applyProtection="1">
      <alignment horizontal="left"/>
    </xf>
    <xf numFmtId="173" fontId="101" fillId="4" borderId="3" xfId="2" applyNumberFormat="1" applyFont="1" applyFill="1" applyBorder="1" applyAlignment="1" applyProtection="1">
      <alignment horizontal="left"/>
      <protection locked="0"/>
    </xf>
    <xf numFmtId="0" fontId="38" fillId="4" borderId="244" xfId="0" applyFont="1" applyFill="1" applyBorder="1" applyProtection="1">
      <protection locked="0"/>
    </xf>
    <xf numFmtId="165" fontId="21" fillId="4" borderId="65" xfId="0" applyNumberFormat="1" applyFont="1" applyFill="1" applyBorder="1" applyAlignment="1">
      <alignment horizontal="left" vertical="center"/>
    </xf>
    <xf numFmtId="9" fontId="9" fillId="4" borderId="142" xfId="6" applyFont="1" applyFill="1" applyBorder="1"/>
    <xf numFmtId="169" fontId="101" fillId="4" borderId="175" xfId="2" applyNumberFormat="1" applyFont="1" applyFill="1" applyBorder="1" applyAlignment="1" applyProtection="1">
      <alignment vertical="center"/>
      <protection locked="0"/>
    </xf>
    <xf numFmtId="173" fontId="9" fillId="4" borderId="20" xfId="2" applyNumberFormat="1" applyFont="1" applyFill="1" applyBorder="1" applyAlignment="1" applyProtection="1">
      <alignment horizontal="left" vertical="center"/>
      <protection locked="0"/>
    </xf>
    <xf numFmtId="0" fontId="141" fillId="0" borderId="0" xfId="0" applyFont="1"/>
    <xf numFmtId="14" fontId="9" fillId="4" borderId="20" xfId="0" applyNumberFormat="1" applyFont="1" applyFill="1" applyBorder="1" applyAlignment="1">
      <alignment horizontal="left" vertical="center"/>
    </xf>
    <xf numFmtId="0" fontId="21" fillId="10" borderId="104" xfId="0" applyFont="1" applyFill="1" applyBorder="1" applyAlignment="1" applyProtection="1">
      <alignment vertical="center"/>
      <protection locked="0"/>
    </xf>
    <xf numFmtId="9" fontId="9" fillId="4" borderId="200" xfId="6" applyFont="1" applyFill="1" applyBorder="1"/>
    <xf numFmtId="169" fontId="9" fillId="4" borderId="168" xfId="2" applyNumberFormat="1" applyFont="1" applyFill="1" applyBorder="1"/>
    <xf numFmtId="169" fontId="9" fillId="4" borderId="169" xfId="2" applyNumberFormat="1" applyFont="1" applyFill="1" applyBorder="1"/>
    <xf numFmtId="9" fontId="9" fillId="4" borderId="197" xfId="6" applyFont="1" applyFill="1" applyBorder="1"/>
    <xf numFmtId="9" fontId="9" fillId="4" borderId="202" xfId="6" applyFont="1" applyFill="1" applyBorder="1"/>
    <xf numFmtId="9" fontId="9" fillId="4" borderId="136" xfId="6" applyFont="1" applyFill="1" applyBorder="1"/>
    <xf numFmtId="9" fontId="9" fillId="4" borderId="137" xfId="6" applyFont="1" applyFill="1" applyBorder="1"/>
    <xf numFmtId="1" fontId="21" fillId="4" borderId="67" xfId="0" applyNumberFormat="1" applyFont="1" applyFill="1" applyBorder="1"/>
    <xf numFmtId="0" fontId="0" fillId="0" borderId="114" xfId="0" applyBorder="1"/>
    <xf numFmtId="169" fontId="101" fillId="10" borderId="62" xfId="2" applyNumberFormat="1" applyFont="1" applyFill="1" applyBorder="1" applyAlignment="1" applyProtection="1">
      <alignment vertical="center"/>
      <protection locked="0"/>
    </xf>
    <xf numFmtId="14" fontId="26" fillId="4" borderId="20" xfId="2" applyNumberFormat="1" applyFont="1" applyFill="1" applyBorder="1" applyAlignment="1" applyProtection="1">
      <alignment horizontal="left" vertical="center"/>
      <protection locked="0"/>
    </xf>
    <xf numFmtId="0" fontId="103" fillId="21" borderId="27" xfId="0" applyFont="1" applyFill="1" applyBorder="1" applyAlignment="1" applyProtection="1">
      <alignment horizontal="left" vertical="center"/>
      <protection locked="0"/>
    </xf>
    <xf numFmtId="173" fontId="26" fillId="0" borderId="62" xfId="0" applyNumberFormat="1" applyFont="1" applyBorder="1" applyAlignment="1">
      <alignment horizontal="left" vertical="center"/>
    </xf>
    <xf numFmtId="9" fontId="103" fillId="21" borderId="27" xfId="6" applyFont="1" applyFill="1" applyBorder="1" applyAlignment="1" applyProtection="1">
      <alignment horizontal="left" vertical="center"/>
      <protection locked="0"/>
    </xf>
    <xf numFmtId="0" fontId="164" fillId="0" borderId="92" xfId="0" applyFont="1" applyBorder="1"/>
    <xf numFmtId="0" fontId="99" fillId="0" borderId="104" xfId="0" applyFont="1" applyBorder="1" applyProtection="1">
      <protection locked="0"/>
    </xf>
    <xf numFmtId="0" fontId="29" fillId="11" borderId="52" xfId="3" applyFont="1" applyFill="1" applyBorder="1" applyAlignment="1">
      <alignment horizontal="left" vertical="center" wrapText="1"/>
    </xf>
    <xf numFmtId="0" fontId="29" fillId="11" borderId="253" xfId="3" applyFont="1" applyFill="1" applyBorder="1" applyAlignment="1">
      <alignment horizontal="left" vertical="center"/>
    </xf>
    <xf numFmtId="0" fontId="29" fillId="11" borderId="254" xfId="3" applyFont="1" applyFill="1" applyBorder="1" applyAlignment="1">
      <alignment horizontal="center" vertical="center" wrapText="1"/>
    </xf>
    <xf numFmtId="0" fontId="29" fillId="11" borderId="75" xfId="3" applyFont="1" applyFill="1" applyBorder="1" applyAlignment="1">
      <alignment horizontal="center" vertical="center" wrapText="1"/>
    </xf>
    <xf numFmtId="0" fontId="9" fillId="4" borderId="19" xfId="0" applyFont="1" applyFill="1" applyBorder="1" applyAlignment="1">
      <alignment horizontal="left" vertical="center"/>
    </xf>
    <xf numFmtId="173" fontId="9" fillId="4" borderId="20" xfId="2" applyNumberFormat="1" applyFont="1" applyFill="1" applyBorder="1" applyAlignment="1">
      <alignment horizontal="center" vertical="center"/>
    </xf>
    <xf numFmtId="173" fontId="65" fillId="4" borderId="44" xfId="0" applyNumberFormat="1" applyFont="1" applyFill="1" applyBorder="1" applyAlignment="1">
      <alignment horizontal="left"/>
    </xf>
    <xf numFmtId="165" fontId="65" fillId="4" borderId="251" xfId="0" applyNumberFormat="1" applyFont="1" applyFill="1" applyBorder="1" applyAlignment="1">
      <alignment horizontal="left"/>
    </xf>
    <xf numFmtId="173" fontId="77" fillId="4" borderId="252" xfId="2" applyNumberFormat="1" applyFont="1" applyFill="1" applyBorder="1" applyAlignment="1">
      <alignment horizontal="left"/>
    </xf>
    <xf numFmtId="173" fontId="78" fillId="4" borderId="70" xfId="2" applyNumberFormat="1" applyFont="1" applyFill="1" applyBorder="1" applyAlignment="1">
      <alignment horizontal="left"/>
    </xf>
    <xf numFmtId="9" fontId="103" fillId="21" borderId="5" xfId="7" applyNumberFormat="1" applyFont="1" applyFill="1" applyBorder="1" applyAlignment="1" applyProtection="1">
      <alignment horizontal="center"/>
      <protection locked="0"/>
    </xf>
    <xf numFmtId="9" fontId="103" fillId="21" borderId="60" xfId="7" applyNumberFormat="1" applyFont="1" applyFill="1" applyBorder="1" applyAlignment="1" applyProtection="1">
      <alignment horizontal="center"/>
      <protection locked="0"/>
    </xf>
    <xf numFmtId="173" fontId="26" fillId="4" borderId="209" xfId="0" applyNumberFormat="1" applyFont="1" applyFill="1" applyBorder="1" applyAlignment="1">
      <alignment horizontal="left"/>
    </xf>
    <xf numFmtId="173" fontId="26" fillId="0" borderId="62" xfId="6" applyNumberFormat="1" applyFont="1" applyFill="1" applyBorder="1" applyAlignment="1" applyProtection="1">
      <alignment horizontal="left" vertical="center"/>
      <protection locked="0"/>
    </xf>
    <xf numFmtId="9" fontId="33" fillId="4" borderId="62" xfId="6" applyFont="1" applyFill="1" applyBorder="1" applyAlignment="1">
      <alignment horizontal="left" vertical="center"/>
    </xf>
    <xf numFmtId="0" fontId="78" fillId="0" borderId="74" xfId="0" applyFont="1" applyBorder="1"/>
    <xf numFmtId="0" fontId="78" fillId="0" borderId="48" xfId="0" applyFont="1" applyBorder="1"/>
    <xf numFmtId="169" fontId="9" fillId="4" borderId="33" xfId="2" applyNumberFormat="1" applyFont="1" applyFill="1" applyBorder="1" applyAlignment="1" applyProtection="1">
      <alignment horizontal="left"/>
    </xf>
    <xf numFmtId="9" fontId="0" fillId="0" borderId="82" xfId="6" applyFont="1" applyBorder="1"/>
    <xf numFmtId="169" fontId="0" fillId="0" borderId="2" xfId="2" applyNumberFormat="1" applyFont="1" applyBorder="1"/>
    <xf numFmtId="9" fontId="9" fillId="0" borderId="2" xfId="6" applyFont="1" applyBorder="1" applyAlignment="1">
      <alignment horizontal="center"/>
    </xf>
    <xf numFmtId="9" fontId="9" fillId="0" borderId="3" xfId="6" applyFont="1" applyBorder="1" applyAlignment="1">
      <alignment horizontal="center"/>
    </xf>
    <xf numFmtId="9" fontId="9" fillId="0" borderId="20" xfId="6" applyFont="1" applyBorder="1" applyAlignment="1">
      <alignment horizontal="center"/>
    </xf>
    <xf numFmtId="9" fontId="25" fillId="0" borderId="3" xfId="6" applyFont="1" applyBorder="1" applyAlignment="1">
      <alignment horizontal="center"/>
    </xf>
    <xf numFmtId="9" fontId="25" fillId="0" borderId="20" xfId="6" applyFont="1" applyBorder="1" applyAlignment="1">
      <alignment horizontal="center"/>
    </xf>
    <xf numFmtId="9" fontId="9" fillId="0" borderId="33" xfId="6" applyFont="1" applyBorder="1" applyAlignment="1">
      <alignment horizontal="center"/>
    </xf>
    <xf numFmtId="9" fontId="9" fillId="0" borderId="34" xfId="6" applyFont="1" applyBorder="1" applyAlignment="1">
      <alignment horizontal="center"/>
    </xf>
    <xf numFmtId="0" fontId="25" fillId="0" borderId="82" xfId="0" applyFont="1" applyBorder="1" applyAlignment="1">
      <alignment horizontal="center"/>
    </xf>
    <xf numFmtId="0" fontId="25" fillId="0" borderId="24" xfId="0" applyFont="1" applyBorder="1" applyAlignment="1">
      <alignment horizontal="center"/>
    </xf>
    <xf numFmtId="0" fontId="25" fillId="0" borderId="22" xfId="0" applyFont="1" applyBorder="1" applyAlignment="1">
      <alignment horizontal="center"/>
    </xf>
    <xf numFmtId="9" fontId="9" fillId="0" borderId="24" xfId="6" applyFont="1" applyBorder="1"/>
    <xf numFmtId="169" fontId="0" fillId="0" borderId="3" xfId="2" applyNumberFormat="1" applyFont="1" applyBorder="1"/>
    <xf numFmtId="169" fontId="9" fillId="4" borderId="5" xfId="2" applyNumberFormat="1" applyFont="1" applyFill="1" applyBorder="1" applyAlignment="1" applyProtection="1">
      <alignment horizontal="left"/>
    </xf>
    <xf numFmtId="169" fontId="9" fillId="4" borderId="34" xfId="2" applyNumberFormat="1" applyFont="1" applyFill="1" applyBorder="1" applyAlignment="1" applyProtection="1">
      <alignment horizontal="left"/>
    </xf>
    <xf numFmtId="1" fontId="9" fillId="4" borderId="55" xfId="0" applyNumberFormat="1" applyFont="1" applyFill="1" applyBorder="1" applyAlignment="1">
      <alignment horizontal="center" vertical="center"/>
    </xf>
    <xf numFmtId="0" fontId="0" fillId="4" borderId="0" xfId="0" applyFill="1" applyAlignment="1">
      <alignment horizontal="center" vertical="center"/>
    </xf>
    <xf numFmtId="0" fontId="0" fillId="4" borderId="0" xfId="0" applyFill="1" applyAlignment="1" applyProtection="1">
      <alignment horizontal="center" vertical="center"/>
      <protection locked="0"/>
    </xf>
    <xf numFmtId="1" fontId="30" fillId="0" borderId="127" xfId="0" applyNumberFormat="1" applyFont="1" applyBorder="1" applyAlignment="1">
      <alignment horizontal="center" vertical="center"/>
    </xf>
    <xf numFmtId="0" fontId="7" fillId="0" borderId="127" xfId="0" applyFont="1" applyBorder="1" applyAlignment="1">
      <alignment horizontal="center" vertical="center"/>
    </xf>
    <xf numFmtId="0" fontId="30" fillId="0" borderId="127" xfId="0" applyFont="1" applyBorder="1" applyAlignment="1">
      <alignment horizontal="center" vertical="center"/>
    </xf>
    <xf numFmtId="0" fontId="29" fillId="11" borderId="16" xfId="3" applyFont="1" applyFill="1" applyBorder="1" applyAlignment="1" applyProtection="1">
      <alignment horizontal="center" vertical="center"/>
    </xf>
    <xf numFmtId="0" fontId="29" fillId="4" borderId="51" xfId="3" applyFont="1" applyFill="1" applyBorder="1" applyAlignment="1" applyProtection="1">
      <alignment horizontal="center" vertical="center"/>
    </xf>
    <xf numFmtId="0" fontId="0" fillId="0" borderId="51" xfId="0" applyBorder="1" applyAlignment="1">
      <alignment horizontal="center"/>
    </xf>
    <xf numFmtId="0" fontId="29" fillId="11" borderId="75" xfId="3" applyFont="1" applyFill="1" applyBorder="1" applyAlignment="1" applyProtection="1">
      <alignment horizontal="center" vertical="center" wrapText="1"/>
    </xf>
    <xf numFmtId="0" fontId="29" fillId="11" borderId="37" xfId="3" applyFont="1" applyFill="1" applyBorder="1" applyAlignment="1" applyProtection="1">
      <alignment horizontal="center" vertical="center" wrapText="1"/>
    </xf>
    <xf numFmtId="9" fontId="25" fillId="0" borderId="2" xfId="6" applyFont="1" applyBorder="1" applyAlignment="1">
      <alignment horizontal="center" vertical="center"/>
    </xf>
    <xf numFmtId="9" fontId="9" fillId="0" borderId="33" xfId="6" applyFont="1" applyBorder="1" applyAlignment="1">
      <alignment horizontal="center" vertical="center"/>
    </xf>
    <xf numFmtId="9" fontId="9" fillId="0" borderId="34" xfId="6" applyFont="1" applyBorder="1" applyAlignment="1">
      <alignment horizontal="center" vertical="center"/>
    </xf>
    <xf numFmtId="0" fontId="21" fillId="11" borderId="52" xfId="0" applyFont="1" applyFill="1" applyBorder="1" applyAlignment="1">
      <alignment horizontal="center" vertical="center"/>
    </xf>
    <xf numFmtId="0" fontId="21" fillId="11" borderId="51" xfId="0" applyFont="1" applyFill="1" applyBorder="1" applyAlignment="1">
      <alignment horizontal="center" vertical="center"/>
    </xf>
    <xf numFmtId="0" fontId="21" fillId="11" borderId="37" xfId="0" applyFont="1" applyFill="1" applyBorder="1" applyAlignment="1">
      <alignment horizontal="center" vertical="center"/>
    </xf>
    <xf numFmtId="0" fontId="33" fillId="4" borderId="258" xfId="0" applyFont="1" applyFill="1" applyBorder="1" applyAlignment="1">
      <alignment vertical="center"/>
    </xf>
    <xf numFmtId="169" fontId="77" fillId="4" borderId="259" xfId="2" applyNumberFormat="1" applyFont="1" applyFill="1" applyBorder="1" applyAlignment="1">
      <alignment vertical="center"/>
    </xf>
    <xf numFmtId="169" fontId="77" fillId="4" borderId="260" xfId="2" applyNumberFormat="1" applyFont="1" applyFill="1" applyBorder="1" applyAlignment="1">
      <alignment vertical="center"/>
    </xf>
    <xf numFmtId="0" fontId="33" fillId="4" borderId="261" xfId="0" applyFont="1" applyFill="1" applyBorder="1" applyAlignment="1">
      <alignment vertical="center"/>
    </xf>
    <xf numFmtId="0" fontId="77" fillId="4" borderId="264" xfId="0" applyFont="1" applyFill="1" applyBorder="1" applyAlignment="1">
      <alignment vertical="center"/>
    </xf>
    <xf numFmtId="0" fontId="77" fillId="4" borderId="266" xfId="0" applyFont="1" applyFill="1" applyBorder="1" applyAlignment="1">
      <alignment vertical="center"/>
    </xf>
    <xf numFmtId="0" fontId="65" fillId="4" borderId="0" xfId="0" applyFont="1" applyFill="1" applyAlignment="1">
      <alignment horizontal="left" vertical="center"/>
    </xf>
    <xf numFmtId="9" fontId="103" fillId="25" borderId="0" xfId="6" applyFont="1" applyFill="1" applyBorder="1" applyAlignment="1">
      <alignment vertical="center"/>
    </xf>
    <xf numFmtId="9" fontId="103" fillId="4" borderId="0" xfId="6" applyFont="1" applyFill="1" applyBorder="1"/>
    <xf numFmtId="169" fontId="27" fillId="25" borderId="0" xfId="2" applyNumberFormat="1" applyFont="1" applyFill="1" applyBorder="1" applyAlignment="1">
      <alignment vertical="center"/>
    </xf>
    <xf numFmtId="169" fontId="27" fillId="4" borderId="0" xfId="2" applyNumberFormat="1" applyFont="1" applyFill="1" applyBorder="1"/>
    <xf numFmtId="9" fontId="103" fillId="25" borderId="267" xfId="6" applyFont="1" applyFill="1" applyBorder="1" applyAlignment="1">
      <alignment horizontal="center" vertical="center"/>
    </xf>
    <xf numFmtId="0" fontId="65" fillId="4" borderId="268" xfId="0" applyFont="1" applyFill="1" applyBorder="1" applyAlignment="1">
      <alignment vertical="center"/>
    </xf>
    <xf numFmtId="169" fontId="77" fillId="4" borderId="262" xfId="2" applyNumberFormat="1" applyFont="1" applyFill="1" applyBorder="1" applyAlignment="1">
      <alignment vertical="center"/>
    </xf>
    <xf numFmtId="169" fontId="77" fillId="4" borderId="263" xfId="2" applyNumberFormat="1" applyFont="1" applyFill="1" applyBorder="1" applyAlignment="1">
      <alignment vertical="center"/>
    </xf>
    <xf numFmtId="169" fontId="78" fillId="4" borderId="269" xfId="2" applyNumberFormat="1" applyFont="1" applyFill="1" applyBorder="1" applyAlignment="1">
      <alignment vertical="center"/>
    </xf>
    <xf numFmtId="169" fontId="9" fillId="4" borderId="65" xfId="2" applyNumberFormat="1" applyFont="1" applyFill="1" applyBorder="1"/>
    <xf numFmtId="169" fontId="9" fillId="4" borderId="170" xfId="2" applyNumberFormat="1" applyFont="1" applyFill="1" applyBorder="1"/>
    <xf numFmtId="9" fontId="103" fillId="25" borderId="270" xfId="6" applyFont="1" applyFill="1" applyBorder="1" applyAlignment="1">
      <alignment horizontal="center" vertical="center"/>
    </xf>
    <xf numFmtId="169" fontId="78" fillId="4" borderId="271" xfId="2" applyNumberFormat="1" applyFont="1" applyFill="1" applyBorder="1" applyAlignment="1">
      <alignment vertical="center"/>
    </xf>
    <xf numFmtId="9" fontId="103" fillId="25" borderId="272" xfId="6" applyFont="1" applyFill="1" applyBorder="1" applyAlignment="1">
      <alignment horizontal="center" vertical="center"/>
    </xf>
    <xf numFmtId="169" fontId="78" fillId="4" borderId="273" xfId="2" applyNumberFormat="1" applyFont="1" applyFill="1" applyBorder="1" applyAlignment="1">
      <alignment vertical="center"/>
    </xf>
    <xf numFmtId="173" fontId="100" fillId="4" borderId="3" xfId="2" applyNumberFormat="1" applyFont="1" applyFill="1" applyBorder="1" applyAlignment="1">
      <alignment horizontal="left"/>
    </xf>
    <xf numFmtId="173" fontId="100" fillId="4" borderId="24" xfId="2" applyNumberFormat="1" applyFont="1" applyFill="1" applyBorder="1" applyAlignment="1">
      <alignment horizontal="left"/>
    </xf>
    <xf numFmtId="9" fontId="78" fillId="4" borderId="34" xfId="0" applyNumberFormat="1" applyFont="1" applyFill="1" applyBorder="1" applyAlignment="1">
      <alignment horizontal="center" vertical="center"/>
    </xf>
    <xf numFmtId="0" fontId="9" fillId="4" borderId="19" xfId="0" applyFont="1" applyFill="1" applyBorder="1" applyAlignment="1">
      <alignment horizontal="left"/>
    </xf>
    <xf numFmtId="173" fontId="100" fillId="4" borderId="20" xfId="2" applyNumberFormat="1" applyFont="1" applyFill="1" applyBorder="1" applyAlignment="1">
      <alignment horizontal="left"/>
    </xf>
    <xf numFmtId="0" fontId="9" fillId="4" borderId="19" xfId="5" applyFont="1" applyFill="1" applyBorder="1" applyAlignment="1" applyProtection="1">
      <alignment horizontal="left" vertical="center" wrapText="1"/>
      <protection locked="0"/>
    </xf>
    <xf numFmtId="0" fontId="9" fillId="4" borderId="19" xfId="5" applyFont="1" applyFill="1" applyBorder="1" applyAlignment="1" applyProtection="1">
      <alignment horizontal="left" vertical="center"/>
      <protection locked="0"/>
    </xf>
    <xf numFmtId="167" fontId="137" fillId="4" borderId="20" xfId="2" applyFont="1" applyFill="1" applyBorder="1" applyAlignment="1">
      <alignment horizontal="center" vertical="center"/>
    </xf>
    <xf numFmtId="0" fontId="9" fillId="4" borderId="21" xfId="5" applyFont="1" applyFill="1" applyBorder="1" applyAlignment="1" applyProtection="1">
      <alignment horizontal="left" vertical="center" wrapText="1"/>
      <protection locked="0"/>
    </xf>
    <xf numFmtId="173" fontId="100" fillId="4" borderId="22" xfId="2" applyNumberFormat="1" applyFont="1" applyFill="1" applyBorder="1" applyAlignment="1">
      <alignment horizontal="left"/>
    </xf>
    <xf numFmtId="169" fontId="101" fillId="0" borderId="62" xfId="2" applyNumberFormat="1" applyFont="1" applyFill="1" applyBorder="1" applyAlignment="1" applyProtection="1">
      <alignment vertical="center"/>
      <protection locked="0"/>
    </xf>
    <xf numFmtId="173" fontId="167" fillId="4" borderId="20" xfId="2" applyNumberFormat="1" applyFont="1" applyFill="1" applyBorder="1" applyAlignment="1" applyProtection="1">
      <alignment horizontal="left" vertical="center"/>
      <protection locked="0"/>
    </xf>
    <xf numFmtId="0" fontId="141" fillId="0" borderId="0" xfId="0" applyFont="1" applyAlignment="1">
      <alignment vertical="center"/>
    </xf>
    <xf numFmtId="14" fontId="101" fillId="10" borderId="62" xfId="2" applyNumberFormat="1" applyFont="1" applyFill="1" applyBorder="1" applyAlignment="1" applyProtection="1">
      <alignment horizontal="left" vertical="center"/>
      <protection locked="0"/>
    </xf>
    <xf numFmtId="169" fontId="103" fillId="4" borderId="198" xfId="2" applyNumberFormat="1" applyFont="1" applyFill="1" applyBorder="1" applyAlignment="1">
      <alignment horizontal="center" vertical="center"/>
    </xf>
    <xf numFmtId="167" fontId="103" fillId="4" borderId="198" xfId="2" applyFont="1" applyFill="1" applyBorder="1" applyAlignment="1">
      <alignment horizontal="center" vertical="center"/>
    </xf>
    <xf numFmtId="167" fontId="103" fillId="4" borderId="265" xfId="2" applyFont="1" applyFill="1" applyBorder="1" applyAlignment="1">
      <alignment horizontal="center" vertical="center"/>
    </xf>
    <xf numFmtId="0" fontId="168" fillId="26" borderId="247" xfId="0" applyFont="1" applyFill="1" applyBorder="1" applyAlignment="1">
      <alignment horizontal="center"/>
    </xf>
    <xf numFmtId="0" fontId="168" fillId="27" borderId="247" xfId="0" applyFont="1" applyFill="1" applyBorder="1" applyAlignment="1">
      <alignment horizontal="left"/>
    </xf>
    <xf numFmtId="176" fontId="168" fillId="28" borderId="247" xfId="0" applyNumberFormat="1" applyFont="1" applyFill="1" applyBorder="1" applyAlignment="1">
      <alignment horizontal="right"/>
    </xf>
    <xf numFmtId="173" fontId="0" fillId="4" borderId="0" xfId="0" applyNumberFormat="1" applyFill="1" applyAlignment="1">
      <alignment horizontal="center"/>
    </xf>
    <xf numFmtId="0" fontId="0" fillId="29" borderId="0" xfId="0" applyFill="1"/>
    <xf numFmtId="173" fontId="0" fillId="29" borderId="0" xfId="0" applyNumberFormat="1" applyFill="1" applyAlignment="1">
      <alignment horizontal="center"/>
    </xf>
    <xf numFmtId="1" fontId="0" fillId="29" borderId="0" xfId="0" applyNumberFormat="1" applyFill="1" applyAlignment="1">
      <alignment horizontal="center"/>
    </xf>
    <xf numFmtId="1" fontId="0" fillId="4" borderId="0" xfId="2" applyNumberFormat="1" applyFont="1" applyFill="1" applyAlignment="1">
      <alignment horizontal="center"/>
    </xf>
    <xf numFmtId="1" fontId="0" fillId="4" borderId="0" xfId="0" applyNumberFormat="1" applyFill="1" applyAlignment="1">
      <alignment horizontal="center"/>
    </xf>
    <xf numFmtId="1" fontId="0" fillId="29" borderId="0" xfId="2" applyNumberFormat="1" applyFont="1" applyFill="1" applyAlignment="1">
      <alignment horizontal="center"/>
    </xf>
    <xf numFmtId="0" fontId="0" fillId="29" borderId="0" xfId="0" applyFill="1" applyAlignment="1">
      <alignment vertical="center"/>
    </xf>
    <xf numFmtId="0" fontId="0" fillId="4" borderId="0" xfId="0" applyFill="1" applyAlignment="1">
      <alignment vertical="center"/>
    </xf>
    <xf numFmtId="0" fontId="21" fillId="11" borderId="28" xfId="3" applyFont="1" applyFill="1" applyBorder="1" applyAlignment="1" applyProtection="1">
      <alignment horizontal="center" vertical="center"/>
      <protection locked="0"/>
    </xf>
    <xf numFmtId="0" fontId="80" fillId="11" borderId="28" xfId="3" applyFont="1" applyFill="1" applyBorder="1" applyAlignment="1" applyProtection="1">
      <alignment horizontal="left" vertical="center"/>
      <protection locked="0"/>
    </xf>
    <xf numFmtId="0" fontId="9" fillId="6" borderId="0" xfId="0" applyFont="1" applyFill="1"/>
    <xf numFmtId="0" fontId="0" fillId="6" borderId="0" xfId="0" applyFill="1"/>
    <xf numFmtId="14" fontId="38" fillId="0" borderId="65" xfId="0" applyNumberFormat="1" applyFont="1" applyBorder="1" applyAlignment="1">
      <alignment vertical="center"/>
    </xf>
    <xf numFmtId="0" fontId="32" fillId="4" borderId="0" xfId="9" applyFont="1" applyFill="1" applyBorder="1" applyAlignment="1">
      <alignment horizontal="left" vertical="center" indent="1"/>
    </xf>
    <xf numFmtId="0" fontId="113" fillId="4" borderId="0" xfId="0" applyFont="1" applyFill="1" applyAlignment="1" applyProtection="1">
      <alignment horizontal="left" indent="1"/>
      <protection locked="0"/>
    </xf>
    <xf numFmtId="169" fontId="26" fillId="10" borderId="62" xfId="2" applyNumberFormat="1" applyFont="1" applyFill="1" applyBorder="1" applyAlignment="1" applyProtection="1">
      <alignment vertical="center"/>
      <protection locked="0"/>
    </xf>
    <xf numFmtId="0" fontId="26" fillId="0" borderId="0" xfId="0" applyFont="1" applyAlignment="1">
      <alignment vertical="center"/>
    </xf>
    <xf numFmtId="0" fontId="83" fillId="4" borderId="0" xfId="1" applyNumberFormat="1" applyFont="1" applyFill="1" applyAlignment="1" applyProtection="1">
      <alignment vertical="top"/>
    </xf>
    <xf numFmtId="0" fontId="21" fillId="4" borderId="0" xfId="1" applyNumberFormat="1" applyFont="1" applyFill="1" applyAlignment="1" applyProtection="1">
      <alignment vertical="top"/>
    </xf>
    <xf numFmtId="0" fontId="116" fillId="4" borderId="278" xfId="0" applyFont="1" applyFill="1" applyBorder="1" applyAlignment="1">
      <alignment vertical="top"/>
    </xf>
    <xf numFmtId="0" fontId="26" fillId="0" borderId="278" xfId="0" applyFont="1" applyBorder="1" applyAlignment="1">
      <alignment vertical="center"/>
    </xf>
    <xf numFmtId="0" fontId="169" fillId="4" borderId="0" xfId="0" applyFont="1" applyFill="1" applyAlignment="1">
      <alignment vertical="center"/>
    </xf>
    <xf numFmtId="0" fontId="21" fillId="11" borderId="279" xfId="4" applyFont="1" applyFill="1" applyBorder="1" applyAlignment="1" applyProtection="1">
      <alignment vertical="center"/>
    </xf>
    <xf numFmtId="0" fontId="29" fillId="11" borderId="279" xfId="8" applyFont="1" applyFill="1" applyBorder="1" applyAlignment="1" applyProtection="1">
      <alignment horizontal="center" vertical="center" wrapText="1"/>
    </xf>
    <xf numFmtId="0" fontId="34" fillId="30" borderId="279" xfId="5" applyFont="1" applyFill="1" applyBorder="1" applyAlignment="1">
      <alignment vertical="center"/>
    </xf>
    <xf numFmtId="0" fontId="34" fillId="0" borderId="279" xfId="5" applyFont="1" applyBorder="1" applyAlignment="1">
      <alignment vertical="center"/>
    </xf>
    <xf numFmtId="0" fontId="34" fillId="10" borderId="279" xfId="5" applyFont="1" applyFill="1" applyBorder="1" applyAlignment="1">
      <alignment vertical="center"/>
    </xf>
    <xf numFmtId="0" fontId="34" fillId="31" borderId="279" xfId="5" applyFont="1" applyFill="1" applyBorder="1" applyAlignment="1">
      <alignment vertical="center"/>
    </xf>
    <xf numFmtId="0" fontId="65" fillId="4" borderId="0" xfId="0" applyFont="1" applyFill="1" applyAlignment="1">
      <alignment horizontal="left"/>
    </xf>
    <xf numFmtId="1" fontId="26" fillId="4" borderId="0" xfId="2" applyNumberFormat="1" applyFont="1" applyFill="1" applyBorder="1" applyAlignment="1" applyProtection="1">
      <alignment horizontal="left" vertical="center" indent="1"/>
    </xf>
    <xf numFmtId="0" fontId="170" fillId="32" borderId="280" xfId="8" applyFont="1" applyFill="1" applyBorder="1" applyAlignment="1" applyProtection="1">
      <alignment horizontal="center" vertical="center" wrapText="1"/>
    </xf>
    <xf numFmtId="0" fontId="170" fillId="0" borderId="0" xfId="0" applyFont="1"/>
    <xf numFmtId="0" fontId="172" fillId="11" borderId="279" xfId="0" applyFont="1" applyFill="1" applyBorder="1" applyAlignment="1">
      <alignment horizontal="left" vertical="center" wrapText="1" readingOrder="1"/>
    </xf>
    <xf numFmtId="0" fontId="173" fillId="0" borderId="279" xfId="0" applyFont="1" applyBorder="1" applyAlignment="1">
      <alignment horizontal="center" vertical="center" wrapText="1" readingOrder="1"/>
    </xf>
    <xf numFmtId="0" fontId="34" fillId="0" borderId="279" xfId="0" applyFont="1" applyBorder="1" applyAlignment="1" applyProtection="1">
      <alignment vertical="center" wrapText="1"/>
      <protection locked="0"/>
    </xf>
    <xf numFmtId="9" fontId="173" fillId="0" borderId="279" xfId="0" applyNumberFormat="1" applyFont="1" applyBorder="1" applyAlignment="1">
      <alignment horizontal="center" vertical="center" wrapText="1" readingOrder="1"/>
    </xf>
    <xf numFmtId="0" fontId="173" fillId="0" borderId="279" xfId="0" applyFont="1" applyBorder="1" applyAlignment="1" applyProtection="1">
      <alignment vertical="center" wrapText="1" readingOrder="1"/>
      <protection locked="0"/>
    </xf>
    <xf numFmtId="0" fontId="173" fillId="11" borderId="279" xfId="0" applyFont="1" applyFill="1" applyBorder="1" applyAlignment="1">
      <alignment horizontal="center" vertical="center" wrapText="1" readingOrder="1"/>
    </xf>
    <xf numFmtId="167" fontId="173" fillId="0" borderId="279" xfId="2" applyFont="1" applyBorder="1" applyAlignment="1" applyProtection="1">
      <alignment horizontal="right" vertical="center" wrapText="1" readingOrder="1"/>
      <protection locked="0"/>
    </xf>
    <xf numFmtId="9" fontId="173" fillId="17" borderId="279" xfId="0" applyNumberFormat="1" applyFont="1" applyFill="1" applyBorder="1" applyAlignment="1">
      <alignment horizontal="center" vertical="center" wrapText="1" readingOrder="1"/>
    </xf>
    <xf numFmtId="0" fontId="34" fillId="0" borderId="279" xfId="0" applyFont="1" applyBorder="1" applyAlignment="1" applyProtection="1">
      <alignment horizontal="center" vertical="center" wrapText="1"/>
      <protection locked="0"/>
    </xf>
    <xf numFmtId="0" fontId="34" fillId="0" borderId="0" xfId="0" applyFont="1" applyAlignment="1">
      <alignment horizontal="center" vertical="center" wrapText="1"/>
    </xf>
    <xf numFmtId="0" fontId="34" fillId="0" borderId="0" xfId="0" applyFont="1" applyAlignment="1">
      <alignment horizontal="right" vertical="center" wrapText="1"/>
    </xf>
    <xf numFmtId="0" fontId="34" fillId="0" borderId="0" xfId="0" applyFont="1" applyAlignment="1">
      <alignment vertical="center" wrapText="1"/>
    </xf>
    <xf numFmtId="9" fontId="173" fillId="0" borderId="279" xfId="0" applyNumberFormat="1" applyFont="1" applyBorder="1" applyAlignment="1" applyProtection="1">
      <alignment horizontal="right" vertical="center" wrapText="1" readingOrder="1"/>
      <protection locked="0"/>
    </xf>
    <xf numFmtId="0" fontId="173" fillId="17" borderId="279" xfId="0" applyFont="1" applyFill="1" applyBorder="1" applyAlignment="1">
      <alignment horizontal="center" vertical="center" wrapText="1" readingOrder="1"/>
    </xf>
    <xf numFmtId="0" fontId="172" fillId="6" borderId="279" xfId="0" applyFont="1" applyFill="1" applyBorder="1" applyAlignment="1">
      <alignment horizontal="left" vertical="center" wrapText="1" readingOrder="1"/>
    </xf>
    <xf numFmtId="0" fontId="173" fillId="0" borderId="279" xfId="6" applyNumberFormat="1" applyFont="1" applyBorder="1" applyAlignment="1" applyProtection="1">
      <alignment horizontal="right" vertical="center" wrapText="1" readingOrder="1"/>
      <protection locked="0"/>
    </xf>
    <xf numFmtId="0" fontId="174" fillId="0" borderId="0" xfId="0" applyFont="1" applyAlignment="1">
      <alignment vertical="center"/>
    </xf>
    <xf numFmtId="0" fontId="173" fillId="11" borderId="279" xfId="0" applyFont="1" applyFill="1" applyBorder="1" applyAlignment="1">
      <alignment horizontal="left" vertical="center" wrapText="1" indent="2" readingOrder="1"/>
    </xf>
    <xf numFmtId="0" fontId="173" fillId="0" borderId="279" xfId="0" applyFont="1" applyBorder="1" applyAlignment="1" applyProtection="1">
      <alignment horizontal="left" vertical="center" wrapText="1" readingOrder="1"/>
      <protection locked="0"/>
    </xf>
    <xf numFmtId="0" fontId="21" fillId="34" borderId="0" xfId="0" applyFont="1" applyFill="1" applyAlignment="1">
      <alignment wrapText="1"/>
    </xf>
    <xf numFmtId="0" fontId="21" fillId="34" borderId="0" xfId="0" applyFont="1" applyFill="1"/>
    <xf numFmtId="0" fontId="175" fillId="0" borderId="279" xfId="0" applyFont="1" applyBorder="1" applyAlignment="1">
      <alignment horizontal="left" vertical="center" wrapText="1" readingOrder="1"/>
    </xf>
    <xf numFmtId="179" fontId="9" fillId="0" borderId="279" xfId="2" applyNumberFormat="1" applyFont="1" applyBorder="1" applyAlignment="1" applyProtection="1">
      <alignment wrapText="1"/>
    </xf>
    <xf numFmtId="0" fontId="9" fillId="0" borderId="279" xfId="0" applyFont="1" applyBorder="1"/>
    <xf numFmtId="9" fontId="9" fillId="0" borderId="279" xfId="0" applyNumberFormat="1" applyFont="1" applyBorder="1" applyAlignment="1">
      <alignment wrapText="1"/>
    </xf>
    <xf numFmtId="0" fontId="170" fillId="32" borderId="0" xfId="0" applyFont="1" applyFill="1" applyAlignment="1">
      <alignment horizontal="center" wrapText="1"/>
    </xf>
    <xf numFmtId="0" fontId="170" fillId="32" borderId="0" xfId="0" applyFont="1" applyFill="1"/>
    <xf numFmtId="9" fontId="9" fillId="0" borderId="279" xfId="6" applyFont="1" applyBorder="1" applyAlignment="1" applyProtection="1">
      <alignment wrapText="1"/>
    </xf>
    <xf numFmtId="0" fontId="9" fillId="32" borderId="0" xfId="0" applyFont="1" applyFill="1" applyAlignment="1">
      <alignment wrapText="1"/>
    </xf>
    <xf numFmtId="0" fontId="9" fillId="32" borderId="0" xfId="0" applyFont="1" applyFill="1"/>
    <xf numFmtId="0" fontId="9" fillId="34" borderId="0" xfId="0" applyFont="1" applyFill="1" applyAlignment="1">
      <alignment wrapText="1"/>
    </xf>
    <xf numFmtId="0" fontId="9" fillId="34" borderId="0" xfId="0" applyFont="1" applyFill="1"/>
    <xf numFmtId="0" fontId="9" fillId="0" borderId="279" xfId="0" applyFont="1" applyBorder="1" applyAlignment="1">
      <alignment wrapText="1"/>
    </xf>
    <xf numFmtId="0" fontId="170" fillId="32" borderId="0" xfId="0" applyFont="1" applyFill="1" applyAlignment="1">
      <alignment horizontal="center"/>
    </xf>
    <xf numFmtId="0" fontId="21" fillId="0" borderId="0" xfId="0" applyFont="1" applyAlignment="1">
      <alignment wrapText="1"/>
    </xf>
    <xf numFmtId="1" fontId="26" fillId="4" borderId="0" xfId="2" applyNumberFormat="1" applyFont="1" applyFill="1" applyBorder="1" applyAlignment="1" applyProtection="1">
      <alignment vertical="center" wrapText="1"/>
    </xf>
    <xf numFmtId="1" fontId="26" fillId="4" borderId="0" xfId="2" applyNumberFormat="1" applyFont="1" applyFill="1" applyBorder="1" applyAlignment="1" applyProtection="1">
      <alignment vertical="center"/>
    </xf>
    <xf numFmtId="0" fontId="178" fillId="0" borderId="52" xfId="5" applyFont="1" applyBorder="1" applyAlignment="1">
      <alignment vertical="center" wrapText="1"/>
    </xf>
    <xf numFmtId="0" fontId="179" fillId="35" borderId="0" xfId="5" applyFont="1" applyFill="1" applyAlignment="1">
      <alignment horizontal="center" vertical="center" textRotation="90" wrapText="1"/>
    </xf>
    <xf numFmtId="0" fontId="180" fillId="0" borderId="0" xfId="9" applyFont="1" applyProtection="1"/>
    <xf numFmtId="0" fontId="181" fillId="6" borderId="127" xfId="5" applyFont="1" applyFill="1" applyBorder="1"/>
    <xf numFmtId="0" fontId="48" fillId="0" borderId="42" xfId="5" applyFont="1" applyBorder="1" applyAlignment="1">
      <alignment horizontal="center"/>
    </xf>
    <xf numFmtId="0" fontId="48" fillId="0" borderId="51" xfId="5" applyFont="1" applyBorder="1" applyProtection="1">
      <protection locked="0"/>
    </xf>
    <xf numFmtId="0" fontId="48" fillId="0" borderId="51" xfId="5" applyFont="1" applyBorder="1"/>
    <xf numFmtId="0" fontId="178" fillId="0" borderId="45" xfId="5" applyFont="1" applyBorder="1" applyAlignment="1">
      <alignment vertical="center" wrapText="1"/>
    </xf>
    <xf numFmtId="0" fontId="182" fillId="35" borderId="0" xfId="5" applyFont="1" applyFill="1" applyAlignment="1">
      <alignment horizontal="center" vertical="center" textRotation="90" wrapText="1"/>
    </xf>
    <xf numFmtId="0" fontId="22" fillId="0" borderId="0" xfId="9" applyBorder="1" applyProtection="1"/>
    <xf numFmtId="0" fontId="44" fillId="0" borderId="0" xfId="5" applyFont="1" applyAlignment="1" applyProtection="1">
      <alignment wrapText="1"/>
      <protection locked="0"/>
    </xf>
    <xf numFmtId="0" fontId="6" fillId="0" borderId="0" xfId="5" applyAlignment="1">
      <alignment vertical="center"/>
    </xf>
    <xf numFmtId="14" fontId="46" fillId="7" borderId="32" xfId="5" applyNumberFormat="1" applyFont="1" applyFill="1" applyBorder="1" applyAlignment="1" applyProtection="1">
      <alignment horizontal="left" vertical="center" wrapText="1"/>
      <protection locked="0"/>
    </xf>
    <xf numFmtId="14" fontId="42" fillId="0" borderId="32" xfId="5" applyNumberFormat="1" applyFont="1" applyBorder="1" applyAlignment="1">
      <alignment horizontal="left" vertical="center" wrapText="1"/>
    </xf>
    <xf numFmtId="0" fontId="44" fillId="0" borderId="0" xfId="5" applyFont="1" applyAlignment="1">
      <alignment vertical="center"/>
    </xf>
    <xf numFmtId="14" fontId="42" fillId="0" borderId="295" xfId="5" applyNumberFormat="1" applyFont="1" applyBorder="1" applyAlignment="1">
      <alignment horizontal="right" vertical="center" wrapText="1"/>
    </xf>
    <xf numFmtId="0" fontId="43" fillId="8" borderId="127" xfId="5" applyFont="1" applyFill="1" applyBorder="1" applyAlignment="1" applyProtection="1">
      <alignment horizontal="center" vertical="center"/>
      <protection locked="0"/>
    </xf>
    <xf numFmtId="0" fontId="43" fillId="0" borderId="0" xfId="5" applyFont="1" applyAlignment="1">
      <alignment horizontal="center" vertical="center"/>
    </xf>
    <xf numFmtId="0" fontId="52" fillId="37" borderId="127" xfId="5" applyFont="1" applyFill="1" applyBorder="1" applyAlignment="1" applyProtection="1">
      <alignment horizontal="center" vertical="center" wrapText="1"/>
      <protection locked="0"/>
    </xf>
    <xf numFmtId="0" fontId="43" fillId="6" borderId="127" xfId="5" applyFont="1" applyFill="1" applyBorder="1" applyAlignment="1">
      <alignment horizontal="center" vertical="center" wrapText="1"/>
    </xf>
    <xf numFmtId="0" fontId="182" fillId="42" borderId="43" xfId="5" applyFont="1" applyFill="1" applyBorder="1" applyAlignment="1">
      <alignment horizontal="center" vertical="center" wrapText="1"/>
    </xf>
    <xf numFmtId="0" fontId="43" fillId="6" borderId="49" xfId="5" applyFont="1" applyFill="1" applyBorder="1" applyAlignment="1">
      <alignment horizontal="center" vertical="center" wrapText="1"/>
    </xf>
    <xf numFmtId="0" fontId="43" fillId="6" borderId="128" xfId="5" applyFont="1" applyFill="1" applyBorder="1" applyAlignment="1">
      <alignment horizontal="center" vertical="center" wrapText="1"/>
    </xf>
    <xf numFmtId="0" fontId="43" fillId="6" borderId="50" xfId="5" applyFont="1" applyFill="1" applyBorder="1" applyAlignment="1">
      <alignment horizontal="center" vertical="center" wrapText="1"/>
    </xf>
    <xf numFmtId="0" fontId="43" fillId="6" borderId="185" xfId="5" applyFont="1" applyFill="1" applyBorder="1" applyAlignment="1">
      <alignment horizontal="center" vertical="center" wrapText="1"/>
    </xf>
    <xf numFmtId="0" fontId="43" fillId="7" borderId="128" xfId="5" applyFont="1" applyFill="1" applyBorder="1" applyAlignment="1">
      <alignment horizontal="center" vertical="center" wrapText="1"/>
    </xf>
    <xf numFmtId="0" fontId="43" fillId="7" borderId="50" xfId="5" applyFont="1" applyFill="1" applyBorder="1" applyAlignment="1">
      <alignment horizontal="center" vertical="center" wrapText="1"/>
    </xf>
    <xf numFmtId="0" fontId="43" fillId="0" borderId="127" xfId="5" applyFont="1" applyBorder="1" applyAlignment="1" applyProtection="1">
      <alignment horizontal="center" vertical="center" wrapText="1"/>
      <protection locked="0"/>
    </xf>
    <xf numFmtId="0" fontId="43" fillId="0" borderId="128" xfId="5" applyFont="1" applyBorder="1" applyAlignment="1" applyProtection="1">
      <alignment horizontal="center" vertical="center" wrapText="1"/>
      <protection locked="0"/>
    </xf>
    <xf numFmtId="0" fontId="43" fillId="0" borderId="50" xfId="5" applyFont="1" applyBorder="1" applyAlignment="1" applyProtection="1">
      <alignment horizontal="center" vertical="center" wrapText="1"/>
      <protection locked="0"/>
    </xf>
    <xf numFmtId="0" fontId="43" fillId="0" borderId="185" xfId="5" applyFont="1" applyBorder="1" applyAlignment="1" applyProtection="1">
      <alignment horizontal="center" vertical="center" wrapText="1"/>
      <protection locked="0"/>
    </xf>
    <xf numFmtId="0" fontId="43" fillId="0" borderId="49" xfId="5" applyFont="1" applyBorder="1" applyAlignment="1" applyProtection="1">
      <alignment horizontal="center" vertical="center" wrapText="1"/>
      <protection locked="0"/>
    </xf>
    <xf numFmtId="0" fontId="46" fillId="43" borderId="49" xfId="5" applyFont="1" applyFill="1" applyBorder="1" applyAlignment="1">
      <alignment horizontal="center" vertical="center" wrapText="1"/>
    </xf>
    <xf numFmtId="0" fontId="46" fillId="43" borderId="50" xfId="5" applyFont="1" applyFill="1" applyBorder="1" applyAlignment="1">
      <alignment horizontal="center" vertical="center" wrapText="1"/>
    </xf>
    <xf numFmtId="0" fontId="186" fillId="43" borderId="50" xfId="5" applyFont="1" applyFill="1" applyBorder="1" applyAlignment="1">
      <alignment horizontal="center" vertical="center" wrapText="1"/>
    </xf>
    <xf numFmtId="0" fontId="186" fillId="43" borderId="185" xfId="5" applyFont="1" applyFill="1" applyBorder="1" applyAlignment="1">
      <alignment horizontal="center" vertical="center" wrapText="1"/>
    </xf>
    <xf numFmtId="0" fontId="188" fillId="5" borderId="49" xfId="5" applyFont="1" applyFill="1" applyBorder="1" applyAlignment="1">
      <alignment horizontal="center" vertical="center" wrapText="1"/>
    </xf>
    <xf numFmtId="0" fontId="188" fillId="5" borderId="185" xfId="5" applyFont="1" applyFill="1" applyBorder="1" applyAlignment="1">
      <alignment horizontal="center" vertical="center" wrapText="1"/>
    </xf>
    <xf numFmtId="0" fontId="46" fillId="44" borderId="127" xfId="5" applyFont="1" applyFill="1" applyBorder="1" applyAlignment="1">
      <alignment horizontal="center" vertical="center" wrapText="1"/>
    </xf>
    <xf numFmtId="0" fontId="188" fillId="6" borderId="42" xfId="5" applyFont="1" applyFill="1" applyBorder="1" applyAlignment="1">
      <alignment horizontal="center" vertical="center" wrapText="1"/>
    </xf>
    <xf numFmtId="0" fontId="188" fillId="0" borderId="185" xfId="5" applyFont="1" applyBorder="1" applyAlignment="1">
      <alignment horizontal="center" vertical="center" wrapText="1"/>
    </xf>
    <xf numFmtId="0" fontId="6" fillId="0" borderId="0" xfId="5" applyAlignment="1">
      <alignment horizontal="center" vertical="center" wrapText="1"/>
    </xf>
    <xf numFmtId="0" fontId="6" fillId="0" borderId="116" xfId="5" applyBorder="1" applyAlignment="1" applyProtection="1">
      <alignment horizontal="center" vertical="center" wrapText="1"/>
      <protection locked="0"/>
    </xf>
    <xf numFmtId="0" fontId="190" fillId="42" borderId="51" xfId="5" applyFont="1" applyFill="1" applyBorder="1" applyAlignment="1" applyProtection="1">
      <alignment horizontal="center" vertical="center" wrapText="1"/>
      <protection locked="0"/>
    </xf>
    <xf numFmtId="0" fontId="6" fillId="0" borderId="17" xfId="5" applyBorder="1" applyAlignment="1" applyProtection="1">
      <alignment vertical="center" wrapText="1"/>
      <protection locked="0"/>
    </xf>
    <xf numFmtId="0" fontId="6" fillId="0" borderId="81" xfId="5" applyBorder="1" applyAlignment="1" applyProtection="1">
      <alignment vertical="center" wrapText="1"/>
      <protection locked="0"/>
    </xf>
    <xf numFmtId="0" fontId="6" fillId="0" borderId="23" xfId="5" applyBorder="1" applyAlignment="1" applyProtection="1">
      <alignment vertical="center" wrapText="1"/>
      <protection locked="0"/>
    </xf>
    <xf numFmtId="0" fontId="6" fillId="0" borderId="18" xfId="5" applyBorder="1" applyAlignment="1" applyProtection="1">
      <alignment vertical="center" wrapText="1"/>
      <protection locked="0"/>
    </xf>
    <xf numFmtId="0" fontId="6" fillId="0" borderId="116" xfId="5" applyBorder="1" applyAlignment="1" applyProtection="1">
      <alignment vertical="center" wrapText="1"/>
      <protection locked="0"/>
    </xf>
    <xf numFmtId="0" fontId="42" fillId="43" borderId="17" xfId="5" applyFont="1" applyFill="1" applyBorder="1" applyAlignment="1">
      <alignment horizontal="right" vertical="center" wrapText="1" indent="2"/>
    </xf>
    <xf numFmtId="0" fontId="42" fillId="43" borderId="23" xfId="5" applyFont="1" applyFill="1" applyBorder="1" applyAlignment="1">
      <alignment horizontal="right" vertical="center" wrapText="1" indent="2"/>
    </xf>
    <xf numFmtId="169" fontId="42" fillId="43" borderId="23" xfId="2" applyNumberFormat="1" applyFont="1" applyFill="1" applyBorder="1" applyAlignment="1" applyProtection="1">
      <alignment horizontal="right" vertical="center" wrapText="1" indent="2"/>
    </xf>
    <xf numFmtId="164" fontId="42" fillId="43" borderId="18" xfId="5" applyNumberFormat="1" applyFont="1" applyFill="1" applyBorder="1" applyAlignment="1">
      <alignment horizontal="right" vertical="center" wrapText="1" indent="2"/>
    </xf>
    <xf numFmtId="164" fontId="6" fillId="5" borderId="17" xfId="5" applyNumberFormat="1" applyFill="1" applyBorder="1" applyAlignment="1" applyProtection="1">
      <alignment horizontal="right" vertical="center" wrapText="1" indent="2"/>
      <protection locked="0"/>
    </xf>
    <xf numFmtId="169" fontId="13" fillId="5" borderId="18" xfId="2" applyNumberFormat="1" applyFont="1" applyFill="1" applyBorder="1" applyAlignment="1" applyProtection="1">
      <alignment horizontal="right" vertical="center" wrapText="1" indent="2"/>
    </xf>
    <xf numFmtId="0" fontId="42" fillId="44" borderId="116" xfId="5" applyFont="1" applyFill="1" applyBorder="1" applyAlignment="1">
      <alignment horizontal="right" vertical="center" wrapText="1" indent="2"/>
    </xf>
    <xf numFmtId="169" fontId="13" fillId="0" borderId="81" xfId="2" applyNumberFormat="1" applyFont="1" applyBorder="1" applyAlignment="1" applyProtection="1">
      <alignment vertical="center" wrapText="1"/>
      <protection locked="0"/>
    </xf>
    <xf numFmtId="0" fontId="6" fillId="0" borderId="0" xfId="5" applyAlignment="1">
      <alignment vertical="center" wrapText="1"/>
    </xf>
    <xf numFmtId="0" fontId="6" fillId="0" borderId="117" xfId="5" applyBorder="1" applyAlignment="1" applyProtection="1">
      <alignment horizontal="center" vertical="center" wrapText="1"/>
      <protection locked="0"/>
    </xf>
    <xf numFmtId="0" fontId="191" fillId="42" borderId="0" xfId="5" applyFont="1" applyFill="1" applyAlignment="1" applyProtection="1">
      <alignment horizontal="center" vertical="center" wrapText="1"/>
      <protection locked="0"/>
    </xf>
    <xf numFmtId="0" fontId="190" fillId="42" borderId="0" xfId="5" applyFont="1" applyFill="1" applyAlignment="1" applyProtection="1">
      <alignment horizontal="center" vertical="center" wrapText="1"/>
      <protection locked="0"/>
    </xf>
    <xf numFmtId="0" fontId="6" fillId="0" borderId="19" xfId="5" applyBorder="1" applyAlignment="1" applyProtection="1">
      <alignment vertical="center" wrapText="1"/>
      <protection locked="0"/>
    </xf>
    <xf numFmtId="0" fontId="6" fillId="0" borderId="2" xfId="5" applyBorder="1" applyAlignment="1" applyProtection="1">
      <alignment vertical="center" wrapText="1"/>
      <protection locked="0"/>
    </xf>
    <xf numFmtId="0" fontId="6" fillId="0" borderId="3" xfId="5" applyBorder="1" applyAlignment="1" applyProtection="1">
      <alignment vertical="center" wrapText="1"/>
      <protection locked="0"/>
    </xf>
    <xf numFmtId="0" fontId="6" fillId="0" borderId="20" xfId="5" applyBorder="1" applyAlignment="1" applyProtection="1">
      <alignment vertical="center" wrapText="1"/>
      <protection locked="0"/>
    </xf>
    <xf numFmtId="0" fontId="6" fillId="0" borderId="117" xfId="5" applyBorder="1" applyAlignment="1" applyProtection="1">
      <alignment vertical="center" wrapText="1"/>
      <protection locked="0"/>
    </xf>
    <xf numFmtId="0" fontId="42" fillId="43" borderId="19" xfId="5" applyFont="1" applyFill="1" applyBorder="1" applyAlignment="1">
      <alignment horizontal="right" vertical="center" wrapText="1" indent="2"/>
    </xf>
    <xf numFmtId="0" fontId="42" fillId="43" borderId="3" xfId="5" applyFont="1" applyFill="1" applyBorder="1" applyAlignment="1">
      <alignment horizontal="right" vertical="center" wrapText="1" indent="2"/>
    </xf>
    <xf numFmtId="169" fontId="42" fillId="43" borderId="3" xfId="2" applyNumberFormat="1" applyFont="1" applyFill="1" applyBorder="1" applyAlignment="1">
      <alignment horizontal="right" vertical="center" wrapText="1" indent="2"/>
    </xf>
    <xf numFmtId="164" fontId="42" fillId="43" borderId="20" xfId="5" applyNumberFormat="1" applyFont="1" applyFill="1" applyBorder="1" applyAlignment="1">
      <alignment horizontal="right" vertical="center" wrapText="1" indent="2"/>
    </xf>
    <xf numFmtId="164" fontId="6" fillId="5" borderId="19" xfId="5" applyNumberFormat="1" applyFill="1" applyBorder="1" applyAlignment="1" applyProtection="1">
      <alignment horizontal="right" vertical="center" wrapText="1" indent="2"/>
      <protection locked="0"/>
    </xf>
    <xf numFmtId="169" fontId="13" fillId="5" borderId="34" xfId="2" applyNumberFormat="1" applyFont="1" applyFill="1" applyBorder="1" applyAlignment="1">
      <alignment horizontal="right" vertical="center" wrapText="1" indent="2"/>
    </xf>
    <xf numFmtId="0" fontId="42" fillId="44" borderId="117" xfId="5" applyFont="1" applyFill="1" applyBorder="1" applyAlignment="1">
      <alignment horizontal="right" vertical="center" wrapText="1" indent="2"/>
    </xf>
    <xf numFmtId="169" fontId="13" fillId="0" borderId="2" xfId="2" applyNumberFormat="1" applyFont="1" applyBorder="1" applyAlignment="1" applyProtection="1">
      <alignment vertical="center" wrapText="1"/>
      <protection locked="0"/>
    </xf>
    <xf numFmtId="0" fontId="6" fillId="0" borderId="118" xfId="5" applyBorder="1" applyAlignment="1" applyProtection="1">
      <alignment horizontal="center" vertical="center" wrapText="1"/>
      <protection locked="0"/>
    </xf>
    <xf numFmtId="0" fontId="191" fillId="42" borderId="40" xfId="5" applyFont="1" applyFill="1" applyBorder="1" applyAlignment="1" applyProtection="1">
      <alignment horizontal="center" vertical="center" wrapText="1"/>
      <protection locked="0"/>
    </xf>
    <xf numFmtId="0" fontId="190" fillId="42" borderId="40" xfId="5" applyFont="1" applyFill="1" applyBorder="1" applyAlignment="1" applyProtection="1">
      <alignment horizontal="center" vertical="center" wrapText="1"/>
      <protection locked="0"/>
    </xf>
    <xf numFmtId="0" fontId="6" fillId="0" borderId="21" xfId="5" applyBorder="1" applyAlignment="1" applyProtection="1">
      <alignment vertical="center" wrapText="1"/>
      <protection locked="0"/>
    </xf>
    <xf numFmtId="0" fontId="6" fillId="0" borderId="82" xfId="5" applyBorder="1" applyAlignment="1" applyProtection="1">
      <alignment vertical="center" wrapText="1"/>
      <protection locked="0"/>
    </xf>
    <xf numFmtId="0" fontId="6" fillId="0" borderId="24" xfId="5" applyBorder="1" applyAlignment="1" applyProtection="1">
      <alignment vertical="center" wrapText="1"/>
      <protection locked="0"/>
    </xf>
    <xf numFmtId="0" fontId="6" fillId="0" borderId="22" xfId="5" applyBorder="1" applyAlignment="1" applyProtection="1">
      <alignment vertical="center" wrapText="1"/>
      <protection locked="0"/>
    </xf>
    <xf numFmtId="0" fontId="6" fillId="0" borderId="118" xfId="5" applyBorder="1" applyAlignment="1" applyProtection="1">
      <alignment vertical="center" wrapText="1"/>
      <protection locked="0"/>
    </xf>
    <xf numFmtId="0" fontId="42" fillId="43" borderId="21" xfId="5" applyFont="1" applyFill="1" applyBorder="1" applyAlignment="1">
      <alignment horizontal="right" vertical="center" wrapText="1" indent="2"/>
    </xf>
    <xf numFmtId="0" fontId="42" fillId="43" borderId="24" xfId="5" applyFont="1" applyFill="1" applyBorder="1" applyAlignment="1">
      <alignment horizontal="right" vertical="center" wrapText="1" indent="2"/>
    </xf>
    <xf numFmtId="169" fontId="42" fillId="43" borderId="24" xfId="2" applyNumberFormat="1" applyFont="1" applyFill="1" applyBorder="1" applyAlignment="1">
      <alignment horizontal="right" vertical="center" wrapText="1" indent="2"/>
    </xf>
    <xf numFmtId="164" fontId="42" fillId="43" borderId="22" xfId="5" applyNumberFormat="1" applyFont="1" applyFill="1" applyBorder="1" applyAlignment="1">
      <alignment horizontal="right" vertical="center" wrapText="1" indent="2"/>
    </xf>
    <xf numFmtId="164" fontId="6" fillId="5" borderId="21" xfId="5" applyNumberFormat="1" applyFill="1" applyBorder="1" applyAlignment="1" applyProtection="1">
      <alignment horizontal="right" vertical="center" wrapText="1" indent="2"/>
      <protection locked="0"/>
    </xf>
    <xf numFmtId="169" fontId="13" fillId="5" borderId="250" xfId="2" applyNumberFormat="1" applyFont="1" applyFill="1" applyBorder="1" applyAlignment="1">
      <alignment horizontal="right" vertical="center" wrapText="1" indent="2"/>
    </xf>
    <xf numFmtId="0" fontId="42" fillId="44" borderId="118" xfId="5" applyFont="1" applyFill="1" applyBorder="1" applyAlignment="1">
      <alignment horizontal="right" vertical="center" wrapText="1" indent="2"/>
    </xf>
    <xf numFmtId="169" fontId="13" fillId="0" borderId="82" xfId="2" applyNumberFormat="1" applyFont="1" applyBorder="1" applyAlignment="1" applyProtection="1">
      <alignment vertical="center" wrapText="1"/>
      <protection locked="0"/>
    </xf>
    <xf numFmtId="0" fontId="6" fillId="7" borderId="189" xfId="5" applyFill="1" applyBorder="1" applyAlignment="1" applyProtection="1">
      <alignment horizontal="center" vertical="center" wrapText="1"/>
      <protection locked="0"/>
    </xf>
    <xf numFmtId="0" fontId="191" fillId="7" borderId="0" xfId="5" applyFont="1" applyFill="1" applyAlignment="1" applyProtection="1">
      <alignment horizontal="center" vertical="center" wrapText="1"/>
      <protection locked="0"/>
    </xf>
    <xf numFmtId="0" fontId="190" fillId="7" borderId="0" xfId="5" applyFont="1" applyFill="1" applyAlignment="1" applyProtection="1">
      <alignment horizontal="center" vertical="center" wrapText="1"/>
      <protection locked="0"/>
    </xf>
    <xf numFmtId="0" fontId="6" fillId="7" borderId="26" xfId="5" applyFill="1" applyBorder="1" applyAlignment="1" applyProtection="1">
      <alignment vertical="center" wrapText="1"/>
      <protection locked="0"/>
    </xf>
    <xf numFmtId="0" fontId="6" fillId="7" borderId="33" xfId="5" applyFill="1" applyBorder="1" applyAlignment="1" applyProtection="1">
      <alignment vertical="center" wrapText="1"/>
      <protection locked="0"/>
    </xf>
    <xf numFmtId="0" fontId="6" fillId="7" borderId="5" xfId="5" applyFill="1" applyBorder="1" applyAlignment="1" applyProtection="1">
      <alignment vertical="center" wrapText="1"/>
      <protection locked="0"/>
    </xf>
    <xf numFmtId="0" fontId="6" fillId="7" borderId="34" xfId="5" applyFill="1" applyBorder="1" applyAlignment="1" applyProtection="1">
      <alignment vertical="center" wrapText="1"/>
      <protection locked="0"/>
    </xf>
    <xf numFmtId="0" fontId="6" fillId="7" borderId="189" xfId="5" applyFill="1" applyBorder="1" applyAlignment="1" applyProtection="1">
      <alignment vertical="center" wrapText="1"/>
      <protection locked="0"/>
    </xf>
    <xf numFmtId="0" fontId="42" fillId="43" borderId="26" xfId="5" applyFont="1" applyFill="1" applyBorder="1" applyAlignment="1">
      <alignment horizontal="right" vertical="center" wrapText="1" indent="2"/>
    </xf>
    <xf numFmtId="0" fontId="42" fillId="43" borderId="5" xfId="5" applyFont="1" applyFill="1" applyBorder="1" applyAlignment="1">
      <alignment horizontal="right" vertical="center" wrapText="1" indent="2"/>
    </xf>
    <xf numFmtId="169" fontId="42" fillId="43" borderId="5" xfId="2" applyNumberFormat="1" applyFont="1" applyFill="1" applyBorder="1" applyAlignment="1">
      <alignment horizontal="right" vertical="center" wrapText="1" indent="2"/>
    </xf>
    <xf numFmtId="164" fontId="42" fillId="43" borderId="34" xfId="5" applyNumberFormat="1" applyFont="1" applyFill="1" applyBorder="1" applyAlignment="1">
      <alignment horizontal="right" vertical="center" wrapText="1" indent="2"/>
    </xf>
    <xf numFmtId="164" fontId="6" fillId="5" borderId="26" xfId="5" applyNumberFormat="1" applyFill="1" applyBorder="1" applyAlignment="1" applyProtection="1">
      <alignment horizontal="right" vertical="center" wrapText="1" indent="2"/>
      <protection locked="0"/>
    </xf>
    <xf numFmtId="0" fontId="42" fillId="44" borderId="189" xfId="5" applyFont="1" applyFill="1" applyBorder="1" applyAlignment="1">
      <alignment horizontal="right" vertical="center" wrapText="1" indent="2"/>
    </xf>
    <xf numFmtId="169" fontId="13" fillId="0" borderId="33" xfId="2" applyNumberFormat="1" applyFont="1" applyBorder="1" applyAlignment="1" applyProtection="1">
      <alignment vertical="center" wrapText="1"/>
      <protection locked="0"/>
    </xf>
    <xf numFmtId="0" fontId="6" fillId="7" borderId="118" xfId="5" applyFill="1" applyBorder="1" applyAlignment="1" applyProtection="1">
      <alignment horizontal="center" vertical="center" wrapText="1"/>
      <protection locked="0"/>
    </xf>
    <xf numFmtId="0" fontId="191" fillId="7" borderId="40" xfId="5" applyFont="1" applyFill="1" applyBorder="1" applyAlignment="1" applyProtection="1">
      <alignment horizontal="center" vertical="center" wrapText="1"/>
      <protection locked="0"/>
    </xf>
    <xf numFmtId="0" fontId="190" fillId="7" borderId="40" xfId="5" applyFont="1" applyFill="1" applyBorder="1" applyAlignment="1" applyProtection="1">
      <alignment horizontal="center" vertical="center" wrapText="1"/>
      <protection locked="0"/>
    </xf>
    <xf numFmtId="0" fontId="6" fillId="7" borderId="21" xfId="5" applyFill="1" applyBorder="1" applyAlignment="1" applyProtection="1">
      <alignment vertical="center" wrapText="1"/>
      <protection locked="0"/>
    </xf>
    <xf numFmtId="0" fontId="6" fillId="7" borderId="82" xfId="5" applyFill="1" applyBorder="1" applyAlignment="1" applyProtection="1">
      <alignment vertical="center" wrapText="1"/>
      <protection locked="0"/>
    </xf>
    <xf numFmtId="0" fontId="6" fillId="7" borderId="24" xfId="5" applyFill="1" applyBorder="1" applyAlignment="1" applyProtection="1">
      <alignment vertical="center" wrapText="1"/>
      <protection locked="0"/>
    </xf>
    <xf numFmtId="0" fontId="6" fillId="7" borderId="22" xfId="5" applyFill="1" applyBorder="1" applyAlignment="1" applyProtection="1">
      <alignment vertical="center" wrapText="1"/>
      <protection locked="0"/>
    </xf>
    <xf numFmtId="0" fontId="6" fillId="7" borderId="118" xfId="5" applyFill="1" applyBorder="1" applyAlignment="1" applyProtection="1">
      <alignment vertical="center" wrapText="1"/>
      <protection locked="0"/>
    </xf>
    <xf numFmtId="169" fontId="13" fillId="5" borderId="250" xfId="2" applyNumberFormat="1" applyFont="1" applyFill="1" applyBorder="1" applyAlignment="1" applyProtection="1">
      <alignment horizontal="right" vertical="center" wrapText="1" indent="2"/>
    </xf>
    <xf numFmtId="169" fontId="13" fillId="0" borderId="21" xfId="2" applyNumberFormat="1" applyFont="1" applyBorder="1" applyAlignment="1" applyProtection="1">
      <alignment vertical="center" wrapText="1"/>
      <protection locked="0"/>
    </xf>
    <xf numFmtId="0" fontId="6" fillId="0" borderId="5" xfId="5" applyBorder="1" applyAlignment="1">
      <alignment vertical="center" wrapText="1"/>
    </xf>
    <xf numFmtId="10" fontId="13" fillId="0" borderId="190" xfId="14" applyNumberFormat="1" applyFont="1" applyFill="1" applyBorder="1" applyAlignment="1" applyProtection="1">
      <alignment vertical="center" wrapText="1"/>
    </xf>
    <xf numFmtId="10" fontId="13" fillId="0" borderId="57" xfId="14" applyNumberFormat="1" applyFont="1" applyFill="1" applyBorder="1" applyAlignment="1" applyProtection="1">
      <alignment vertical="center" wrapText="1"/>
    </xf>
    <xf numFmtId="10" fontId="13" fillId="0" borderId="189" xfId="14" applyNumberFormat="1" applyFont="1" applyFill="1" applyBorder="1" applyAlignment="1" applyProtection="1">
      <alignment vertical="center" wrapText="1"/>
      <protection locked="0"/>
    </xf>
    <xf numFmtId="10" fontId="13" fillId="0" borderId="33" xfId="14" applyNumberFormat="1" applyFont="1" applyFill="1" applyBorder="1" applyAlignment="1" applyProtection="1">
      <alignment vertical="center" wrapText="1"/>
      <protection locked="0"/>
    </xf>
    <xf numFmtId="10" fontId="13" fillId="0" borderId="5" xfId="14" applyNumberFormat="1" applyFont="1" applyFill="1" applyBorder="1" applyAlignment="1" applyProtection="1">
      <alignment vertical="center" wrapText="1"/>
      <protection locked="0"/>
    </xf>
    <xf numFmtId="10" fontId="13" fillId="0" borderId="34" xfId="14" applyNumberFormat="1" applyFont="1" applyFill="1" applyBorder="1" applyAlignment="1" applyProtection="1">
      <alignment vertical="center" wrapText="1"/>
      <protection locked="0"/>
    </xf>
    <xf numFmtId="10" fontId="13" fillId="0" borderId="26" xfId="14" applyNumberFormat="1" applyFont="1" applyFill="1" applyBorder="1" applyAlignment="1" applyProtection="1">
      <alignment vertical="center" wrapText="1"/>
      <protection locked="0"/>
    </xf>
    <xf numFmtId="1" fontId="42" fillId="43" borderId="35" xfId="14" applyNumberFormat="1" applyFont="1" applyFill="1" applyBorder="1" applyAlignment="1" applyProtection="1">
      <alignment horizontal="right" vertical="center" wrapText="1" indent="2"/>
    </xf>
    <xf numFmtId="1" fontId="42" fillId="43" borderId="297" xfId="14" applyNumberFormat="1" applyFont="1" applyFill="1" applyBorder="1" applyAlignment="1" applyProtection="1">
      <alignment horizontal="right" vertical="center" wrapText="1" indent="2"/>
    </xf>
    <xf numFmtId="169" fontId="42" fillId="43" borderId="297" xfId="2" applyNumberFormat="1" applyFont="1" applyFill="1" applyBorder="1" applyAlignment="1">
      <alignment horizontal="right" vertical="center" wrapText="1" indent="2"/>
    </xf>
    <xf numFmtId="169" fontId="42" fillId="43" borderId="297" xfId="2" applyNumberFormat="1" applyFont="1" applyFill="1" applyBorder="1" applyAlignment="1" applyProtection="1">
      <alignment horizontal="right" vertical="center" wrapText="1" indent="2"/>
    </xf>
    <xf numFmtId="169" fontId="42" fillId="43" borderId="250" xfId="5" applyNumberFormat="1" applyFont="1" applyFill="1" applyBorder="1" applyAlignment="1">
      <alignment horizontal="right" vertical="center" wrapText="1" indent="2"/>
    </xf>
    <xf numFmtId="169" fontId="6" fillId="0" borderId="0" xfId="5" applyNumberFormat="1" applyAlignment="1">
      <alignment horizontal="right" vertical="center" wrapText="1" indent="2"/>
    </xf>
    <xf numFmtId="169" fontId="43" fillId="5" borderId="44" xfId="2" applyNumberFormat="1" applyFont="1" applyFill="1" applyBorder="1" applyAlignment="1" applyProtection="1">
      <alignment horizontal="right" vertical="center" wrapText="1" indent="2"/>
    </xf>
    <xf numFmtId="1" fontId="42" fillId="44" borderId="44" xfId="14" applyNumberFormat="1" applyFont="1" applyFill="1" applyBorder="1" applyAlignment="1" applyProtection="1">
      <alignment horizontal="right" vertical="center" wrapText="1" indent="2"/>
    </xf>
    <xf numFmtId="0" fontId="43" fillId="6" borderId="3" xfId="5" applyFont="1" applyFill="1" applyBorder="1" applyAlignment="1">
      <alignment horizontal="center" vertical="center" wrapText="1"/>
    </xf>
    <xf numFmtId="10" fontId="6" fillId="0" borderId="1" xfId="5" applyNumberFormat="1" applyBorder="1" applyAlignment="1">
      <alignment vertical="center" wrapText="1"/>
    </xf>
    <xf numFmtId="10" fontId="6" fillId="0" borderId="298" xfId="5" applyNumberFormat="1" applyBorder="1" applyAlignment="1">
      <alignment vertical="center" wrapText="1"/>
    </xf>
    <xf numFmtId="10" fontId="6" fillId="0" borderId="117" xfId="5" applyNumberFormat="1" applyBorder="1" applyAlignment="1" applyProtection="1">
      <alignment vertical="center" wrapText="1"/>
      <protection locked="0"/>
    </xf>
    <xf numFmtId="10" fontId="6" fillId="0" borderId="2" xfId="5" applyNumberFormat="1" applyBorder="1" applyAlignment="1" applyProtection="1">
      <alignment vertical="center" wrapText="1"/>
      <protection locked="0"/>
    </xf>
    <xf numFmtId="10" fontId="6" fillId="0" borderId="3" xfId="5" applyNumberFormat="1" applyBorder="1" applyAlignment="1" applyProtection="1">
      <alignment vertical="center" wrapText="1"/>
      <protection locked="0"/>
    </xf>
    <xf numFmtId="10" fontId="6" fillId="0" borderId="20" xfId="5" applyNumberFormat="1" applyBorder="1" applyAlignment="1" applyProtection="1">
      <alignment vertical="center" wrapText="1"/>
      <protection locked="0"/>
    </xf>
    <xf numFmtId="10" fontId="6" fillId="0" borderId="19" xfId="5" applyNumberFormat="1" applyBorder="1" applyAlignment="1" applyProtection="1">
      <alignment vertical="center" wrapText="1"/>
      <protection locked="0"/>
    </xf>
    <xf numFmtId="10" fontId="6" fillId="0" borderId="295" xfId="5" applyNumberFormat="1" applyBorder="1" applyAlignment="1">
      <alignment vertical="center" wrapText="1"/>
    </xf>
    <xf numFmtId="0" fontId="6" fillId="0" borderId="6" xfId="5" applyBorder="1" applyAlignment="1">
      <alignment vertical="center" wrapText="1"/>
    </xf>
    <xf numFmtId="0" fontId="44" fillId="0" borderId="0" xfId="5" applyFont="1" applyAlignment="1">
      <alignment vertical="center" wrapText="1"/>
    </xf>
    <xf numFmtId="0" fontId="52" fillId="0" borderId="0" xfId="5" applyFont="1"/>
    <xf numFmtId="10" fontId="6" fillId="0" borderId="0" xfId="5" applyNumberFormat="1"/>
    <xf numFmtId="10" fontId="6" fillId="0" borderId="296" xfId="5" applyNumberFormat="1" applyBorder="1" applyProtection="1">
      <protection locked="0"/>
    </xf>
    <xf numFmtId="10" fontId="6" fillId="0" borderId="0" xfId="5" applyNumberFormat="1" applyProtection="1">
      <protection locked="0"/>
    </xf>
    <xf numFmtId="10" fontId="6" fillId="0" borderId="257" xfId="5" applyNumberFormat="1" applyBorder="1" applyProtection="1">
      <protection locked="0"/>
    </xf>
    <xf numFmtId="10" fontId="6" fillId="0" borderId="45" xfId="5" applyNumberFormat="1" applyBorder="1" applyProtection="1">
      <protection locked="0"/>
    </xf>
    <xf numFmtId="169" fontId="13" fillId="0" borderId="18" xfId="2" applyNumberFormat="1" applyFont="1" applyBorder="1" applyProtection="1">
      <protection locked="0"/>
    </xf>
    <xf numFmtId="169" fontId="45" fillId="36" borderId="3" xfId="2" applyNumberFormat="1" applyFont="1" applyFill="1" applyBorder="1" applyAlignment="1" applyProtection="1">
      <alignment horizontal="right" vertical="center" wrapText="1" indent="2"/>
      <protection locked="0"/>
    </xf>
    <xf numFmtId="0" fontId="43" fillId="6" borderId="116" xfId="5" applyFont="1" applyFill="1" applyBorder="1" applyAlignment="1">
      <alignment horizontal="center" vertical="center" wrapText="1"/>
    </xf>
    <xf numFmtId="0" fontId="6" fillId="0" borderId="296" xfId="5" applyBorder="1" applyProtection="1">
      <protection locked="0"/>
    </xf>
    <xf numFmtId="0" fontId="6" fillId="0" borderId="257" xfId="5" applyBorder="1" applyProtection="1">
      <protection locked="0"/>
    </xf>
    <xf numFmtId="0" fontId="6" fillId="0" borderId="45" xfId="5" applyBorder="1" applyProtection="1">
      <protection locked="0"/>
    </xf>
    <xf numFmtId="169" fontId="43" fillId="6" borderId="20" xfId="2" applyNumberFormat="1" applyFont="1" applyFill="1" applyBorder="1" applyProtection="1"/>
    <xf numFmtId="0" fontId="6" fillId="0" borderId="117" xfId="5" applyBorder="1" applyAlignment="1">
      <alignment horizontal="center"/>
    </xf>
    <xf numFmtId="172" fontId="13" fillId="0" borderId="116" xfId="2" applyNumberFormat="1" applyFont="1" applyBorder="1" applyAlignment="1" applyProtection="1">
      <alignment vertical="center" wrapText="1"/>
      <protection locked="0"/>
    </xf>
    <xf numFmtId="172" fontId="13" fillId="0" borderId="81" xfId="2" applyNumberFormat="1" applyFont="1" applyBorder="1" applyAlignment="1" applyProtection="1">
      <alignment vertical="center" wrapText="1"/>
      <protection locked="0"/>
    </xf>
    <xf numFmtId="172" fontId="13" fillId="0" borderId="23" xfId="2" applyNumberFormat="1" applyFont="1" applyBorder="1" applyAlignment="1" applyProtection="1">
      <alignment vertical="center" wrapText="1"/>
      <protection locked="0"/>
    </xf>
    <xf numFmtId="172" fontId="13" fillId="0" borderId="18" xfId="2" applyNumberFormat="1" applyFont="1" applyBorder="1" applyAlignment="1" applyProtection="1">
      <alignment vertical="center" wrapText="1"/>
      <protection locked="0"/>
    </xf>
    <xf numFmtId="172" fontId="13" fillId="0" borderId="17" xfId="2" applyNumberFormat="1" applyFont="1" applyBorder="1" applyAlignment="1" applyProtection="1">
      <alignment vertical="center" wrapText="1"/>
      <protection locked="0"/>
    </xf>
    <xf numFmtId="169" fontId="13" fillId="6" borderId="20" xfId="2" applyNumberFormat="1" applyFont="1" applyFill="1" applyBorder="1" applyProtection="1"/>
    <xf numFmtId="0" fontId="6" fillId="0" borderId="0" xfId="5" applyAlignment="1">
      <alignment horizontal="right" vertical="center"/>
    </xf>
    <xf numFmtId="0" fontId="43" fillId="0" borderId="0" xfId="5" applyFont="1" applyAlignment="1">
      <alignment horizontal="center"/>
    </xf>
    <xf numFmtId="172" fontId="6" fillId="45" borderId="118" xfId="5" applyNumberFormat="1" applyFill="1" applyBorder="1" applyAlignment="1" applyProtection="1">
      <alignment horizontal="center" wrapText="1"/>
      <protection locked="0"/>
    </xf>
    <xf numFmtId="169" fontId="13" fillId="46" borderId="20" xfId="2" applyNumberFormat="1" applyFont="1" applyFill="1" applyBorder="1" applyProtection="1"/>
    <xf numFmtId="0" fontId="43" fillId="0" borderId="0" xfId="5" applyFont="1" applyAlignment="1">
      <alignment horizontal="right" vertical="center"/>
    </xf>
    <xf numFmtId="164" fontId="6" fillId="0" borderId="3" xfId="5" applyNumberFormat="1" applyBorder="1" applyAlignment="1">
      <alignment horizontal="right" indent="2"/>
    </xf>
    <xf numFmtId="180" fontId="13" fillId="0" borderId="3" xfId="6" applyNumberFormat="1" applyFont="1" applyBorder="1" applyAlignment="1" applyProtection="1">
      <alignment horizontal="right" indent="2"/>
    </xf>
    <xf numFmtId="0" fontId="6" fillId="0" borderId="118" xfId="5" applyBorder="1" applyAlignment="1">
      <alignment horizontal="center"/>
    </xf>
    <xf numFmtId="169" fontId="13" fillId="45" borderId="22" xfId="2" applyNumberFormat="1" applyFont="1" applyFill="1" applyBorder="1" applyProtection="1"/>
    <xf numFmtId="0" fontId="45" fillId="0" borderId="0" xfId="5" applyFont="1" applyAlignment="1">
      <alignment horizontal="right" vertical="center"/>
    </xf>
    <xf numFmtId="164" fontId="45" fillId="7" borderId="3" xfId="5" applyNumberFormat="1" applyFont="1" applyFill="1" applyBorder="1" applyAlignment="1">
      <alignment horizontal="right" indent="2"/>
    </xf>
    <xf numFmtId="180" fontId="45" fillId="7" borderId="3" xfId="6" applyNumberFormat="1" applyFont="1" applyFill="1" applyBorder="1" applyAlignment="1" applyProtection="1">
      <alignment horizontal="right" indent="2"/>
    </xf>
    <xf numFmtId="180" fontId="13" fillId="36" borderId="3" xfId="6" applyNumberFormat="1" applyFont="1" applyFill="1" applyBorder="1" applyAlignment="1" applyProtection="1">
      <alignment horizontal="right" indent="2"/>
      <protection locked="0"/>
    </xf>
    <xf numFmtId="169" fontId="13" fillId="0" borderId="18" xfId="2" applyNumberFormat="1" applyFont="1" applyBorder="1" applyProtection="1"/>
    <xf numFmtId="0" fontId="43" fillId="0" borderId="0" xfId="5" applyFont="1"/>
    <xf numFmtId="169" fontId="13" fillId="0" borderId="20" xfId="2" applyNumberFormat="1" applyFont="1" applyBorder="1" applyProtection="1"/>
    <xf numFmtId="0" fontId="43" fillId="7" borderId="0" xfId="5" applyFont="1" applyFill="1" applyAlignment="1">
      <alignment horizontal="center"/>
    </xf>
    <xf numFmtId="0" fontId="6" fillId="44" borderId="19" xfId="5" applyFill="1" applyBorder="1"/>
    <xf numFmtId="0" fontId="6" fillId="0" borderId="3" xfId="5" applyBorder="1"/>
    <xf numFmtId="181" fontId="13" fillId="0" borderId="20" xfId="1" applyNumberFormat="1" applyFont="1" applyBorder="1" applyProtection="1"/>
    <xf numFmtId="0" fontId="22" fillId="0" borderId="0" xfId="9" applyProtection="1"/>
    <xf numFmtId="0" fontId="6" fillId="44" borderId="255" xfId="5" applyFill="1" applyBorder="1"/>
    <xf numFmtId="0" fontId="6" fillId="0" borderId="4" xfId="5" applyBorder="1"/>
    <xf numFmtId="181" fontId="13" fillId="0" borderId="256" xfId="1" applyNumberFormat="1" applyFont="1" applyBorder="1" applyProtection="1"/>
    <xf numFmtId="169" fontId="13" fillId="0" borderId="185" xfId="2" applyNumberFormat="1" applyFont="1" applyBorder="1" applyProtection="1"/>
    <xf numFmtId="0" fontId="46" fillId="6" borderId="17" xfId="5" applyFont="1" applyFill="1" applyBorder="1" applyAlignment="1">
      <alignment vertical="center"/>
    </xf>
    <xf numFmtId="169" fontId="13" fillId="6" borderId="116" xfId="2" applyNumberFormat="1" applyFont="1" applyFill="1" applyBorder="1" applyAlignment="1" applyProtection="1">
      <alignment vertical="center"/>
    </xf>
    <xf numFmtId="0" fontId="6" fillId="46" borderId="19" xfId="5" applyFill="1" applyBorder="1" applyAlignment="1">
      <alignment vertical="center"/>
    </xf>
    <xf numFmtId="169" fontId="13" fillId="46" borderId="117" xfId="2" applyNumberFormat="1" applyFont="1" applyFill="1" applyBorder="1" applyAlignment="1" applyProtection="1">
      <alignment vertical="center"/>
    </xf>
    <xf numFmtId="0" fontId="6" fillId="45" borderId="21" xfId="5" applyFill="1" applyBorder="1" applyAlignment="1">
      <alignment vertical="center"/>
    </xf>
    <xf numFmtId="169" fontId="13" fillId="45" borderId="118" xfId="2" applyNumberFormat="1" applyFont="1" applyFill="1" applyBorder="1" applyAlignment="1" applyProtection="1">
      <alignment vertical="center"/>
    </xf>
    <xf numFmtId="10" fontId="13" fillId="6" borderId="116" xfId="14" applyNumberFormat="1" applyFont="1" applyFill="1" applyBorder="1" applyAlignment="1" applyProtection="1">
      <alignment vertical="center"/>
    </xf>
    <xf numFmtId="0" fontId="47" fillId="0" borderId="0" xfId="5" applyFont="1" applyAlignment="1">
      <alignment vertical="center"/>
    </xf>
    <xf numFmtId="10" fontId="13" fillId="46" borderId="117" xfId="14" applyNumberFormat="1" applyFont="1" applyFill="1" applyBorder="1" applyAlignment="1" applyProtection="1">
      <alignment vertical="center"/>
    </xf>
    <xf numFmtId="10" fontId="13" fillId="45" borderId="118" xfId="14" applyNumberFormat="1" applyFont="1" applyFill="1" applyBorder="1" applyAlignment="1" applyProtection="1">
      <alignment vertical="center"/>
    </xf>
    <xf numFmtId="0" fontId="192" fillId="0" borderId="0" xfId="5" applyFont="1"/>
    <xf numFmtId="0" fontId="193" fillId="0" borderId="0" xfId="5" applyFont="1"/>
    <xf numFmtId="0" fontId="46" fillId="0" borderId="17" xfId="5" applyFont="1" applyBorder="1" applyAlignment="1" applyProtection="1">
      <alignment wrapText="1"/>
      <protection locked="0"/>
    </xf>
    <xf numFmtId="0" fontId="43" fillId="0" borderId="81" xfId="5" applyFont="1" applyBorder="1" applyAlignment="1" applyProtection="1">
      <alignment wrapText="1"/>
      <protection locked="0"/>
    </xf>
    <xf numFmtId="0" fontId="43" fillId="0" borderId="23" xfId="5" applyFont="1" applyBorder="1" applyAlignment="1" applyProtection="1">
      <alignment wrapText="1"/>
      <protection locked="0"/>
    </xf>
    <xf numFmtId="0" fontId="43" fillId="0" borderId="299" xfId="5" applyFont="1" applyBorder="1" applyAlignment="1" applyProtection="1">
      <alignment wrapText="1"/>
      <protection locked="0"/>
    </xf>
    <xf numFmtId="0" fontId="43" fillId="0" borderId="18" xfId="5" applyFont="1" applyBorder="1" applyAlignment="1" applyProtection="1">
      <alignment wrapText="1"/>
      <protection locked="0"/>
    </xf>
    <xf numFmtId="0" fontId="44" fillId="0" borderId="45" xfId="5" applyFont="1" applyBorder="1" applyProtection="1">
      <protection locked="0"/>
    </xf>
    <xf numFmtId="0" fontId="52" fillId="0" borderId="0" xfId="5" applyFont="1" applyProtection="1">
      <protection locked="0"/>
    </xf>
    <xf numFmtId="0" fontId="44" fillId="0" borderId="19" xfId="5" applyFont="1" applyBorder="1" applyAlignment="1" applyProtection="1">
      <alignment wrapText="1"/>
      <protection locked="0"/>
    </xf>
    <xf numFmtId="0" fontId="6" fillId="0" borderId="2" xfId="5" applyBorder="1" applyAlignment="1" applyProtection="1">
      <alignment wrapText="1"/>
      <protection locked="0"/>
    </xf>
    <xf numFmtId="0" fontId="6" fillId="0" borderId="3" xfId="5" applyBorder="1" applyAlignment="1" applyProtection="1">
      <alignment wrapText="1"/>
      <protection locked="0"/>
    </xf>
    <xf numFmtId="0" fontId="6" fillId="0" borderId="1" xfId="5" applyBorder="1" applyAlignment="1" applyProtection="1">
      <alignment wrapText="1"/>
      <protection locked="0"/>
    </xf>
    <xf numFmtId="0" fontId="6" fillId="0" borderId="20" xfId="5" applyBorder="1" applyAlignment="1" applyProtection="1">
      <alignment wrapText="1"/>
      <protection locked="0"/>
    </xf>
    <xf numFmtId="0" fontId="44" fillId="0" borderId="21" xfId="5" applyFont="1" applyBorder="1" applyAlignment="1" applyProtection="1">
      <alignment wrapText="1"/>
      <protection locked="0"/>
    </xf>
    <xf numFmtId="0" fontId="6" fillId="0" borderId="82" xfId="5" applyBorder="1" applyAlignment="1" applyProtection="1">
      <alignment wrapText="1"/>
      <protection locked="0"/>
    </xf>
    <xf numFmtId="0" fontId="6" fillId="0" borderId="24" xfId="5" applyBorder="1" applyAlignment="1" applyProtection="1">
      <alignment wrapText="1"/>
      <protection locked="0"/>
    </xf>
    <xf numFmtId="0" fontId="6" fillId="0" borderId="300" xfId="5" applyBorder="1" applyAlignment="1" applyProtection="1">
      <alignment wrapText="1"/>
      <protection locked="0"/>
    </xf>
    <xf numFmtId="0" fontId="6" fillId="0" borderId="22" xfId="5" applyBorder="1" applyAlignment="1" applyProtection="1">
      <alignment wrapText="1"/>
      <protection locked="0"/>
    </xf>
    <xf numFmtId="0" fontId="46" fillId="0" borderId="39" xfId="5" applyFont="1" applyBorder="1" applyAlignment="1" applyProtection="1">
      <alignment wrapText="1"/>
      <protection locked="0"/>
    </xf>
    <xf numFmtId="0" fontId="43" fillId="0" borderId="301" xfId="5" applyFont="1" applyBorder="1" applyAlignment="1" applyProtection="1">
      <alignment wrapText="1"/>
      <protection locked="0"/>
    </xf>
    <xf numFmtId="0" fontId="43" fillId="0" borderId="25" xfId="5" applyFont="1" applyBorder="1" applyAlignment="1" applyProtection="1">
      <alignment wrapText="1"/>
      <protection locked="0"/>
    </xf>
    <xf numFmtId="0" fontId="44" fillId="0" borderId="54" xfId="5" applyFont="1" applyBorder="1" applyAlignment="1" applyProtection="1">
      <alignment wrapText="1"/>
      <protection locked="0"/>
    </xf>
    <xf numFmtId="0" fontId="6" fillId="0" borderId="298" xfId="5" applyBorder="1" applyAlignment="1" applyProtection="1">
      <alignment wrapText="1"/>
      <protection locked="0"/>
    </xf>
    <xf numFmtId="0" fontId="6" fillId="0" borderId="55" xfId="5" applyBorder="1" applyAlignment="1" applyProtection="1">
      <alignment wrapText="1"/>
      <protection locked="0"/>
    </xf>
    <xf numFmtId="0" fontId="44" fillId="0" borderId="46" xfId="5" applyFont="1" applyBorder="1" applyAlignment="1" applyProtection="1">
      <alignment wrapText="1"/>
      <protection locked="0"/>
    </xf>
    <xf numFmtId="0" fontId="6" fillId="0" borderId="47" xfId="5" applyBorder="1" applyAlignment="1" applyProtection="1">
      <alignment wrapText="1"/>
      <protection locked="0"/>
    </xf>
    <xf numFmtId="0" fontId="6" fillId="0" borderId="76" xfId="5" applyBorder="1" applyAlignment="1" applyProtection="1">
      <alignment wrapText="1"/>
      <protection locked="0"/>
    </xf>
    <xf numFmtId="0" fontId="29" fillId="0" borderId="0" xfId="8" applyFont="1" applyFill="1" applyBorder="1" applyAlignment="1" applyProtection="1">
      <alignment horizontal="center" vertical="center" wrapText="1"/>
      <protection locked="0"/>
    </xf>
    <xf numFmtId="0" fontId="29" fillId="0" borderId="0" xfId="8" applyFont="1" applyFill="1" applyBorder="1" applyAlignment="1" applyProtection="1">
      <alignment vertical="center" wrapText="1"/>
      <protection locked="0"/>
    </xf>
    <xf numFmtId="1" fontId="21" fillId="11" borderId="40" xfId="0" applyNumberFormat="1" applyFont="1" applyFill="1" applyBorder="1"/>
    <xf numFmtId="169" fontId="91" fillId="10" borderId="62" xfId="2" applyNumberFormat="1" applyFont="1" applyFill="1" applyBorder="1" applyProtection="1">
      <protection locked="0"/>
    </xf>
    <xf numFmtId="0" fontId="194" fillId="0" borderId="0" xfId="0" applyFont="1"/>
    <xf numFmtId="0" fontId="194" fillId="0" borderId="0" xfId="0" applyFont="1" applyAlignment="1">
      <alignment vertical="top"/>
    </xf>
    <xf numFmtId="0" fontId="194" fillId="11" borderId="0" xfId="0" applyFont="1" applyFill="1"/>
    <xf numFmtId="0" fontId="196" fillId="0" borderId="0" xfId="0" applyFont="1"/>
    <xf numFmtId="0" fontId="196" fillId="0" borderId="311" xfId="0" applyFont="1" applyBorder="1" applyAlignment="1">
      <alignment vertical="top"/>
    </xf>
    <xf numFmtId="0" fontId="196" fillId="0" borderId="311" xfId="0" applyFont="1" applyBorder="1"/>
    <xf numFmtId="0" fontId="198" fillId="17" borderId="303" xfId="0" applyFont="1" applyFill="1" applyBorder="1" applyAlignment="1">
      <alignment horizontal="center"/>
    </xf>
    <xf numFmtId="0" fontId="198" fillId="17" borderId="304" xfId="0" applyFont="1" applyFill="1" applyBorder="1"/>
    <xf numFmtId="0" fontId="198" fillId="17" borderId="302" xfId="0" applyFont="1" applyFill="1" applyBorder="1"/>
    <xf numFmtId="0" fontId="196" fillId="4" borderId="305" xfId="0" applyFont="1" applyFill="1" applyBorder="1" applyAlignment="1">
      <alignment horizontal="center" vertical="center" wrapText="1"/>
    </xf>
    <xf numFmtId="0" fontId="196" fillId="0" borderId="306" xfId="0" applyFont="1" applyBorder="1" applyAlignment="1">
      <alignment vertical="center"/>
    </xf>
    <xf numFmtId="0" fontId="196" fillId="0" borderId="307" xfId="0" applyFont="1" applyBorder="1" applyAlignment="1">
      <alignment vertical="center"/>
    </xf>
    <xf numFmtId="0" fontId="196" fillId="4" borderId="308" xfId="0" applyFont="1" applyFill="1" applyBorder="1" applyAlignment="1">
      <alignment horizontal="center" vertical="center" wrapText="1"/>
    </xf>
    <xf numFmtId="0" fontId="196" fillId="0" borderId="309" xfId="0" applyFont="1" applyBorder="1" applyAlignment="1">
      <alignment vertical="center"/>
    </xf>
    <xf numFmtId="0" fontId="196" fillId="0" borderId="310" xfId="0" applyFont="1" applyBorder="1" applyAlignment="1">
      <alignment vertical="center"/>
    </xf>
    <xf numFmtId="0" fontId="196" fillId="0" borderId="309" xfId="0" applyFont="1" applyBorder="1" applyAlignment="1">
      <alignment vertical="center" wrapText="1"/>
    </xf>
    <xf numFmtId="0" fontId="196" fillId="0" borderId="310" xfId="0" applyFont="1" applyBorder="1" applyAlignment="1">
      <alignment vertical="center" wrapText="1"/>
    </xf>
    <xf numFmtId="0" fontId="70" fillId="4" borderId="0" xfId="5" applyFont="1" applyFill="1" applyAlignment="1" applyProtection="1">
      <alignment horizontal="left" vertical="center"/>
      <protection locked="0"/>
    </xf>
    <xf numFmtId="0" fontId="105" fillId="0" borderId="0" xfId="1" applyNumberFormat="1" applyFont="1" applyBorder="1" applyAlignment="1">
      <alignment vertical="top"/>
    </xf>
    <xf numFmtId="9" fontId="101" fillId="21" borderId="313" xfId="6" applyFont="1" applyFill="1" applyBorder="1" applyAlignment="1" applyProtection="1">
      <alignment horizontal="center" vertical="center"/>
      <protection locked="0"/>
    </xf>
    <xf numFmtId="170" fontId="77" fillId="4" borderId="314" xfId="2" applyNumberFormat="1" applyFont="1" applyFill="1" applyBorder="1" applyAlignment="1">
      <alignment horizontal="center" vertical="center"/>
    </xf>
    <xf numFmtId="9" fontId="199" fillId="4" borderId="312" xfId="6" applyFont="1" applyFill="1" applyBorder="1" applyAlignment="1">
      <alignment horizontal="center" vertical="center"/>
    </xf>
    <xf numFmtId="9" fontId="164" fillId="0" borderId="135" xfId="0" applyNumberFormat="1" applyFont="1" applyBorder="1" applyAlignment="1">
      <alignment horizontal="center" vertical="center"/>
    </xf>
    <xf numFmtId="0" fontId="65" fillId="4" borderId="0" xfId="0" applyFont="1" applyFill="1"/>
    <xf numFmtId="173" fontId="21" fillId="4" borderId="0" xfId="2" applyNumberFormat="1" applyFont="1" applyFill="1" applyBorder="1" applyAlignment="1">
      <alignment horizontal="center" vertical="center"/>
    </xf>
    <xf numFmtId="0" fontId="65" fillId="0" borderId="68" xfId="0" applyFont="1" applyBorder="1" applyAlignment="1">
      <alignment horizontal="left"/>
    </xf>
    <xf numFmtId="173" fontId="26" fillId="4" borderId="315" xfId="0" applyNumberFormat="1" applyFont="1" applyFill="1" applyBorder="1" applyAlignment="1">
      <alignment horizontal="left"/>
    </xf>
    <xf numFmtId="173" fontId="33" fillId="4" borderId="250" xfId="0" applyNumberFormat="1" applyFont="1" applyFill="1" applyBorder="1" applyAlignment="1">
      <alignment horizontal="left"/>
    </xf>
    <xf numFmtId="0" fontId="0" fillId="6" borderId="0" xfId="0" applyFill="1" applyAlignment="1">
      <alignment wrapText="1"/>
    </xf>
    <xf numFmtId="9" fontId="9" fillId="4" borderId="60" xfId="6" applyFont="1" applyFill="1" applyBorder="1" applyAlignment="1">
      <alignment horizontal="left"/>
    </xf>
    <xf numFmtId="0" fontId="105" fillId="4" borderId="0" xfId="1" applyNumberFormat="1" applyFont="1" applyFill="1" applyBorder="1" applyAlignment="1">
      <alignment vertical="top"/>
    </xf>
    <xf numFmtId="0" fontId="104" fillId="4" borderId="0" xfId="1" applyNumberFormat="1" applyFont="1" applyFill="1" applyBorder="1" applyAlignment="1">
      <alignment vertical="top"/>
    </xf>
    <xf numFmtId="0" fontId="110" fillId="4" borderId="0" xfId="5" applyFont="1" applyFill="1" applyAlignment="1">
      <alignment vertical="center"/>
    </xf>
    <xf numFmtId="0" fontId="110" fillId="4" borderId="0" xfId="5" applyFont="1" applyFill="1" applyAlignment="1">
      <alignment horizontal="left" vertical="center"/>
    </xf>
    <xf numFmtId="0" fontId="156" fillId="4" borderId="0" xfId="5" applyFont="1" applyFill="1" applyAlignment="1">
      <alignment vertical="center"/>
    </xf>
    <xf numFmtId="0" fontId="157" fillId="4" borderId="0" xfId="5" applyFont="1" applyFill="1" applyAlignment="1">
      <alignment vertical="center"/>
    </xf>
    <xf numFmtId="0" fontId="83" fillId="4" borderId="57" xfId="1" applyNumberFormat="1" applyFont="1" applyFill="1" applyBorder="1" applyAlignment="1">
      <alignment vertical="top"/>
    </xf>
    <xf numFmtId="0" fontId="0" fillId="0" borderId="57" xfId="0" applyBorder="1"/>
    <xf numFmtId="0" fontId="108" fillId="0" borderId="0" xfId="1" applyNumberFormat="1" applyFont="1" applyBorder="1" applyAlignment="1">
      <alignment horizontal="left" vertical="top" wrapText="1"/>
    </xf>
    <xf numFmtId="0" fontId="112" fillId="0" borderId="220" xfId="1" applyNumberFormat="1" applyFont="1" applyBorder="1" applyAlignment="1">
      <alignment vertical="top"/>
    </xf>
    <xf numFmtId="0" fontId="9" fillId="0" borderId="0" xfId="5" applyFont="1" applyAlignment="1">
      <alignment horizontal="left"/>
    </xf>
    <xf numFmtId="173" fontId="101" fillId="4" borderId="0" xfId="2" applyNumberFormat="1" applyFont="1" applyFill="1" applyBorder="1" applyAlignment="1" applyProtection="1">
      <alignment horizontal="left"/>
      <protection locked="0"/>
    </xf>
    <xf numFmtId="0" fontId="38" fillId="4" borderId="0" xfId="0" applyFont="1" applyFill="1" applyProtection="1">
      <protection locked="0"/>
    </xf>
    <xf numFmtId="0" fontId="69" fillId="11" borderId="100" xfId="5" applyFont="1" applyFill="1" applyBorder="1" applyAlignment="1">
      <alignment horizontal="left" vertical="center"/>
    </xf>
    <xf numFmtId="0" fontId="69" fillId="11" borderId="316" xfId="5" applyFont="1" applyFill="1" applyBorder="1" applyAlignment="1" applyProtection="1">
      <alignment horizontal="left"/>
      <protection locked="0"/>
    </xf>
    <xf numFmtId="0" fontId="69" fillId="11" borderId="71" xfId="5" applyFont="1" applyFill="1" applyBorder="1" applyAlignment="1" applyProtection="1">
      <alignment horizontal="left"/>
      <protection locked="0"/>
    </xf>
    <xf numFmtId="0" fontId="9" fillId="0" borderId="63" xfId="5" applyFont="1" applyBorder="1" applyAlignment="1">
      <alignment horizontal="left"/>
    </xf>
    <xf numFmtId="173" fontId="101" fillId="4" borderId="97" xfId="2" applyNumberFormat="1" applyFont="1" applyFill="1" applyBorder="1" applyAlignment="1" applyProtection="1">
      <alignment horizontal="left"/>
      <protection locked="0"/>
    </xf>
    <xf numFmtId="0" fontId="38" fillId="21" borderId="317" xfId="0" applyFont="1" applyFill="1" applyBorder="1" applyProtection="1">
      <protection locked="0"/>
    </xf>
    <xf numFmtId="173" fontId="194" fillId="0" borderId="0" xfId="2" applyNumberFormat="1" applyFont="1"/>
    <xf numFmtId="9" fontId="194" fillId="0" borderId="0" xfId="6" applyFont="1" applyAlignment="1">
      <alignment horizontal="right" vertical="center"/>
    </xf>
    <xf numFmtId="173" fontId="194" fillId="0" borderId="0" xfId="2" applyNumberFormat="1" applyFont="1" applyAlignment="1">
      <alignment horizontal="right"/>
    </xf>
    <xf numFmtId="173" fontId="194" fillId="20" borderId="0" xfId="2" applyNumberFormat="1" applyFont="1" applyFill="1"/>
    <xf numFmtId="9" fontId="194" fillId="20" borderId="0" xfId="6" applyFont="1" applyFill="1"/>
    <xf numFmtId="0" fontId="9" fillId="4" borderId="21" xfId="0" applyFont="1" applyFill="1" applyBorder="1" applyAlignment="1">
      <alignment horizontal="left" vertical="center"/>
    </xf>
    <xf numFmtId="173" fontId="9" fillId="4" borderId="318" xfId="2" applyNumberFormat="1" applyFont="1" applyFill="1" applyBorder="1" applyAlignment="1">
      <alignment horizontal="center" vertical="center"/>
    </xf>
    <xf numFmtId="173" fontId="9" fillId="4" borderId="22" xfId="2" applyNumberFormat="1" applyFont="1" applyFill="1" applyBorder="1" applyAlignment="1">
      <alignment horizontal="center" vertical="center"/>
    </xf>
    <xf numFmtId="0" fontId="33" fillId="4" borderId="0" xfId="0" applyFont="1" applyFill="1" applyAlignment="1">
      <alignment horizontal="left"/>
    </xf>
    <xf numFmtId="173" fontId="33" fillId="4" borderId="20" xfId="2" applyNumberFormat="1" applyFont="1" applyFill="1" applyBorder="1" applyAlignment="1">
      <alignment horizontal="center"/>
    </xf>
    <xf numFmtId="1" fontId="33" fillId="4" borderId="20" xfId="0" applyNumberFormat="1" applyFont="1" applyFill="1" applyBorder="1" applyAlignment="1">
      <alignment horizontal="center"/>
    </xf>
    <xf numFmtId="9" fontId="33" fillId="4" borderId="22" xfId="0" applyNumberFormat="1" applyFont="1" applyFill="1" applyBorder="1" applyAlignment="1">
      <alignment horizontal="center"/>
    </xf>
    <xf numFmtId="0" fontId="164" fillId="4" borderId="19" xfId="0" applyFont="1" applyFill="1" applyBorder="1" applyAlignment="1">
      <alignment horizontal="left"/>
    </xf>
    <xf numFmtId="173" fontId="164" fillId="4" borderId="20" xfId="2" applyNumberFormat="1" applyFont="1" applyFill="1" applyBorder="1" applyAlignment="1">
      <alignment horizontal="center"/>
    </xf>
    <xf numFmtId="0" fontId="164" fillId="4" borderId="21" xfId="0" applyFont="1" applyFill="1" applyBorder="1" applyAlignment="1">
      <alignment horizontal="left"/>
    </xf>
    <xf numFmtId="9" fontId="200" fillId="4" borderId="22" xfId="0" applyNumberFormat="1" applyFont="1" applyFill="1" applyBorder="1" applyAlignment="1">
      <alignment horizontal="center"/>
    </xf>
    <xf numFmtId="173" fontId="77" fillId="4" borderId="320" xfId="2" applyNumberFormat="1" applyFont="1" applyFill="1" applyBorder="1" applyAlignment="1">
      <alignment horizontal="left"/>
    </xf>
    <xf numFmtId="165" fontId="65" fillId="4" borderId="319" xfId="0" applyNumberFormat="1" applyFont="1" applyFill="1" applyBorder="1" applyAlignment="1">
      <alignment horizontal="left"/>
    </xf>
    <xf numFmtId="0" fontId="108" fillId="0" borderId="0" xfId="1" applyNumberFormat="1" applyFont="1" applyBorder="1" applyAlignment="1">
      <alignment vertical="top" wrapText="1"/>
    </xf>
    <xf numFmtId="182" fontId="0" fillId="0" borderId="0" xfId="0" applyNumberFormat="1"/>
    <xf numFmtId="4" fontId="0" fillId="0" borderId="0" xfId="0" applyNumberFormat="1"/>
    <xf numFmtId="0" fontId="70" fillId="0" borderId="0" xfId="0" applyFont="1" applyAlignment="1">
      <alignment horizontal="left" vertical="top" wrapText="1"/>
    </xf>
    <xf numFmtId="0" fontId="70" fillId="0" borderId="0" xfId="0" applyFont="1" applyAlignment="1">
      <alignment horizontal="center" wrapText="1"/>
    </xf>
    <xf numFmtId="14" fontId="0" fillId="4" borderId="0" xfId="0" applyNumberFormat="1" applyFill="1"/>
    <xf numFmtId="14" fontId="0" fillId="0" borderId="220" xfId="0" applyNumberFormat="1" applyBorder="1" applyAlignment="1">
      <alignment horizontal="center" vertical="center" wrapText="1"/>
    </xf>
    <xf numFmtId="0" fontId="20" fillId="4" borderId="0" xfId="1" applyNumberFormat="1" applyFont="1" applyFill="1" applyAlignment="1">
      <alignment horizontal="left" vertical="top" indent="2"/>
    </xf>
    <xf numFmtId="0" fontId="133" fillId="17" borderId="0" xfId="5" applyFont="1" applyFill="1" applyAlignment="1">
      <alignment horizontal="center" vertical="center"/>
    </xf>
    <xf numFmtId="0" fontId="133" fillId="17" borderId="222" xfId="5" applyFont="1" applyFill="1" applyBorder="1" applyAlignment="1">
      <alignment horizontal="center" vertical="center"/>
    </xf>
    <xf numFmtId="14" fontId="6" fillId="0" borderId="0" xfId="5" applyNumberFormat="1"/>
    <xf numFmtId="0" fontId="203" fillId="28" borderId="36" xfId="0" applyFont="1" applyFill="1" applyBorder="1" applyAlignment="1">
      <alignment vertical="center" wrapText="1"/>
    </xf>
    <xf numFmtId="0" fontId="203" fillId="28" borderId="296" xfId="0" applyFont="1" applyFill="1" applyBorder="1" applyAlignment="1">
      <alignment vertical="center" wrapText="1"/>
    </xf>
    <xf numFmtId="0" fontId="203" fillId="28" borderId="44" xfId="0" applyFont="1" applyFill="1" applyBorder="1" applyAlignment="1">
      <alignment vertical="center" wrapText="1"/>
    </xf>
    <xf numFmtId="0" fontId="203" fillId="28" borderId="16" xfId="0" applyFont="1" applyFill="1" applyBorder="1" applyAlignment="1">
      <alignment vertical="center" wrapText="1"/>
    </xf>
    <xf numFmtId="0" fontId="21" fillId="0" borderId="321" xfId="4" applyFont="1" applyFill="1" applyBorder="1" applyAlignment="1" applyProtection="1">
      <alignment vertical="center" wrapText="1"/>
    </xf>
    <xf numFmtId="169" fontId="101" fillId="0" borderId="322" xfId="2" applyNumberFormat="1" applyFont="1" applyFill="1" applyBorder="1" applyAlignment="1" applyProtection="1">
      <alignment vertical="center"/>
      <protection locked="0"/>
    </xf>
    <xf numFmtId="0" fontId="65" fillId="4" borderId="66" xfId="0" applyFont="1" applyFill="1" applyBorder="1" applyAlignment="1">
      <alignment horizontal="left" vertical="center"/>
    </xf>
    <xf numFmtId="0" fontId="9" fillId="0" borderId="170" xfId="0" applyFont="1" applyBorder="1"/>
    <xf numFmtId="0" fontId="65" fillId="4" borderId="149" xfId="0" applyFont="1" applyFill="1" applyBorder="1" applyAlignment="1">
      <alignment horizontal="left" vertical="center"/>
    </xf>
    <xf numFmtId="0" fontId="9" fillId="0" borderId="145" xfId="0" applyFont="1" applyBorder="1"/>
    <xf numFmtId="14" fontId="6" fillId="11" borderId="0" xfId="5" applyNumberFormat="1" applyFill="1"/>
    <xf numFmtId="0" fontId="0" fillId="6" borderId="0" xfId="5" applyFont="1" applyFill="1"/>
    <xf numFmtId="0" fontId="108" fillId="17" borderId="153" xfId="5" applyFont="1" applyFill="1" applyBorder="1" applyAlignment="1">
      <alignment horizontal="left" vertical="center" wrapText="1"/>
    </xf>
    <xf numFmtId="0" fontId="108" fillId="17" borderId="0" xfId="5" applyFont="1" applyFill="1" applyAlignment="1">
      <alignment horizontal="left" vertical="center" wrapText="1"/>
    </xf>
    <xf numFmtId="0" fontId="108" fillId="17" borderId="156" xfId="5" applyFont="1" applyFill="1" applyBorder="1" applyAlignment="1">
      <alignment horizontal="left" vertical="center" wrapText="1"/>
    </xf>
    <xf numFmtId="0" fontId="108" fillId="17" borderId="102" xfId="5" applyFont="1" applyFill="1" applyBorder="1" applyAlignment="1">
      <alignment horizontal="left" vertical="center" wrapText="1"/>
    </xf>
    <xf numFmtId="0" fontId="108" fillId="17" borderId="159" xfId="5" applyFont="1" applyFill="1" applyBorder="1" applyAlignment="1">
      <alignment horizontal="left" vertical="center" wrapText="1"/>
    </xf>
    <xf numFmtId="0" fontId="109" fillId="17" borderId="161" xfId="5" applyFont="1" applyFill="1" applyBorder="1" applyAlignment="1">
      <alignment horizontal="center" vertical="center"/>
    </xf>
    <xf numFmtId="0" fontId="109" fillId="17" borderId="162" xfId="5" applyFont="1" applyFill="1" applyBorder="1" applyAlignment="1">
      <alignment horizontal="center" vertical="center"/>
    </xf>
    <xf numFmtId="0" fontId="109" fillId="17" borderId="163" xfId="5" applyFont="1" applyFill="1" applyBorder="1" applyAlignment="1">
      <alignment horizontal="center" vertical="center"/>
    </xf>
    <xf numFmtId="0" fontId="15" fillId="17" borderId="102" xfId="1" quotePrefix="1" applyNumberFormat="1" applyFont="1" applyFill="1" applyBorder="1" applyAlignment="1">
      <alignment horizontal="left" vertical="center" wrapText="1"/>
    </xf>
    <xf numFmtId="0" fontId="122" fillId="17" borderId="173" xfId="5" applyFont="1" applyFill="1" applyBorder="1" applyAlignment="1">
      <alignment horizontal="left" vertical="center"/>
    </xf>
    <xf numFmtId="0" fontId="122" fillId="17" borderId="195" xfId="5" applyFont="1" applyFill="1" applyBorder="1" applyAlignment="1">
      <alignment horizontal="left" vertical="center"/>
    </xf>
    <xf numFmtId="0" fontId="122" fillId="17" borderId="196" xfId="5" applyFont="1" applyFill="1" applyBorder="1" applyAlignment="1">
      <alignment horizontal="left" vertical="center"/>
    </xf>
    <xf numFmtId="0" fontId="108" fillId="17" borderId="156" xfId="5" applyFont="1" applyFill="1" applyBorder="1" applyAlignment="1">
      <alignment horizontal="left" vertical="center" wrapText="1" indent="1"/>
    </xf>
    <xf numFmtId="0" fontId="108" fillId="17" borderId="102" xfId="5" applyFont="1" applyFill="1" applyBorder="1" applyAlignment="1">
      <alignment horizontal="left" vertical="center" wrapText="1" indent="1"/>
    </xf>
    <xf numFmtId="0" fontId="108" fillId="17" borderId="159" xfId="5" applyFont="1" applyFill="1" applyBorder="1" applyAlignment="1">
      <alignment horizontal="left" vertical="center" wrapText="1" indent="1"/>
    </xf>
    <xf numFmtId="168" fontId="36" fillId="17" borderId="162" xfId="1" applyFont="1" applyFill="1" applyBorder="1" applyAlignment="1">
      <alignment horizontal="center" vertical="center"/>
    </xf>
    <xf numFmtId="168" fontId="36" fillId="17" borderId="163" xfId="1" applyFont="1" applyFill="1" applyBorder="1" applyAlignment="1">
      <alignment horizontal="center" vertical="center"/>
    </xf>
    <xf numFmtId="0" fontId="15" fillId="17" borderId="0" xfId="1" applyNumberFormat="1" applyFont="1" applyFill="1" applyBorder="1" applyAlignment="1">
      <alignment horizontal="left" vertical="center" wrapText="1"/>
    </xf>
    <xf numFmtId="0" fontId="15" fillId="17" borderId="102" xfId="1" applyNumberFormat="1" applyFont="1" applyFill="1" applyBorder="1" applyAlignment="1">
      <alignment horizontal="left" vertical="center" wrapText="1"/>
    </xf>
    <xf numFmtId="0" fontId="15" fillId="17" borderId="101" xfId="1" quotePrefix="1" applyNumberFormat="1" applyFont="1" applyFill="1" applyBorder="1" applyAlignment="1">
      <alignment horizontal="left" vertical="center" wrapText="1"/>
    </xf>
    <xf numFmtId="0" fontId="15" fillId="17" borderId="0" xfId="1" quotePrefix="1" applyNumberFormat="1" applyFont="1" applyFill="1" applyAlignment="1">
      <alignment horizontal="left" vertical="center" wrapText="1"/>
    </xf>
    <xf numFmtId="0" fontId="122" fillId="17" borderId="156" xfId="5" applyFont="1" applyFill="1" applyBorder="1" applyAlignment="1">
      <alignment horizontal="left" vertical="center"/>
    </xf>
    <xf numFmtId="0" fontId="122" fillId="17" borderId="102" xfId="5" applyFont="1" applyFill="1" applyBorder="1" applyAlignment="1">
      <alignment horizontal="left" vertical="center"/>
    </xf>
    <xf numFmtId="0" fontId="108" fillId="17" borderId="155" xfId="5" applyFont="1" applyFill="1" applyBorder="1" applyAlignment="1">
      <alignment horizontal="left" vertical="center" wrapText="1"/>
    </xf>
    <xf numFmtId="0" fontId="108" fillId="17" borderId="101" xfId="5" applyFont="1" applyFill="1" applyBorder="1" applyAlignment="1">
      <alignment horizontal="left" vertical="center" wrapText="1"/>
    </xf>
    <xf numFmtId="0" fontId="108" fillId="17" borderId="158" xfId="5" applyFont="1" applyFill="1" applyBorder="1" applyAlignment="1">
      <alignment horizontal="left" vertical="center" wrapText="1"/>
    </xf>
    <xf numFmtId="0" fontId="108" fillId="17" borderId="152" xfId="5" applyFont="1" applyFill="1" applyBorder="1" applyAlignment="1">
      <alignment horizontal="left" vertical="center" wrapText="1"/>
    </xf>
    <xf numFmtId="0" fontId="14" fillId="0" borderId="0" xfId="1" applyNumberFormat="1" applyFont="1" applyFill="1" applyAlignment="1">
      <alignment horizontal="left" vertical="top"/>
    </xf>
    <xf numFmtId="0" fontId="108" fillId="17" borderId="155" xfId="5" applyFont="1" applyFill="1" applyBorder="1" applyAlignment="1">
      <alignment horizontal="left" vertical="center" wrapText="1" indent="1"/>
    </xf>
    <xf numFmtId="0" fontId="108" fillId="17" borderId="101" xfId="5" applyFont="1" applyFill="1" applyBorder="1" applyAlignment="1">
      <alignment horizontal="left" vertical="center" wrapText="1" indent="1"/>
    </xf>
    <xf numFmtId="0" fontId="108" fillId="17" borderId="158" xfId="5" applyFont="1" applyFill="1" applyBorder="1" applyAlignment="1">
      <alignment horizontal="left" vertical="center" wrapText="1" indent="1"/>
    </xf>
    <xf numFmtId="0" fontId="108" fillId="17" borderId="153" xfId="5" applyFont="1" applyFill="1" applyBorder="1" applyAlignment="1">
      <alignment horizontal="left" vertical="center" wrapText="1" indent="1"/>
    </xf>
    <xf numFmtId="0" fontId="108" fillId="17" borderId="0" xfId="5" applyFont="1" applyFill="1" applyAlignment="1">
      <alignment horizontal="left" vertical="center" wrapText="1" indent="1"/>
    </xf>
    <xf numFmtId="0" fontId="108" fillId="17" borderId="157" xfId="5" applyFont="1" applyFill="1" applyBorder="1" applyAlignment="1">
      <alignment horizontal="left" vertical="center" wrapText="1" indent="1"/>
    </xf>
    <xf numFmtId="0" fontId="108" fillId="17" borderId="154" xfId="5" applyFont="1" applyFill="1" applyBorder="1" applyAlignment="1">
      <alignment horizontal="left" vertical="center" wrapText="1" indent="1"/>
    </xf>
    <xf numFmtId="0" fontId="108" fillId="17" borderId="103" xfId="5" applyFont="1" applyFill="1" applyBorder="1" applyAlignment="1">
      <alignment horizontal="left" vertical="center" wrapText="1" indent="1"/>
    </xf>
    <xf numFmtId="0" fontId="108" fillId="17" borderId="160" xfId="5" applyFont="1" applyFill="1" applyBorder="1" applyAlignment="1">
      <alignment horizontal="left" vertical="center" wrapText="1" indent="1"/>
    </xf>
    <xf numFmtId="0" fontId="133" fillId="17" borderId="173" xfId="5" applyFont="1" applyFill="1" applyBorder="1" applyAlignment="1">
      <alignment horizontal="center" vertical="center"/>
    </xf>
    <xf numFmtId="0" fontId="127" fillId="17" borderId="0" xfId="5" applyFont="1" applyFill="1" applyAlignment="1">
      <alignment horizontal="left" vertical="top" wrapText="1"/>
    </xf>
    <xf numFmtId="0" fontId="26" fillId="0" borderId="194" xfId="0" applyFont="1" applyBorder="1" applyAlignment="1">
      <alignment horizontal="center" vertical="center" wrapText="1"/>
    </xf>
    <xf numFmtId="0" fontId="26" fillId="0" borderId="179" xfId="0" applyFont="1" applyBorder="1" applyAlignment="1">
      <alignment horizontal="center" vertical="center" wrapText="1"/>
    </xf>
    <xf numFmtId="0" fontId="26" fillId="0" borderId="180" xfId="0" applyFont="1" applyBorder="1" applyAlignment="1">
      <alignment horizontal="center" vertical="center" wrapText="1"/>
    </xf>
    <xf numFmtId="0" fontId="21" fillId="11" borderId="165" xfId="0" applyFont="1" applyFill="1" applyBorder="1" applyAlignment="1">
      <alignment horizontal="center" vertical="center"/>
    </xf>
    <xf numFmtId="0" fontId="21" fillId="11" borderId="167" xfId="0" applyFont="1" applyFill="1" applyBorder="1" applyAlignment="1">
      <alignment horizontal="center" vertical="center"/>
    </xf>
    <xf numFmtId="0" fontId="21" fillId="11" borderId="105" xfId="0" applyFont="1" applyFill="1" applyBorder="1" applyAlignment="1">
      <alignment horizontal="center" vertical="center"/>
    </xf>
    <xf numFmtId="0" fontId="133" fillId="17" borderId="228" xfId="5" applyFont="1" applyFill="1" applyBorder="1" applyAlignment="1">
      <alignment horizontal="center" vertical="center"/>
    </xf>
    <xf numFmtId="0" fontId="133" fillId="17" borderId="229" xfId="5" applyFont="1" applyFill="1" applyBorder="1" applyAlignment="1">
      <alignment horizontal="center" vertical="center"/>
    </xf>
    <xf numFmtId="0" fontId="20" fillId="4" borderId="0" xfId="1" applyNumberFormat="1" applyFont="1" applyFill="1" applyAlignment="1">
      <alignment horizontal="left" vertical="top" indent="2"/>
    </xf>
    <xf numFmtId="0" fontId="26" fillId="0" borderId="85" xfId="0" applyFont="1" applyBorder="1" applyAlignment="1">
      <alignment horizontal="center" vertical="center" wrapText="1"/>
    </xf>
    <xf numFmtId="0" fontId="26" fillId="0" borderId="93" xfId="0" applyFont="1" applyBorder="1" applyAlignment="1">
      <alignment horizontal="center" vertical="center" wrapText="1"/>
    </xf>
    <xf numFmtId="0" fontId="26" fillId="0" borderId="94" xfId="0" applyFont="1" applyBorder="1" applyAlignment="1">
      <alignment horizontal="center" vertical="center" wrapText="1"/>
    </xf>
    <xf numFmtId="0" fontId="102" fillId="10" borderId="1" xfId="0" applyFont="1" applyFill="1" applyBorder="1" applyAlignment="1" applyProtection="1">
      <alignment horizontal="center"/>
      <protection locked="0"/>
    </xf>
    <xf numFmtId="0" fontId="102" fillId="10" borderId="2" xfId="0" applyFont="1" applyFill="1" applyBorder="1" applyAlignment="1" applyProtection="1">
      <alignment horizontal="center"/>
      <protection locked="0"/>
    </xf>
    <xf numFmtId="0" fontId="21" fillId="4" borderId="0" xfId="0" applyFont="1" applyFill="1" applyAlignment="1">
      <alignment horizontal="left" vertical="center" wrapText="1"/>
    </xf>
    <xf numFmtId="0" fontId="21" fillId="4" borderId="40" xfId="0" applyFont="1" applyFill="1" applyBorder="1" applyAlignment="1">
      <alignment horizontal="left" vertical="center" wrapText="1"/>
    </xf>
    <xf numFmtId="0" fontId="70" fillId="0" borderId="57" xfId="0" applyFont="1" applyBorder="1" applyAlignment="1">
      <alignment horizontal="center" wrapText="1"/>
    </xf>
    <xf numFmtId="0" fontId="21" fillId="11" borderId="208" xfId="3" applyFont="1" applyFill="1" applyBorder="1" applyAlignment="1" applyProtection="1">
      <alignment horizontal="center" vertical="center" wrapText="1"/>
      <protection locked="0"/>
    </xf>
    <xf numFmtId="0" fontId="21" fillId="11" borderId="183" xfId="3" applyFont="1" applyFill="1" applyBorder="1" applyAlignment="1" applyProtection="1">
      <alignment horizontal="center" vertical="center" wrapText="1"/>
      <protection locked="0"/>
    </xf>
    <xf numFmtId="0" fontId="9" fillId="4" borderId="1" xfId="0" applyFont="1" applyFill="1" applyBorder="1" applyAlignment="1" applyProtection="1">
      <alignment horizontal="center" vertical="center"/>
      <protection locked="0"/>
    </xf>
    <xf numFmtId="0" fontId="9" fillId="4" borderId="2" xfId="0" applyFont="1" applyFill="1" applyBorder="1" applyAlignment="1" applyProtection="1">
      <alignment horizontal="center" vertical="center"/>
      <protection locked="0"/>
    </xf>
    <xf numFmtId="0" fontId="70" fillId="4" borderId="0" xfId="5" applyFont="1" applyFill="1" applyAlignment="1" applyProtection="1">
      <alignment horizontal="left" vertical="center"/>
      <protection locked="0"/>
    </xf>
    <xf numFmtId="0" fontId="66" fillId="4" borderId="0" xfId="0" applyFont="1" applyFill="1" applyAlignment="1">
      <alignment horizontal="center"/>
    </xf>
    <xf numFmtId="0" fontId="66" fillId="4" borderId="0" xfId="5" applyFont="1" applyFill="1" applyAlignment="1">
      <alignment horizontal="center"/>
    </xf>
    <xf numFmtId="0" fontId="29" fillId="11" borderId="107" xfId="8" applyFont="1" applyFill="1" applyBorder="1" applyAlignment="1" applyProtection="1">
      <alignment horizontal="left" vertical="center" wrapText="1"/>
      <protection locked="0"/>
    </xf>
    <xf numFmtId="0" fontId="29" fillId="11" borderId="108" xfId="8" applyFont="1" applyFill="1" applyBorder="1" applyAlignment="1" applyProtection="1">
      <alignment horizontal="left" vertical="center" wrapText="1"/>
      <protection locked="0"/>
    </xf>
    <xf numFmtId="0" fontId="8" fillId="0" borderId="0" xfId="3" applyFont="1" applyFill="1" applyBorder="1" applyAlignment="1" applyProtection="1">
      <alignment horizontal="left"/>
    </xf>
    <xf numFmtId="0" fontId="25" fillId="0" borderId="0" xfId="0" applyFont="1" applyAlignment="1" applyProtection="1">
      <alignment horizontal="left"/>
      <protection locked="0"/>
    </xf>
    <xf numFmtId="172" fontId="6" fillId="0" borderId="0" xfId="5" applyNumberFormat="1" applyAlignment="1" applyProtection="1">
      <alignment horizontal="center" wrapText="1"/>
      <protection locked="0"/>
    </xf>
    <xf numFmtId="0" fontId="9" fillId="4" borderId="190" xfId="0" applyFont="1" applyFill="1" applyBorder="1" applyAlignment="1" applyProtection="1">
      <alignment horizontal="center" vertical="center"/>
      <protection locked="0"/>
    </xf>
    <xf numFmtId="0" fontId="9" fillId="4" borderId="33" xfId="0" applyFont="1" applyFill="1" applyBorder="1" applyAlignment="1" applyProtection="1">
      <alignment horizontal="center" vertical="center"/>
      <protection locked="0"/>
    </xf>
    <xf numFmtId="0" fontId="0" fillId="0" borderId="0" xfId="0" quotePrefix="1" applyAlignment="1" applyProtection="1">
      <alignment horizontal="left" vertical="top" wrapText="1"/>
      <protection locked="0"/>
    </xf>
    <xf numFmtId="0" fontId="8" fillId="0" borderId="0" xfId="3" applyFont="1" applyFill="1" applyBorder="1" applyAlignment="1" applyProtection="1">
      <alignment horizontal="left" wrapText="1"/>
    </xf>
    <xf numFmtId="0" fontId="30" fillId="0" borderId="0" xfId="0" applyFont="1" applyAlignment="1">
      <alignment horizontal="left" wrapText="1"/>
    </xf>
    <xf numFmtId="0" fontId="30" fillId="0" borderId="40" xfId="0" applyFont="1" applyBorder="1" applyAlignment="1">
      <alignment horizontal="left" wrapText="1"/>
    </xf>
    <xf numFmtId="0" fontId="21" fillId="11" borderId="31" xfId="3" applyFont="1" applyFill="1" applyBorder="1" applyAlignment="1" applyProtection="1">
      <alignment horizontal="center" vertical="center" wrapText="1"/>
      <protection locked="0"/>
    </xf>
    <xf numFmtId="0" fontId="21" fillId="11" borderId="186" xfId="3" applyFont="1" applyFill="1" applyBorder="1" applyAlignment="1" applyProtection="1">
      <alignment horizontal="center" vertical="center" wrapText="1"/>
      <protection locked="0"/>
    </xf>
    <xf numFmtId="0" fontId="21" fillId="11" borderId="187" xfId="3" applyFont="1" applyFill="1" applyBorder="1" applyAlignment="1" applyProtection="1">
      <alignment horizontal="center" vertical="center" wrapText="1"/>
      <protection locked="0"/>
    </xf>
    <xf numFmtId="0" fontId="21" fillId="11" borderId="188" xfId="3" applyFont="1" applyFill="1" applyBorder="1" applyAlignment="1" applyProtection="1">
      <alignment horizontal="center" vertical="center" wrapText="1"/>
      <protection locked="0"/>
    </xf>
    <xf numFmtId="0" fontId="21" fillId="11" borderId="4" xfId="3" applyFont="1" applyFill="1" applyBorder="1" applyAlignment="1" applyProtection="1">
      <alignment horizontal="center" vertical="center" wrapText="1"/>
      <protection locked="0"/>
    </xf>
    <xf numFmtId="0" fontId="21" fillId="11" borderId="28" xfId="3" applyFont="1" applyFill="1" applyBorder="1" applyAlignment="1" applyProtection="1">
      <alignment horizontal="center" vertical="center" wrapText="1"/>
      <protection locked="0"/>
    </xf>
    <xf numFmtId="0" fontId="70" fillId="0" borderId="57" xfId="0" applyFont="1" applyBorder="1" applyAlignment="1">
      <alignment horizontal="left" vertical="top" wrapText="1"/>
    </xf>
    <xf numFmtId="9" fontId="9" fillId="0" borderId="1" xfId="6" applyFont="1" applyFill="1" applyBorder="1" applyAlignment="1" applyProtection="1">
      <alignment horizontal="center" vertical="center"/>
    </xf>
    <xf numFmtId="9" fontId="9" fillId="0" borderId="2" xfId="6" applyFont="1" applyFill="1" applyBorder="1" applyAlignment="1" applyProtection="1">
      <alignment horizontal="center" vertical="center"/>
    </xf>
    <xf numFmtId="0" fontId="155" fillId="17" borderId="98" xfId="5" applyFont="1" applyFill="1" applyBorder="1" applyAlignment="1">
      <alignment horizontal="center" vertical="center"/>
    </xf>
    <xf numFmtId="0" fontId="155" fillId="17" borderId="99" xfId="5" applyFont="1" applyFill="1" applyBorder="1" applyAlignment="1">
      <alignment horizontal="center" vertical="center"/>
    </xf>
    <xf numFmtId="0" fontId="155" fillId="17" borderId="216" xfId="5" applyFont="1" applyFill="1" applyBorder="1" applyAlignment="1">
      <alignment horizontal="center" vertical="center"/>
    </xf>
    <xf numFmtId="0" fontId="29" fillId="11" borderId="1" xfId="3" applyFont="1" applyFill="1" applyBorder="1" applyAlignment="1" applyProtection="1">
      <alignment horizontal="center" vertical="center"/>
    </xf>
    <xf numFmtId="0" fontId="29" fillId="11" borderId="2" xfId="3" applyFont="1" applyFill="1" applyBorder="1" applyAlignment="1" applyProtection="1">
      <alignment horizontal="center" vertical="center"/>
    </xf>
    <xf numFmtId="0" fontId="141" fillId="4" borderId="0" xfId="0" applyFont="1" applyFill="1" applyAlignment="1">
      <alignment horizontal="left" wrapText="1"/>
    </xf>
    <xf numFmtId="171" fontId="70" fillId="0" borderId="0" xfId="0" applyNumberFormat="1" applyFont="1" applyAlignment="1" applyProtection="1">
      <alignment horizontal="left" vertical="center" wrapText="1"/>
      <protection locked="0"/>
    </xf>
    <xf numFmtId="0" fontId="102" fillId="21" borderId="54" xfId="0" quotePrefix="1" applyFont="1" applyFill="1" applyBorder="1" applyAlignment="1" applyProtection="1">
      <alignment horizontal="left" vertical="center" wrapText="1"/>
      <protection locked="0"/>
    </xf>
    <xf numFmtId="0" fontId="102" fillId="21" borderId="55" xfId="0" quotePrefix="1" applyFont="1" applyFill="1" applyBorder="1" applyAlignment="1" applyProtection="1">
      <alignment horizontal="left" vertical="center" wrapText="1"/>
      <protection locked="0"/>
    </xf>
    <xf numFmtId="0" fontId="194" fillId="0" borderId="0" xfId="0" applyFont="1" applyAlignment="1">
      <alignment horizontal="center"/>
    </xf>
    <xf numFmtId="0" fontId="29" fillId="17" borderId="39" xfId="3" applyFont="1" applyFill="1" applyBorder="1" applyAlignment="1">
      <alignment horizontal="center" vertical="center" wrapText="1"/>
    </xf>
    <xf numFmtId="0" fontId="29" fillId="17" borderId="25" xfId="3" applyFont="1" applyFill="1" applyBorder="1" applyAlignment="1">
      <alignment horizontal="center" vertical="center" wrapText="1"/>
    </xf>
    <xf numFmtId="0" fontId="65" fillId="11" borderId="98" xfId="0" applyFont="1" applyFill="1" applyBorder="1" applyAlignment="1">
      <alignment horizontal="left" vertical="center" wrapText="1"/>
    </xf>
    <xf numFmtId="0" fontId="65" fillId="11" borderId="166" xfId="0" applyFont="1" applyFill="1" applyBorder="1" applyAlignment="1">
      <alignment horizontal="left" vertical="center" wrapText="1"/>
    </xf>
    <xf numFmtId="0" fontId="21" fillId="11" borderId="39" xfId="0" applyFont="1" applyFill="1" applyBorder="1" applyAlignment="1" applyProtection="1">
      <alignment horizontal="center" vertical="center"/>
      <protection locked="0"/>
    </xf>
    <xf numFmtId="0" fontId="21" fillId="11" borderId="25" xfId="0" applyFont="1" applyFill="1" applyBorder="1" applyAlignment="1" applyProtection="1">
      <alignment horizontal="center" vertical="center"/>
      <protection locked="0"/>
    </xf>
    <xf numFmtId="0" fontId="108" fillId="0" borderId="0" xfId="1" applyNumberFormat="1" applyFont="1" applyBorder="1" applyAlignment="1">
      <alignment horizontal="left" vertical="top" wrapText="1"/>
    </xf>
    <xf numFmtId="0" fontId="196" fillId="0" borderId="0" xfId="0" applyFont="1" applyAlignment="1">
      <alignment horizontal="left" wrapText="1"/>
    </xf>
    <xf numFmtId="0" fontId="21" fillId="11" borderId="130" xfId="0" applyFont="1" applyFill="1" applyBorder="1" applyAlignment="1">
      <alignment horizontal="center" vertical="center"/>
    </xf>
    <xf numFmtId="0" fontId="21" fillId="11" borderId="131" xfId="0" applyFont="1" applyFill="1" applyBorder="1" applyAlignment="1">
      <alignment horizontal="center" vertical="center"/>
    </xf>
    <xf numFmtId="0" fontId="21" fillId="11" borderId="132" xfId="0" applyFont="1" applyFill="1" applyBorder="1" applyAlignment="1">
      <alignment horizontal="center" vertical="center"/>
    </xf>
    <xf numFmtId="0" fontId="21" fillId="4" borderId="0" xfId="0" applyFont="1" applyFill="1" applyAlignment="1">
      <alignment horizontal="center" vertical="center"/>
    </xf>
    <xf numFmtId="0" fontId="21" fillId="11" borderId="130" xfId="7" applyFont="1" applyFill="1" applyBorder="1" applyAlignment="1">
      <alignment horizontal="center" vertical="center"/>
    </xf>
    <xf numFmtId="0" fontId="21" fillId="11" borderId="131" xfId="7" applyFont="1" applyFill="1" applyBorder="1" applyAlignment="1">
      <alignment horizontal="center" vertical="center"/>
    </xf>
    <xf numFmtId="0" fontId="21" fillId="11" borderId="132" xfId="7" applyFont="1" applyFill="1" applyBorder="1" applyAlignment="1">
      <alignment horizontal="center" vertical="center"/>
    </xf>
    <xf numFmtId="0" fontId="201" fillId="4" borderId="0" xfId="0" applyFont="1" applyFill="1" applyAlignment="1">
      <alignment horizontal="left" wrapText="1"/>
    </xf>
    <xf numFmtId="0" fontId="21" fillId="11" borderId="111" xfId="0" applyFont="1" applyFill="1" applyBorder="1" applyAlignment="1">
      <alignment horizontal="center"/>
    </xf>
    <xf numFmtId="0" fontId="21" fillId="11" borderId="139" xfId="0" applyFont="1" applyFill="1" applyBorder="1" applyAlignment="1">
      <alignment horizontal="center"/>
    </xf>
    <xf numFmtId="0" fontId="21" fillId="11" borderId="112" xfId="0" applyFont="1" applyFill="1" applyBorder="1" applyAlignment="1">
      <alignment horizontal="center"/>
    </xf>
    <xf numFmtId="0" fontId="21" fillId="11" borderId="41" xfId="0" applyFont="1" applyFill="1" applyBorder="1" applyAlignment="1">
      <alignment horizontal="center" vertical="center"/>
    </xf>
    <xf numFmtId="0" fontId="21" fillId="11" borderId="42" xfId="0" applyFont="1" applyFill="1" applyBorder="1" applyAlignment="1">
      <alignment horizontal="center" vertical="center"/>
    </xf>
    <xf numFmtId="0" fontId="65" fillId="0" borderId="91" xfId="0" applyFont="1" applyBorder="1" applyAlignment="1">
      <alignment horizontal="left" vertical="center"/>
    </xf>
    <xf numFmtId="0" fontId="65" fillId="0" borderId="2" xfId="0" applyFont="1" applyBorder="1" applyAlignment="1">
      <alignment horizontal="left" vertical="center"/>
    </xf>
    <xf numFmtId="0" fontId="93" fillId="0" borderId="2" xfId="0" applyFont="1" applyBorder="1" applyAlignment="1">
      <alignment horizontal="left" vertical="center"/>
    </xf>
    <xf numFmtId="10" fontId="29" fillId="11" borderId="87" xfId="14" applyNumberFormat="1" applyFont="1" applyFill="1" applyBorder="1" applyAlignment="1">
      <alignment horizontal="center" vertical="center" wrapText="1"/>
    </xf>
    <xf numFmtId="10" fontId="29" fillId="11" borderId="88" xfId="14" applyNumberFormat="1" applyFont="1" applyFill="1" applyBorder="1" applyAlignment="1">
      <alignment horizontal="center" vertical="center" wrapText="1"/>
    </xf>
    <xf numFmtId="10" fontId="29" fillId="11" borderId="89" xfId="14" applyNumberFormat="1" applyFont="1" applyFill="1" applyBorder="1" applyAlignment="1">
      <alignment horizontal="center" vertical="center" wrapText="1"/>
    </xf>
    <xf numFmtId="0" fontId="65" fillId="0" borderId="90" xfId="0" applyFont="1" applyBorder="1" applyAlignment="1">
      <alignment horizontal="left"/>
    </xf>
    <xf numFmtId="0" fontId="65" fillId="0" borderId="33" xfId="0" applyFont="1" applyBorder="1" applyAlignment="1">
      <alignment horizontal="left"/>
    </xf>
    <xf numFmtId="10" fontId="29" fillId="11" borderId="165" xfId="14" applyNumberFormat="1" applyFont="1" applyFill="1" applyBorder="1" applyAlignment="1">
      <alignment horizontal="center" vertical="center" wrapText="1"/>
    </xf>
    <xf numFmtId="10" fontId="29" fillId="11" borderId="105" xfId="14" applyNumberFormat="1" applyFont="1" applyFill="1" applyBorder="1" applyAlignment="1">
      <alignment horizontal="center" vertical="center" wrapText="1"/>
    </xf>
    <xf numFmtId="0" fontId="0" fillId="0" borderId="219" xfId="0" applyBorder="1" applyAlignment="1">
      <alignment horizontal="center"/>
    </xf>
    <xf numFmtId="0" fontId="155" fillId="4" borderId="0" xfId="5" applyFont="1" applyFill="1" applyAlignment="1">
      <alignment horizontal="center" vertical="center"/>
    </xf>
    <xf numFmtId="0" fontId="83" fillId="4" borderId="0" xfId="1" applyNumberFormat="1" applyFont="1" applyFill="1" applyAlignment="1" applyProtection="1">
      <alignment horizontal="left" vertical="top"/>
      <protection locked="0"/>
    </xf>
    <xf numFmtId="0" fontId="21" fillId="4" borderId="0" xfId="0" applyFont="1" applyFill="1" applyAlignment="1" applyProtection="1">
      <alignment horizontal="center" vertical="center"/>
      <protection locked="0"/>
    </xf>
    <xf numFmtId="0" fontId="65" fillId="11" borderId="39" xfId="0" applyFont="1" applyFill="1" applyBorder="1" applyAlignment="1">
      <alignment horizontal="center" vertical="center"/>
    </xf>
    <xf numFmtId="0" fontId="65" fillId="11" borderId="25" xfId="0" applyFont="1" applyFill="1" applyBorder="1" applyAlignment="1">
      <alignment horizontal="center" vertical="center"/>
    </xf>
    <xf numFmtId="0" fontId="197" fillId="0" borderId="0" xfId="0" applyFont="1" applyAlignment="1">
      <alignment horizontal="center" vertical="center" wrapText="1"/>
    </xf>
    <xf numFmtId="0" fontId="195" fillId="0" borderId="0" xfId="0" applyFont="1" applyAlignment="1">
      <alignment horizontal="left" vertical="center" wrapText="1"/>
    </xf>
    <xf numFmtId="0" fontId="170" fillId="32" borderId="0" xfId="0" applyFont="1" applyFill="1" applyAlignment="1">
      <alignment horizontal="center" wrapText="1"/>
    </xf>
    <xf numFmtId="0" fontId="173" fillId="0" borderId="279" xfId="0" applyFont="1" applyBorder="1" applyAlignment="1" applyProtection="1">
      <alignment horizontal="left" vertical="center" wrapText="1" readingOrder="1"/>
      <protection locked="0"/>
    </xf>
    <xf numFmtId="0" fontId="170" fillId="32" borderId="284" xfId="8" applyFont="1" applyFill="1" applyBorder="1" applyAlignment="1" applyProtection="1">
      <alignment horizontal="center" vertical="center" wrapText="1"/>
    </xf>
    <xf numFmtId="0" fontId="170" fillId="32" borderId="285" xfId="8" applyFont="1" applyFill="1" applyBorder="1" applyAlignment="1" applyProtection="1">
      <alignment horizontal="center" vertical="center" wrapText="1"/>
    </xf>
    <xf numFmtId="0" fontId="170" fillId="32" borderId="286" xfId="8" applyFont="1" applyFill="1" applyBorder="1" applyAlignment="1" applyProtection="1">
      <alignment horizontal="center" vertical="center" wrapText="1"/>
    </xf>
    <xf numFmtId="0" fontId="27" fillId="4" borderId="287" xfId="0" applyFont="1" applyFill="1" applyBorder="1" applyAlignment="1">
      <alignment horizontal="center" vertical="center"/>
    </xf>
    <xf numFmtId="0" fontId="27" fillId="4" borderId="0" xfId="0" applyFont="1" applyFill="1" applyAlignment="1">
      <alignment horizontal="center" vertical="center"/>
    </xf>
    <xf numFmtId="1" fontId="26" fillId="4" borderId="288" xfId="2" applyNumberFormat="1" applyFont="1" applyFill="1" applyBorder="1" applyAlignment="1" applyProtection="1">
      <alignment horizontal="left" vertical="center" wrapText="1" indent="1"/>
    </xf>
    <xf numFmtId="1" fontId="26" fillId="4" borderId="289" xfId="2" applyNumberFormat="1" applyFont="1" applyFill="1" applyBorder="1" applyAlignment="1" applyProtection="1">
      <alignment horizontal="left" vertical="center" wrapText="1" indent="1"/>
    </xf>
    <xf numFmtId="1" fontId="26" fillId="4" borderId="290" xfId="2" applyNumberFormat="1" applyFont="1" applyFill="1" applyBorder="1" applyAlignment="1" applyProtection="1">
      <alignment horizontal="left" vertical="center" wrapText="1" indent="1"/>
    </xf>
    <xf numFmtId="1" fontId="26" fillId="4" borderId="291" xfId="2" applyNumberFormat="1" applyFont="1" applyFill="1" applyBorder="1" applyAlignment="1" applyProtection="1">
      <alignment horizontal="left" vertical="center" wrapText="1" indent="1"/>
    </xf>
    <xf numFmtId="1" fontId="26" fillId="4" borderId="0" xfId="2" applyNumberFormat="1" applyFont="1" applyFill="1" applyBorder="1" applyAlignment="1" applyProtection="1">
      <alignment horizontal="left" vertical="center" wrapText="1" indent="1"/>
    </xf>
    <xf numFmtId="1" fontId="26" fillId="4" borderId="292" xfId="2" applyNumberFormat="1" applyFont="1" applyFill="1" applyBorder="1" applyAlignment="1" applyProtection="1">
      <alignment horizontal="left" vertical="center" wrapText="1" indent="1"/>
    </xf>
    <xf numFmtId="1" fontId="26" fillId="4" borderId="293" xfId="2" applyNumberFormat="1" applyFont="1" applyFill="1" applyBorder="1" applyAlignment="1" applyProtection="1">
      <alignment horizontal="left" vertical="center" wrapText="1" indent="1"/>
    </xf>
    <xf numFmtId="1" fontId="26" fillId="4" borderId="278" xfId="2" applyNumberFormat="1" applyFont="1" applyFill="1" applyBorder="1" applyAlignment="1" applyProtection="1">
      <alignment horizontal="left" vertical="center" wrapText="1" indent="1"/>
    </xf>
    <xf numFmtId="1" fontId="26" fillId="4" borderId="294" xfId="2" applyNumberFormat="1" applyFont="1" applyFill="1" applyBorder="1" applyAlignment="1" applyProtection="1">
      <alignment horizontal="left" vertical="center" wrapText="1" indent="1"/>
    </xf>
    <xf numFmtId="0" fontId="171" fillId="33" borderId="279" xfId="0" applyFont="1" applyFill="1" applyBorder="1" applyAlignment="1">
      <alignment horizontal="left" vertical="center" wrapText="1" readingOrder="1"/>
    </xf>
    <xf numFmtId="0" fontId="173" fillId="0" borderId="279" xfId="0" applyFont="1" applyBorder="1" applyAlignment="1" applyProtection="1">
      <alignment vertical="center" wrapText="1" readingOrder="1"/>
      <protection locked="0"/>
    </xf>
    <xf numFmtId="0" fontId="173" fillId="0" borderId="279" xfId="0" applyFont="1" applyBorder="1" applyAlignment="1" applyProtection="1">
      <alignment horizontal="center" vertical="center" wrapText="1" readingOrder="1"/>
      <protection locked="0"/>
    </xf>
    <xf numFmtId="9" fontId="173" fillId="11" borderId="282" xfId="0" applyNumberFormat="1" applyFont="1" applyFill="1" applyBorder="1" applyAlignment="1">
      <alignment horizontal="center" vertical="center" wrapText="1" readingOrder="1"/>
    </xf>
    <xf numFmtId="9" fontId="173" fillId="11" borderId="283" xfId="0" applyNumberFormat="1" applyFont="1" applyFill="1" applyBorder="1" applyAlignment="1">
      <alignment horizontal="center" vertical="center" wrapText="1" readingOrder="1"/>
    </xf>
    <xf numFmtId="9" fontId="173" fillId="0" borderId="279" xfId="0" applyNumberFormat="1" applyFont="1" applyBorder="1" applyAlignment="1" applyProtection="1">
      <alignment horizontal="center" vertical="center" wrapText="1" readingOrder="1"/>
      <protection locked="0"/>
    </xf>
    <xf numFmtId="9" fontId="173" fillId="0" borderId="279" xfId="0" applyNumberFormat="1" applyFont="1" applyBorder="1" applyAlignment="1" applyProtection="1">
      <alignment horizontal="right" vertical="center" wrapText="1" readingOrder="1"/>
      <protection locked="0"/>
    </xf>
    <xf numFmtId="169" fontId="9" fillId="4" borderId="279" xfId="2" applyNumberFormat="1" applyFont="1" applyFill="1" applyBorder="1" applyAlignment="1" applyProtection="1">
      <alignment horizontal="left" vertical="center" wrapText="1"/>
      <protection locked="0"/>
    </xf>
    <xf numFmtId="177" fontId="9" fillId="4" borderId="279" xfId="2" applyNumberFormat="1" applyFont="1" applyFill="1" applyBorder="1" applyAlignment="1" applyProtection="1">
      <alignment horizontal="left" vertical="center" wrapText="1"/>
      <protection locked="0"/>
    </xf>
    <xf numFmtId="1" fontId="9" fillId="4" borderId="279" xfId="2" applyNumberFormat="1" applyFont="1" applyFill="1" applyBorder="1" applyAlignment="1" applyProtection="1">
      <alignment horizontal="left" vertical="center" wrapText="1"/>
      <protection locked="0"/>
    </xf>
    <xf numFmtId="0" fontId="9" fillId="4" borderId="279" xfId="2" applyNumberFormat="1" applyFont="1" applyFill="1" applyBorder="1" applyAlignment="1" applyProtection="1">
      <alignment horizontal="left" vertical="center" wrapText="1"/>
      <protection locked="0"/>
    </xf>
    <xf numFmtId="0" fontId="138" fillId="4" borderId="0" xfId="0" applyFont="1" applyFill="1" applyAlignment="1">
      <alignment horizontal="left" wrapText="1"/>
    </xf>
    <xf numFmtId="0" fontId="170" fillId="32" borderId="280" xfId="8" applyFont="1" applyFill="1" applyBorder="1" applyAlignment="1" applyProtection="1">
      <alignment horizontal="center" vertical="center" wrapText="1"/>
    </xf>
    <xf numFmtId="0" fontId="171" fillId="33" borderId="281" xfId="0" applyFont="1" applyFill="1" applyBorder="1" applyAlignment="1">
      <alignment horizontal="left" vertical="center" wrapText="1" readingOrder="1"/>
    </xf>
    <xf numFmtId="178" fontId="9" fillId="4" borderId="279" xfId="2" applyNumberFormat="1" applyFont="1" applyFill="1" applyBorder="1" applyAlignment="1" applyProtection="1">
      <alignment horizontal="right" vertical="center" wrapText="1"/>
      <protection locked="0"/>
    </xf>
    <xf numFmtId="9" fontId="9" fillId="4" borderId="279" xfId="6" applyFont="1" applyFill="1" applyBorder="1" applyAlignment="1" applyProtection="1">
      <alignment horizontal="right" vertical="center" wrapText="1"/>
      <protection locked="0"/>
    </xf>
    <xf numFmtId="0" fontId="29" fillId="11" borderId="279" xfId="8" applyFont="1" applyFill="1" applyBorder="1" applyAlignment="1" applyProtection="1">
      <alignment horizontal="center" vertical="center" wrapText="1"/>
    </xf>
    <xf numFmtId="0" fontId="155" fillId="17" borderId="218" xfId="5" applyFont="1" applyFill="1" applyBorder="1" applyAlignment="1">
      <alignment horizontal="center" vertical="center"/>
    </xf>
    <xf numFmtId="0" fontId="155" fillId="17" borderId="219" xfId="5" applyFont="1" applyFill="1" applyBorder="1" applyAlignment="1">
      <alignment horizontal="center" vertical="center"/>
    </xf>
    <xf numFmtId="0" fontId="155" fillId="17" borderId="221" xfId="5" applyFont="1" applyFill="1" applyBorder="1" applyAlignment="1">
      <alignment horizontal="center" vertical="center"/>
    </xf>
    <xf numFmtId="0" fontId="110" fillId="17" borderId="234" xfId="5" applyFont="1" applyFill="1" applyBorder="1" applyAlignment="1">
      <alignment horizontal="left" vertical="center"/>
    </xf>
    <xf numFmtId="0" fontId="110" fillId="17" borderId="223" xfId="5" applyFont="1" applyFill="1" applyBorder="1" applyAlignment="1">
      <alignment horizontal="left" vertical="center"/>
    </xf>
    <xf numFmtId="0" fontId="122" fillId="0" borderId="0" xfId="5" applyFont="1" applyAlignment="1">
      <alignment horizontal="left" vertical="center"/>
    </xf>
    <xf numFmtId="0" fontId="122" fillId="0" borderId="220" xfId="5" applyFont="1" applyBorder="1" applyAlignment="1">
      <alignment horizontal="left" vertical="center"/>
    </xf>
    <xf numFmtId="0" fontId="133" fillId="0" borderId="0" xfId="5" applyFont="1" applyAlignment="1">
      <alignment horizontal="center" vertical="center"/>
    </xf>
    <xf numFmtId="0" fontId="30" fillId="11" borderId="130" xfId="0" applyFont="1" applyFill="1" applyBorder="1" applyAlignment="1">
      <alignment horizontal="center"/>
    </xf>
    <xf numFmtId="0" fontId="30" fillId="11" borderId="131" xfId="0" applyFont="1" applyFill="1" applyBorder="1" applyAlignment="1">
      <alignment horizontal="center"/>
    </xf>
    <xf numFmtId="0" fontId="30" fillId="11" borderId="132" xfId="0" applyFont="1" applyFill="1" applyBorder="1" applyAlignment="1">
      <alignment horizontal="center"/>
    </xf>
    <xf numFmtId="0" fontId="86" fillId="0" borderId="0" xfId="0" applyFont="1" applyAlignment="1">
      <alignment horizontal="center" vertical="center" wrapText="1"/>
    </xf>
    <xf numFmtId="0" fontId="85" fillId="4" borderId="0" xfId="0" applyFont="1" applyFill="1" applyAlignment="1">
      <alignment horizontal="center"/>
    </xf>
    <xf numFmtId="0" fontId="70" fillId="4" borderId="237" xfId="0" applyFont="1" applyFill="1" applyBorder="1" applyAlignment="1">
      <alignment horizontal="center" vertical="center" wrapText="1"/>
    </xf>
    <xf numFmtId="0" fontId="70" fillId="4" borderId="238" xfId="0" applyFont="1" applyFill="1" applyBorder="1" applyAlignment="1">
      <alignment horizontal="center" vertical="center" wrapText="1"/>
    </xf>
    <xf numFmtId="2" fontId="70" fillId="4" borderId="236" xfId="10" applyNumberFormat="1" applyFont="1" applyFill="1" applyBorder="1" applyAlignment="1" applyProtection="1">
      <alignment horizontal="center" vertical="center" wrapText="1"/>
      <protection locked="0"/>
    </xf>
    <xf numFmtId="2" fontId="70" fillId="4" borderId="6" xfId="10" applyNumberFormat="1" applyFont="1" applyFill="1" applyBorder="1" applyAlignment="1" applyProtection="1">
      <alignment horizontal="center" vertical="center" wrapText="1"/>
      <protection locked="0"/>
    </xf>
    <xf numFmtId="0" fontId="70" fillId="4" borderId="236" xfId="0" applyFont="1" applyFill="1" applyBorder="1" applyAlignment="1" applyProtection="1">
      <alignment horizontal="center" vertical="center" wrapText="1"/>
      <protection locked="0"/>
    </xf>
    <xf numFmtId="0" fontId="70" fillId="4" borderId="6" xfId="0" applyFont="1" applyFill="1" applyBorder="1" applyAlignment="1" applyProtection="1">
      <alignment horizontal="center" vertical="center" wrapText="1"/>
      <protection locked="0"/>
    </xf>
    <xf numFmtId="0" fontId="70" fillId="4" borderId="198" xfId="0" quotePrefix="1" applyFont="1" applyFill="1" applyBorder="1" applyAlignment="1">
      <alignment horizontal="center" vertical="center" wrapText="1"/>
    </xf>
    <xf numFmtId="0" fontId="70" fillId="4" borderId="123" xfId="0" quotePrefix="1" applyFont="1" applyFill="1" applyBorder="1" applyAlignment="1">
      <alignment horizontal="center" vertical="center" wrapText="1"/>
    </xf>
    <xf numFmtId="0" fontId="26" fillId="4" borderId="4" xfId="0" applyFont="1" applyFill="1" applyBorder="1" applyAlignment="1">
      <alignment horizontal="center" vertical="center" wrapText="1"/>
    </xf>
    <xf numFmtId="0" fontId="26" fillId="4" borderId="242" xfId="0" applyFont="1" applyFill="1" applyBorder="1" applyAlignment="1">
      <alignment horizontal="center" vertical="center" wrapText="1"/>
    </xf>
    <xf numFmtId="0" fontId="70" fillId="4" borderId="168" xfId="0" quotePrefix="1" applyFont="1" applyFill="1" applyBorder="1" applyAlignment="1">
      <alignment horizontal="center" vertical="center" wrapText="1"/>
    </xf>
    <xf numFmtId="0" fontId="29" fillId="11" borderId="107" xfId="8" applyFont="1" applyFill="1" applyBorder="1" applyAlignment="1" applyProtection="1">
      <alignment horizontal="center" vertical="center" wrapText="1"/>
    </xf>
    <xf numFmtId="0" fontId="29" fillId="11" borderId="108" xfId="8" applyFont="1" applyFill="1" applyBorder="1" applyAlignment="1" applyProtection="1">
      <alignment horizontal="center" vertical="center" wrapText="1"/>
    </xf>
    <xf numFmtId="0" fontId="30" fillId="11" borderId="41" xfId="0" applyFont="1" applyFill="1" applyBorder="1" applyAlignment="1">
      <alignment horizontal="center"/>
    </xf>
    <xf numFmtId="0" fontId="30" fillId="11" borderId="43" xfId="0" applyFont="1" applyFill="1" applyBorder="1" applyAlignment="1">
      <alignment horizontal="center"/>
    </xf>
    <xf numFmtId="0" fontId="30" fillId="11" borderId="42" xfId="0" applyFont="1" applyFill="1" applyBorder="1" applyAlignment="1">
      <alignment horizontal="center"/>
    </xf>
    <xf numFmtId="2" fontId="70" fillId="4" borderId="236" xfId="0" applyNumberFormat="1" applyFont="1" applyFill="1" applyBorder="1" applyAlignment="1">
      <alignment horizontal="center" vertical="center" wrapText="1"/>
    </xf>
    <xf numFmtId="2" fontId="70" fillId="4" borderId="6" xfId="0" applyNumberFormat="1" applyFont="1" applyFill="1" applyBorder="1" applyAlignment="1">
      <alignment horizontal="center" vertical="center" wrapText="1"/>
    </xf>
    <xf numFmtId="2" fontId="70" fillId="4" borderId="242" xfId="0" applyNumberFormat="1" applyFont="1" applyFill="1" applyBorder="1" applyAlignment="1">
      <alignment horizontal="center" vertical="center" wrapText="1"/>
    </xf>
    <xf numFmtId="0" fontId="70" fillId="4" borderId="239" xfId="0" applyFont="1" applyFill="1" applyBorder="1" applyAlignment="1">
      <alignment horizontal="center" vertical="center" wrapText="1"/>
    </xf>
    <xf numFmtId="0" fontId="26" fillId="17" borderId="31" xfId="10" applyFont="1" applyFill="1" applyBorder="1" applyAlignment="1" applyProtection="1">
      <alignment horizontal="center" vertical="center" wrapText="1"/>
    </xf>
    <xf numFmtId="0" fontId="26" fillId="17" borderId="32" xfId="10" applyFont="1" applyFill="1" applyBorder="1" applyAlignment="1" applyProtection="1">
      <alignment horizontal="center" vertical="center" wrapText="1"/>
    </xf>
    <xf numFmtId="0" fontId="70" fillId="4" borderId="235" xfId="10" applyFont="1" applyFill="1" applyBorder="1" applyAlignment="1" applyProtection="1">
      <alignment horizontal="center" vertical="center" wrapText="1"/>
      <protection locked="0"/>
    </xf>
    <xf numFmtId="0" fontId="70" fillId="4" borderId="240" xfId="10" applyFont="1" applyFill="1" applyBorder="1" applyAlignment="1" applyProtection="1">
      <alignment horizontal="center" vertical="center" wrapText="1"/>
      <protection locked="0"/>
    </xf>
    <xf numFmtId="0" fontId="70" fillId="0" borderId="236" xfId="0" applyFont="1" applyBorder="1" applyAlignment="1" applyProtection="1">
      <alignment horizontal="center" vertical="center" wrapText="1"/>
      <protection locked="0"/>
    </xf>
    <xf numFmtId="0" fontId="70" fillId="0" borderId="6" xfId="0" applyFont="1" applyBorder="1" applyAlignment="1" applyProtection="1">
      <alignment horizontal="center" vertical="center" wrapText="1"/>
      <protection locked="0"/>
    </xf>
    <xf numFmtId="0" fontId="70" fillId="4" borderId="236" xfId="10" applyFont="1" applyFill="1" applyBorder="1" applyAlignment="1" applyProtection="1">
      <alignment horizontal="center" vertical="center" wrapText="1"/>
      <protection locked="0"/>
    </xf>
    <xf numFmtId="0" fontId="70" fillId="4" borderId="6" xfId="10" applyFont="1" applyFill="1" applyBorder="1" applyAlignment="1" applyProtection="1">
      <alignment horizontal="center" vertical="center" wrapText="1"/>
      <protection locked="0"/>
    </xf>
    <xf numFmtId="0" fontId="26" fillId="0" borderId="210" xfId="0" applyFont="1" applyBorder="1" applyAlignment="1">
      <alignment horizontal="center" vertical="center" wrapText="1"/>
    </xf>
    <xf numFmtId="0" fontId="140" fillId="11" borderId="0" xfId="0" applyFont="1" applyFill="1" applyAlignment="1">
      <alignment horizontal="left" vertical="center" wrapText="1"/>
    </xf>
    <xf numFmtId="0" fontId="40" fillId="4" borderId="0" xfId="0" applyFont="1" applyFill="1" applyAlignment="1">
      <alignment horizontal="left" vertical="top"/>
    </xf>
    <xf numFmtId="0" fontId="88" fillId="11" borderId="130" xfId="15" applyFont="1" applyFill="1" applyBorder="1" applyAlignment="1" applyProtection="1">
      <alignment horizontal="center"/>
    </xf>
    <xf numFmtId="0" fontId="88" fillId="11" borderId="132" xfId="15" applyFont="1" applyFill="1" applyBorder="1" applyAlignment="1" applyProtection="1">
      <alignment horizontal="center"/>
    </xf>
    <xf numFmtId="0" fontId="88" fillId="11" borderId="111" xfId="15" applyFont="1" applyFill="1" applyBorder="1" applyAlignment="1" applyProtection="1">
      <alignment horizontal="center"/>
    </xf>
    <xf numFmtId="0" fontId="88" fillId="11" borderId="112" xfId="15" applyFont="1" applyFill="1" applyBorder="1" applyAlignment="1" applyProtection="1">
      <alignment horizontal="center"/>
    </xf>
    <xf numFmtId="0" fontId="183" fillId="7" borderId="52" xfId="5" applyFont="1" applyFill="1" applyBorder="1" applyAlignment="1">
      <alignment horizontal="center" vertical="center" wrapText="1"/>
    </xf>
    <xf numFmtId="0" fontId="183" fillId="7" borderId="51" xfId="5" applyFont="1" applyFill="1" applyBorder="1" applyAlignment="1">
      <alignment horizontal="center" vertical="center" wrapText="1"/>
    </xf>
    <xf numFmtId="0" fontId="183" fillId="7" borderId="37" xfId="5" applyFont="1" applyFill="1" applyBorder="1" applyAlignment="1">
      <alignment horizontal="center" vertical="center" wrapText="1"/>
    </xf>
    <xf numFmtId="0" fontId="183" fillId="7" borderId="45" xfId="5" applyFont="1" applyFill="1" applyBorder="1" applyAlignment="1">
      <alignment horizontal="center" vertical="center" wrapText="1"/>
    </xf>
    <xf numFmtId="0" fontId="183" fillId="7" borderId="0" xfId="5" applyFont="1" applyFill="1" applyAlignment="1">
      <alignment horizontal="center" vertical="center" wrapText="1"/>
    </xf>
    <xf numFmtId="0" fontId="183" fillId="7" borderId="257" xfId="5" applyFont="1" applyFill="1" applyBorder="1" applyAlignment="1">
      <alignment horizontal="center" vertical="center" wrapText="1"/>
    </xf>
    <xf numFmtId="0" fontId="183" fillId="7" borderId="48" xfId="5" applyFont="1" applyFill="1" applyBorder="1" applyAlignment="1">
      <alignment horizontal="center" vertical="center" wrapText="1"/>
    </xf>
    <xf numFmtId="0" fontId="183" fillId="7" borderId="40" xfId="5" applyFont="1" applyFill="1" applyBorder="1" applyAlignment="1">
      <alignment horizontal="center" vertical="center" wrapText="1"/>
    </xf>
    <xf numFmtId="0" fontId="183" fillId="7" borderId="36" xfId="5" applyFont="1" applyFill="1" applyBorder="1" applyAlignment="1">
      <alignment horizontal="center" vertical="center" wrapText="1"/>
    </xf>
    <xf numFmtId="0" fontId="46" fillId="6" borderId="16" xfId="5" applyFont="1" applyFill="1" applyBorder="1" applyAlignment="1">
      <alignment horizontal="center" vertical="center" wrapText="1"/>
    </xf>
    <xf numFmtId="0" fontId="46" fillId="6" borderId="296" xfId="5" applyFont="1" applyFill="1" applyBorder="1" applyAlignment="1">
      <alignment horizontal="center" vertical="center" wrapText="1"/>
    </xf>
    <xf numFmtId="0" fontId="53" fillId="36" borderId="52" xfId="5" applyFont="1" applyFill="1" applyBorder="1" applyAlignment="1">
      <alignment horizontal="center" vertical="center"/>
    </xf>
    <xf numFmtId="0" fontId="53" fillId="36" borderId="51" xfId="5" applyFont="1" applyFill="1" applyBorder="1" applyAlignment="1">
      <alignment horizontal="center" vertical="center"/>
    </xf>
    <xf numFmtId="0" fontId="53" fillId="36" borderId="37" xfId="5" applyFont="1" applyFill="1" applyBorder="1" applyAlignment="1">
      <alignment horizontal="center" vertical="center"/>
    </xf>
    <xf numFmtId="0" fontId="53" fillId="36" borderId="45" xfId="5" applyFont="1" applyFill="1" applyBorder="1" applyAlignment="1">
      <alignment horizontal="center" vertical="center"/>
    </xf>
    <xf numFmtId="0" fontId="53" fillId="36" borderId="0" xfId="5" applyFont="1" applyFill="1" applyAlignment="1">
      <alignment horizontal="center" vertical="center"/>
    </xf>
    <xf numFmtId="0" fontId="53" fillId="36" borderId="257" xfId="5" applyFont="1" applyFill="1" applyBorder="1" applyAlignment="1">
      <alignment horizontal="center" vertical="center"/>
    </xf>
    <xf numFmtId="0" fontId="53" fillId="7" borderId="81" xfId="5" applyFont="1" applyFill="1" applyBorder="1" applyAlignment="1">
      <alignment horizontal="center" vertical="center"/>
    </xf>
    <xf numFmtId="0" fontId="53" fillId="7" borderId="23" xfId="5" applyFont="1" applyFill="1" applyBorder="1" applyAlignment="1">
      <alignment horizontal="center" vertical="center"/>
    </xf>
    <xf numFmtId="0" fontId="53" fillId="7" borderId="186" xfId="5" applyFont="1" applyFill="1" applyBorder="1" applyAlignment="1">
      <alignment horizontal="center" vertical="center"/>
    </xf>
    <xf numFmtId="0" fontId="53" fillId="7" borderId="4" xfId="5" applyFont="1" applyFill="1" applyBorder="1" applyAlignment="1">
      <alignment horizontal="center" vertical="center"/>
    </xf>
    <xf numFmtId="0" fontId="43" fillId="8" borderId="51" xfId="5" applyFont="1" applyFill="1" applyBorder="1" applyAlignment="1" applyProtection="1">
      <alignment horizontal="center" vertical="center"/>
      <protection locked="0"/>
    </xf>
    <xf numFmtId="0" fontId="43" fillId="8" borderId="37" xfId="5" applyFont="1" applyFill="1" applyBorder="1" applyAlignment="1" applyProtection="1">
      <alignment horizontal="center" vertical="center"/>
      <protection locked="0"/>
    </xf>
    <xf numFmtId="0" fontId="43" fillId="8" borderId="52" xfId="5" applyFont="1" applyFill="1" applyBorder="1" applyAlignment="1" applyProtection="1">
      <alignment horizontal="center" vertical="center"/>
      <protection locked="0"/>
    </xf>
    <xf numFmtId="0" fontId="178" fillId="0" borderId="45" xfId="5" applyFont="1" applyBorder="1" applyAlignment="1">
      <alignment horizontal="center" vertical="center" wrapText="1"/>
    </xf>
    <xf numFmtId="0" fontId="178" fillId="0" borderId="0" xfId="5" applyFont="1" applyAlignment="1">
      <alignment horizontal="center" vertical="center" wrapText="1"/>
    </xf>
    <xf numFmtId="0" fontId="178" fillId="0" borderId="295" xfId="5" applyFont="1" applyBorder="1" applyAlignment="1">
      <alignment horizontal="center" vertical="center" wrapText="1"/>
    </xf>
    <xf numFmtId="0" fontId="54" fillId="5" borderId="51" xfId="5" applyFont="1" applyFill="1" applyBorder="1" applyAlignment="1">
      <alignment horizontal="center" vertical="center" wrapText="1"/>
    </xf>
    <xf numFmtId="0" fontId="54" fillId="5" borderId="37" xfId="5" applyFont="1" applyFill="1" applyBorder="1" applyAlignment="1">
      <alignment horizontal="center" vertical="center" wrapText="1"/>
    </xf>
    <xf numFmtId="0" fontId="54" fillId="5" borderId="45" xfId="5" applyFont="1" applyFill="1" applyBorder="1" applyAlignment="1">
      <alignment horizontal="center" vertical="center" wrapText="1"/>
    </xf>
    <xf numFmtId="0" fontId="54" fillId="5" borderId="257" xfId="5" applyFont="1" applyFill="1" applyBorder="1" applyAlignment="1">
      <alignment horizontal="center" vertical="center" wrapText="1"/>
    </xf>
    <xf numFmtId="0" fontId="6" fillId="38" borderId="43" xfId="5" applyFill="1" applyBorder="1" applyAlignment="1" applyProtection="1">
      <alignment horizontal="center" vertical="center" wrapText="1"/>
      <protection locked="0"/>
    </xf>
    <xf numFmtId="0" fontId="6" fillId="38" borderId="42" xfId="5" applyFill="1" applyBorder="1" applyAlignment="1" applyProtection="1">
      <alignment horizontal="center" vertical="center" wrapText="1"/>
      <protection locked="0"/>
    </xf>
    <xf numFmtId="0" fontId="6" fillId="39" borderId="41" xfId="5" applyFill="1" applyBorder="1" applyAlignment="1" applyProtection="1">
      <alignment horizontal="center" vertical="center"/>
      <protection locked="0"/>
    </xf>
    <xf numFmtId="0" fontId="6" fillId="39" borderId="42" xfId="5" applyFill="1" applyBorder="1" applyAlignment="1" applyProtection="1">
      <alignment horizontal="center" vertical="center"/>
      <protection locked="0"/>
    </xf>
    <xf numFmtId="0" fontId="52" fillId="40" borderId="41" xfId="5" applyFont="1" applyFill="1" applyBorder="1" applyAlignment="1" applyProtection="1">
      <alignment horizontal="center" vertical="center"/>
      <protection locked="0"/>
    </xf>
    <xf numFmtId="0" fontId="52" fillId="40" borderId="42" xfId="5" applyFont="1" applyFill="1" applyBorder="1" applyAlignment="1" applyProtection="1">
      <alignment horizontal="center" vertical="center"/>
      <protection locked="0"/>
    </xf>
    <xf numFmtId="0" fontId="55" fillId="41" borderId="41" xfId="5" applyFont="1" applyFill="1" applyBorder="1" applyAlignment="1">
      <alignment horizontal="center" vertical="center"/>
    </xf>
    <xf numFmtId="0" fontId="55" fillId="41" borderId="43" xfId="5" applyFont="1" applyFill="1" applyBorder="1" applyAlignment="1">
      <alignment horizontal="center" vertical="center"/>
    </xf>
    <xf numFmtId="0" fontId="55" fillId="41" borderId="42" xfId="5" applyFont="1" applyFill="1" applyBorder="1" applyAlignment="1">
      <alignment horizontal="center" vertical="center"/>
    </xf>
    <xf numFmtId="172" fontId="6" fillId="20" borderId="46" xfId="5" applyNumberFormat="1" applyFill="1" applyBorder="1" applyAlignment="1" applyProtection="1">
      <alignment horizontal="center" wrapText="1"/>
      <protection locked="0"/>
    </xf>
    <xf numFmtId="172" fontId="6" fillId="20" borderId="47" xfId="5" applyNumberFormat="1" applyFill="1" applyBorder="1" applyAlignment="1" applyProtection="1">
      <alignment horizontal="center" wrapText="1"/>
      <protection locked="0"/>
    </xf>
    <xf numFmtId="172" fontId="6" fillId="20" borderId="76" xfId="5" applyNumberFormat="1" applyFill="1" applyBorder="1" applyAlignment="1" applyProtection="1">
      <alignment horizontal="center" wrapText="1"/>
      <protection locked="0"/>
    </xf>
    <xf numFmtId="172" fontId="6" fillId="45" borderId="46" xfId="5" applyNumberFormat="1" applyFill="1" applyBorder="1" applyAlignment="1" applyProtection="1">
      <alignment horizontal="center" wrapText="1"/>
      <protection locked="0"/>
    </xf>
    <xf numFmtId="172" fontId="6" fillId="45" borderId="76" xfId="5" applyNumberFormat="1" applyFill="1" applyBorder="1" applyAlignment="1" applyProtection="1">
      <alignment horizontal="center" wrapText="1"/>
      <protection locked="0"/>
    </xf>
    <xf numFmtId="172" fontId="6" fillId="7" borderId="41" xfId="5" applyNumberFormat="1" applyFill="1" applyBorder="1" applyAlignment="1" applyProtection="1">
      <alignment horizontal="center" wrapText="1"/>
      <protection locked="0"/>
    </xf>
    <xf numFmtId="172" fontId="6" fillId="7" borderId="43" xfId="5" applyNumberFormat="1" applyFill="1" applyBorder="1" applyAlignment="1" applyProtection="1">
      <alignment horizontal="center" wrapText="1"/>
      <protection locked="0"/>
    </xf>
    <xf numFmtId="172" fontId="6" fillId="10" borderId="41" xfId="5" applyNumberFormat="1" applyFill="1" applyBorder="1" applyAlignment="1" applyProtection="1">
      <alignment horizontal="center" wrapText="1"/>
      <protection locked="0"/>
    </xf>
    <xf numFmtId="172" fontId="6" fillId="10" borderId="43" xfId="5" applyNumberFormat="1" applyFill="1" applyBorder="1" applyAlignment="1" applyProtection="1">
      <alignment horizontal="center" wrapText="1"/>
      <protection locked="0"/>
    </xf>
    <xf numFmtId="0" fontId="22" fillId="7" borderId="75" xfId="9" applyFill="1" applyBorder="1" applyAlignment="1" applyProtection="1">
      <alignment horizontal="left" vertical="center" wrapText="1"/>
      <protection locked="0"/>
    </xf>
    <xf numFmtId="0" fontId="22" fillId="7" borderId="250" xfId="9" applyFill="1" applyBorder="1" applyAlignment="1" applyProtection="1">
      <alignment horizontal="left" vertical="center" wrapText="1"/>
      <protection locked="0"/>
    </xf>
    <xf numFmtId="10" fontId="43" fillId="0" borderId="81" xfId="5" applyNumberFormat="1" applyFont="1" applyBorder="1" applyAlignment="1">
      <alignment horizontal="center"/>
    </xf>
    <xf numFmtId="10" fontId="43" fillId="0" borderId="23" xfId="5" applyNumberFormat="1" applyFont="1" applyBorder="1" applyAlignment="1">
      <alignment horizontal="center"/>
    </xf>
    <xf numFmtId="0" fontId="43" fillId="6" borderId="298" xfId="5" applyFont="1" applyFill="1" applyBorder="1" applyAlignment="1">
      <alignment horizontal="center"/>
    </xf>
    <xf numFmtId="0" fontId="43" fillId="6" borderId="2" xfId="5" applyFont="1" applyFill="1" applyBorder="1" applyAlignment="1">
      <alignment horizontal="center"/>
    </xf>
    <xf numFmtId="0" fontId="6" fillId="6" borderId="298" xfId="5" applyFill="1" applyBorder="1" applyAlignment="1">
      <alignment horizontal="center"/>
    </xf>
    <xf numFmtId="0" fontId="6" fillId="6" borderId="2" xfId="5" applyFill="1" applyBorder="1" applyAlignment="1">
      <alignment horizontal="center"/>
    </xf>
    <xf numFmtId="0" fontId="6" fillId="46" borderId="2" xfId="5" applyFill="1" applyBorder="1" applyAlignment="1">
      <alignment horizontal="center"/>
    </xf>
    <xf numFmtId="0" fontId="6" fillId="46" borderId="3" xfId="5" applyFill="1" applyBorder="1" applyAlignment="1">
      <alignment horizontal="center"/>
    </xf>
    <xf numFmtId="172" fontId="6" fillId="7" borderId="48" xfId="5" applyNumberFormat="1" applyFill="1" applyBorder="1" applyAlignment="1" applyProtection="1">
      <alignment horizontal="center" wrapText="1"/>
      <protection locked="0"/>
    </xf>
    <xf numFmtId="172" fontId="6" fillId="7" borderId="40" xfId="5" applyNumberFormat="1" applyFill="1" applyBorder="1" applyAlignment="1" applyProtection="1">
      <alignment horizontal="center" wrapText="1"/>
      <protection locked="0"/>
    </xf>
    <xf numFmtId="172" fontId="6" fillId="7" borderId="36" xfId="5" applyNumberFormat="1" applyFill="1" applyBorder="1" applyAlignment="1" applyProtection="1">
      <alignment horizontal="center" wrapText="1"/>
      <protection locked="0"/>
    </xf>
    <xf numFmtId="0" fontId="6" fillId="45" borderId="46" xfId="5" applyFill="1" applyBorder="1" applyAlignment="1">
      <alignment horizontal="center"/>
    </xf>
    <xf numFmtId="0" fontId="6" fillId="45" borderId="82" xfId="5" applyFill="1" applyBorder="1" applyAlignment="1">
      <alignment horizontal="center"/>
    </xf>
    <xf numFmtId="0" fontId="6" fillId="44" borderId="17" xfId="5" applyFill="1" applyBorder="1" applyAlignment="1">
      <alignment horizontal="left"/>
    </xf>
    <xf numFmtId="0" fontId="6" fillId="44" borderId="23" xfId="5" applyFill="1" applyBorder="1" applyAlignment="1">
      <alignment horizontal="left"/>
    </xf>
    <xf numFmtId="0" fontId="6" fillId="44" borderId="19" xfId="5" applyFill="1" applyBorder="1" applyAlignment="1">
      <alignment horizontal="left"/>
    </xf>
    <xf numFmtId="0" fontId="6" fillId="44" borderId="3" xfId="5" applyFill="1" applyBorder="1" applyAlignment="1">
      <alignment horizontal="left"/>
    </xf>
    <xf numFmtId="172" fontId="6" fillId="10" borderId="48" xfId="5" applyNumberFormat="1" applyFill="1" applyBorder="1" applyAlignment="1" applyProtection="1">
      <alignment horizontal="center" wrapText="1"/>
      <protection locked="0"/>
    </xf>
    <xf numFmtId="172" fontId="6" fillId="10" borderId="40" xfId="5" applyNumberFormat="1" applyFill="1" applyBorder="1" applyAlignment="1" applyProtection="1">
      <alignment horizontal="center" wrapText="1"/>
      <protection locked="0"/>
    </xf>
    <xf numFmtId="172" fontId="6" fillId="10" borderId="36" xfId="5" applyNumberFormat="1" applyFill="1" applyBorder="1" applyAlignment="1" applyProtection="1">
      <alignment horizontal="center" wrapText="1"/>
      <protection locked="0"/>
    </xf>
    <xf numFmtId="0" fontId="43" fillId="44" borderId="49" xfId="5" applyFont="1" applyFill="1" applyBorder="1" applyAlignment="1">
      <alignment horizontal="center"/>
    </xf>
    <xf numFmtId="0" fontId="43" fillId="44" borderId="50" xfId="5" applyFont="1" applyFill="1" applyBorder="1" applyAlignment="1">
      <alignment horizontal="center"/>
    </xf>
    <xf numFmtId="0" fontId="43" fillId="44" borderId="19" xfId="5" applyFont="1" applyFill="1" applyBorder="1" applyAlignment="1">
      <alignment horizontal="center"/>
    </xf>
    <xf numFmtId="0" fontId="43" fillId="44" borderId="3" xfId="5" applyFont="1" applyFill="1" applyBorder="1" applyAlignment="1">
      <alignment horizontal="center"/>
    </xf>
    <xf numFmtId="0" fontId="21" fillId="11" borderId="245" xfId="0" applyFont="1" applyFill="1" applyBorder="1" applyAlignment="1">
      <alignment horizontal="center" vertical="center"/>
    </xf>
    <xf numFmtId="0" fontId="21" fillId="11" borderId="246" xfId="0" applyFont="1" applyFill="1" applyBorder="1" applyAlignment="1">
      <alignment horizontal="center" vertical="center"/>
    </xf>
    <xf numFmtId="0" fontId="21" fillId="11" borderId="203" xfId="0" applyFont="1" applyFill="1" applyBorder="1" applyAlignment="1">
      <alignment horizontal="center" vertical="center"/>
    </xf>
    <xf numFmtId="0" fontId="21" fillId="11" borderId="276" xfId="0" applyFont="1" applyFill="1" applyBorder="1" applyAlignment="1">
      <alignment horizontal="center" vertical="center"/>
    </xf>
    <xf numFmtId="0" fontId="21" fillId="11" borderId="52" xfId="0" applyFont="1" applyFill="1" applyBorder="1" applyAlignment="1">
      <alignment horizontal="center" vertical="center"/>
    </xf>
    <xf numFmtId="0" fontId="21" fillId="11" borderId="274" xfId="0" applyFont="1" applyFill="1" applyBorder="1" applyAlignment="1">
      <alignment horizontal="center" vertical="center"/>
    </xf>
    <xf numFmtId="0" fontId="21" fillId="11" borderId="275" xfId="0" applyFont="1" applyFill="1" applyBorder="1" applyAlignment="1">
      <alignment horizontal="center" vertical="center"/>
    </xf>
    <xf numFmtId="0" fontId="21" fillId="4" borderId="258" xfId="0" applyFont="1" applyFill="1" applyBorder="1" applyAlignment="1">
      <alignment horizontal="center" vertical="center"/>
    </xf>
    <xf numFmtId="0" fontId="21" fillId="4" borderId="277" xfId="0" applyFont="1" applyFill="1" applyBorder="1" applyAlignment="1">
      <alignment horizontal="center" vertical="center"/>
    </xf>
    <xf numFmtId="0" fontId="83" fillId="4" borderId="0" xfId="1" applyNumberFormat="1" applyFont="1" applyFill="1" applyAlignment="1">
      <alignment horizontal="left" vertical="top"/>
    </xf>
    <xf numFmtId="0" fontId="35" fillId="13" borderId="0" xfId="0" applyFont="1" applyFill="1" applyAlignment="1">
      <alignment horizontal="center" vertical="center"/>
    </xf>
    <xf numFmtId="0" fontId="29" fillId="11" borderId="3" xfId="3" applyFont="1" applyFill="1" applyBorder="1" applyAlignment="1" applyProtection="1">
      <alignment horizontal="center" vertical="center" wrapText="1"/>
    </xf>
    <xf numFmtId="0" fontId="21" fillId="11" borderId="41" xfId="0" applyFont="1" applyFill="1" applyBorder="1" applyAlignment="1">
      <alignment horizontal="center"/>
    </xf>
    <xf numFmtId="0" fontId="21" fillId="11" borderId="42" xfId="0" applyFont="1" applyFill="1" applyBorder="1" applyAlignment="1">
      <alignment horizontal="center"/>
    </xf>
    <xf numFmtId="0" fontId="21" fillId="4" borderId="0" xfId="0" applyFont="1" applyFill="1" applyAlignment="1">
      <alignment horizontal="center"/>
    </xf>
    <xf numFmtId="0" fontId="21" fillId="11" borderId="43" xfId="0" applyFont="1" applyFill="1" applyBorder="1" applyAlignment="1">
      <alignment horizontal="center" vertical="center"/>
    </xf>
    <xf numFmtId="0" fontId="21" fillId="11" borderId="43" xfId="0" applyFont="1" applyFill="1" applyBorder="1" applyAlignment="1">
      <alignment horizontal="center"/>
    </xf>
    <xf numFmtId="0" fontId="30" fillId="11" borderId="41" xfId="0" applyFont="1" applyFill="1" applyBorder="1" applyAlignment="1">
      <alignment horizontal="center" vertical="center"/>
    </xf>
    <xf numFmtId="0" fontId="30" fillId="11" borderId="43" xfId="0" applyFont="1" applyFill="1" applyBorder="1" applyAlignment="1">
      <alignment horizontal="center" vertical="center"/>
    </xf>
    <xf numFmtId="0" fontId="30" fillId="11" borderId="42" xfId="0" applyFont="1" applyFill="1" applyBorder="1" applyAlignment="1">
      <alignment horizontal="center" vertical="center"/>
    </xf>
    <xf numFmtId="0" fontId="7" fillId="0" borderId="173" xfId="0" applyFont="1" applyBorder="1" applyAlignment="1">
      <alignment horizontal="center"/>
    </xf>
    <xf numFmtId="0" fontId="118" fillId="4" borderId="32" xfId="0" applyFont="1" applyFill="1" applyBorder="1" applyAlignment="1">
      <alignment horizontal="left" vertical="center"/>
    </xf>
    <xf numFmtId="0" fontId="118" fillId="4" borderId="0" xfId="0" applyFont="1" applyFill="1" applyAlignment="1">
      <alignment horizontal="left" vertical="center"/>
    </xf>
    <xf numFmtId="3" fontId="7" fillId="0" borderId="173" xfId="0" applyNumberFormat="1" applyFont="1" applyBorder="1" applyAlignment="1">
      <alignment horizontal="center"/>
    </xf>
  </cellXfs>
  <cellStyles count="20">
    <cellStyle name="20% - Accent3 2" xfId="10" xr:uid="{90CF7517-AB31-B74F-BAF0-4E09387D1097}"/>
    <cellStyle name="20% - Accent5" xfId="13" builtinId="46"/>
    <cellStyle name="20% - Accent5 2" xfId="16" xr:uid="{9DB06318-207F-4649-8077-97FD9510C59A}"/>
    <cellStyle name="40% - Accent1" xfId="3" builtinId="31"/>
    <cellStyle name="40% - Accent1 2" xfId="8" xr:uid="{70B496CB-B484-6B4C-A393-024AD20AD3AB}"/>
    <cellStyle name="40% - Accent1 3" xfId="15" xr:uid="{2497123E-0F9D-B148-9C73-493C0B3DB144}"/>
    <cellStyle name="40% - Accent5" xfId="4" builtinId="47"/>
    <cellStyle name="Comma" xfId="1" builtinId="3"/>
    <cellStyle name="Currency" xfId="2" builtinId="4"/>
    <cellStyle name="Currency 2" xfId="18"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9" xr:uid="{F456F71F-F978-4954-8464-ABA5720CEF5B}"/>
    <cellStyle name="Percent" xfId="6" builtinId="5"/>
    <cellStyle name="Percent 2" xfId="14" xr:uid="{4FF58A8D-E0E1-4543-972D-7F21B64BCFFF}"/>
    <cellStyle name="Total" xfId="12" builtinId="25"/>
    <cellStyle name="Total 2" xfId="17" xr:uid="{B972BD2D-9E69-FE4C-B9F4-03FF251892F4}"/>
  </cellStyles>
  <dxfs count="209">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b val="0"/>
        <i/>
      </font>
      <fill>
        <patternFill>
          <bgColor theme="3" tint="0.79998168889431442"/>
        </patternFill>
      </fill>
    </dxf>
    <dxf>
      <font>
        <b val="0"/>
        <i/>
      </font>
      <fill>
        <patternFill>
          <bgColor theme="3" tint="0.79998168889431442"/>
        </patternFill>
      </fill>
    </dxf>
    <dxf>
      <fill>
        <patternFill>
          <bgColor rgb="FFF2EBDA"/>
        </patternFill>
      </fill>
    </dxf>
    <dxf>
      <font>
        <b val="0"/>
        <i/>
      </font>
      <fill>
        <patternFill>
          <bgColor theme="3" tint="0.79998168889431442"/>
        </patternFill>
      </fill>
    </dxf>
    <dxf>
      <fill>
        <patternFill>
          <bgColor rgb="FFF2EBDA"/>
        </patternFill>
      </fill>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3" formatCode="[$£-809]#,##0.00"/>
    </dxf>
    <dxf>
      <numFmt numFmtId="172" formatCode="[$$-409]#,##0.00"/>
    </dxf>
    <dxf>
      <numFmt numFmtId="170" formatCode="&quot;$&quot;#,##0.00"/>
    </dxf>
    <dxf>
      <numFmt numFmtId="184" formatCode="[$CAD]\ #,##0.00"/>
      <fill>
        <patternFill patternType="none">
          <bgColor auto="1"/>
        </patternFill>
      </fill>
    </dxf>
    <dxf>
      <fill>
        <patternFill>
          <bgColor theme="5" tint="0.79998168889431442"/>
        </patternFill>
      </fill>
    </dxf>
    <dxf>
      <fill>
        <patternFill>
          <bgColor theme="4" tint="0.79998168889431442"/>
        </patternFill>
      </fill>
    </dxf>
    <dxf>
      <font>
        <b/>
        <i val="0"/>
      </font>
      <fill>
        <patternFill>
          <bgColor rgb="FFFFC000"/>
        </patternFill>
      </fill>
      <border>
        <left style="thin">
          <color auto="1"/>
        </left>
        <right style="thin">
          <color auto="1"/>
        </right>
        <top style="thin">
          <color auto="1"/>
        </top>
        <bottom style="thin">
          <color auto="1"/>
        </bottom>
        <vertical/>
        <horizontal/>
      </border>
    </dxf>
    <dxf>
      <fill>
        <patternFill>
          <bgColor theme="6"/>
        </patternFill>
      </fill>
    </dxf>
    <dxf>
      <font>
        <b/>
        <i val="0"/>
        <color theme="0"/>
      </font>
      <fill>
        <patternFill>
          <bgColor theme="5"/>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6"/>
        </patternFill>
      </fill>
    </dxf>
    <dxf>
      <font>
        <b/>
        <i val="0"/>
        <color theme="0"/>
      </font>
      <fill>
        <patternFill>
          <bgColor theme="5"/>
        </patternFill>
      </fill>
    </dxf>
    <dxf>
      <font>
        <b/>
        <i val="0"/>
        <color theme="0"/>
      </font>
      <fill>
        <patternFill>
          <bgColor theme="9"/>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i val="0"/>
      </font>
      <fill>
        <patternFill>
          <bgColor rgb="FFFFC000"/>
        </patternFill>
      </fill>
      <border>
        <left style="thin">
          <color auto="1"/>
        </left>
        <right style="thin">
          <color auto="1"/>
        </right>
        <top style="thin">
          <color auto="1"/>
        </top>
        <bottom style="thin">
          <color auto="1"/>
        </bottom>
        <vertical/>
        <horizontal/>
      </border>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fill>
        <patternFill>
          <bgColor rgb="FFF2EBDA"/>
        </patternFill>
      </fill>
    </dxf>
    <dxf>
      <fill>
        <patternFill>
          <bgColor rgb="FFF2EBDA"/>
        </patternFill>
      </fill>
    </dxf>
    <dxf>
      <font>
        <b val="0"/>
        <i/>
      </font>
      <fill>
        <patternFill>
          <bgColor theme="3" tint="0.79998168889431442"/>
        </patternFill>
      </fill>
    </dxf>
    <dxf>
      <numFmt numFmtId="184" formatCode="[$CAD]\ #,##0.00"/>
      <fill>
        <patternFill patternType="none">
          <bgColor auto="1"/>
        </patternFill>
      </fill>
    </dxf>
    <dxf>
      <font>
        <b/>
        <i val="0"/>
      </font>
      <fill>
        <patternFill>
          <bgColor rgb="FFFFC000"/>
        </patternFill>
      </fill>
      <border>
        <left style="thin">
          <color auto="1"/>
        </left>
        <right style="thin">
          <color auto="1"/>
        </right>
        <top style="thin">
          <color auto="1"/>
        </top>
        <bottom style="thin">
          <color auto="1"/>
        </bottom>
        <vertical/>
        <horizontal/>
      </border>
    </dxf>
    <dxf>
      <numFmt numFmtId="183" formatCode="[$£-809]#,##0.00"/>
    </dxf>
    <dxf>
      <numFmt numFmtId="172" formatCode="[$$-409]#,##0.00"/>
    </dxf>
    <dxf>
      <numFmt numFmtId="170" formatCode="&quot;$&quot;#,##0.00"/>
    </dxf>
    <dxf>
      <numFmt numFmtId="184" formatCode="[$CAD]\ #,##0.00"/>
      <fill>
        <patternFill patternType="none">
          <bgColor auto="1"/>
        </patternFill>
      </fill>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numFmt numFmtId="183" formatCode="[$£-809]#,##0.00"/>
    </dxf>
    <dxf>
      <numFmt numFmtId="172" formatCode="[$$-409]#,##0.00"/>
    </dxf>
    <dxf>
      <numFmt numFmtId="170" formatCode="&quot;$&quot;#,##0.00"/>
    </dxf>
    <dxf>
      <numFmt numFmtId="184" formatCode="[$CAD]\ #,##0.00"/>
      <fill>
        <patternFill patternType="none">
          <bgColor auto="1"/>
        </patternFill>
      </fill>
    </dxf>
    <dxf>
      <font>
        <strike val="0"/>
        <outline val="0"/>
        <shadow val="0"/>
        <u val="none"/>
        <vertAlign val="baseline"/>
        <sz val="11"/>
        <color theme="1"/>
        <name val="Aptos Narrow"/>
        <family val="2"/>
        <scheme val="minor"/>
      </font>
    </dxf>
    <dxf>
      <font>
        <strike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73"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dxf>
    <dxf>
      <font>
        <b val="0"/>
        <i val="0"/>
        <strike val="0"/>
        <condense val="0"/>
        <extend val="0"/>
        <outline val="0"/>
        <shadow val="0"/>
        <u val="none"/>
        <vertAlign val="baseline"/>
        <sz val="11"/>
        <color theme="1"/>
        <name val="Aptos Narrow"/>
        <family val="2"/>
        <scheme val="minor"/>
      </font>
      <numFmt numFmtId="173"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dxf>
    <dxf>
      <border outline="0">
        <top style="medium">
          <color indexed="64"/>
        </top>
      </border>
    </dxf>
    <dxf>
      <font>
        <strike val="0"/>
        <outline val="0"/>
        <shadow val="0"/>
        <u val="none"/>
        <vertAlign val="baseline"/>
        <sz val="11"/>
        <color theme="1"/>
        <name val="Aptos Narrow"/>
        <family val="2"/>
        <scheme val="minor"/>
      </font>
    </dxf>
    <dxf>
      <border outline="0">
        <bottom style="medium">
          <color indexed="64"/>
        </bottom>
      </border>
    </dxf>
    <dxf>
      <font>
        <b/>
        <i val="0"/>
        <strike val="0"/>
        <condense val="0"/>
        <extend val="0"/>
        <outline val="0"/>
        <shadow val="0"/>
        <u val="none"/>
        <vertAlign val="baseline"/>
        <sz val="11"/>
        <color theme="1"/>
        <name val="Lato Regular"/>
        <scheme val="none"/>
      </font>
      <fill>
        <patternFill patternType="solid">
          <fgColor indexed="64"/>
          <bgColor theme="2"/>
        </patternFill>
      </fill>
    </dxf>
    <dxf>
      <font>
        <name val="Lato regular"/>
        <scheme val="none"/>
      </font>
    </dxf>
    <dxf>
      <font>
        <name val="Lato regular"/>
        <scheme val="none"/>
      </font>
    </dxf>
    <dxf>
      <font>
        <name val="Lato regular"/>
        <scheme val="none"/>
      </font>
    </dxf>
    <dxf>
      <font>
        <name val="Lato regular"/>
        <scheme val="none"/>
      </font>
    </dxf>
    <dxf>
      <font>
        <name val="Lato regular"/>
        <scheme val="none"/>
      </font>
    </dxf>
    <dxf>
      <font>
        <name val="Lato regular"/>
        <scheme val="none"/>
      </font>
    </dxf>
    <dxf>
      <font>
        <name val="Lato regular"/>
        <scheme val="none"/>
      </font>
    </dxf>
    <dxf>
      <font>
        <name val="Lato regular"/>
        <scheme val="none"/>
      </font>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right style="thin">
          <color theme="1"/>
        </right>
        <top style="thin">
          <color theme="1"/>
        </top>
        <bottom style="thin">
          <color theme="1"/>
        </bottom>
        <vertical style="thin">
          <color theme="1"/>
        </vertical>
        <horizontal style="thin">
          <color theme="1"/>
        </horizontal>
      </border>
    </dxf>
    <dxf>
      <border>
        <top style="thin">
          <color theme="1"/>
        </top>
      </border>
    </dxf>
    <dxf>
      <border diagonalUp="0" diagonalDown="0">
        <left style="thin">
          <color theme="1"/>
        </left>
        <right style="thin">
          <color theme="1"/>
        </right>
        <top style="thin">
          <color theme="1"/>
        </top>
        <bottom style="thin">
          <color theme="1"/>
        </bottom>
      </border>
    </dxf>
    <dxf>
      <border>
        <bottom style="thin">
          <color theme="1"/>
        </bottom>
      </border>
    </dxf>
    <dxf>
      <font>
        <b/>
        <i val="0"/>
        <strike val="0"/>
        <condense val="0"/>
        <extend val="0"/>
        <outline val="0"/>
        <shadow val="0"/>
        <u val="none"/>
        <vertAlign val="baseline"/>
        <sz val="11"/>
        <color theme="4"/>
        <name val="Lato Regular"/>
        <scheme val="none"/>
      </font>
      <fill>
        <patternFill patternType="solid">
          <fgColor indexed="64"/>
          <bgColor theme="2"/>
        </patternFill>
      </fill>
      <alignment horizontal="center" vertical="center" textRotation="0" wrapText="1" indent="0" justifyLastLine="0" shrinkToFit="0" readingOrder="0"/>
      <border diagonalUp="0" diagonalDown="0">
        <left style="thin">
          <color theme="1"/>
        </left>
        <right style="thin">
          <color theme="1"/>
        </right>
        <top/>
        <bottom/>
        <vertical style="thin">
          <color theme="1"/>
        </vertical>
        <horizontal style="thin">
          <color theme="1"/>
        </horizontal>
      </border>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208"/>
      <tableStyleElement type="headerRow" dxfId="207"/>
      <tableStyleElement type="firstRowStripe" dxfId="206"/>
      <tableStyleElement type="secondRowStripe" dxfId="205"/>
    </tableStyle>
  </tableStyles>
  <colors>
    <mruColors>
      <color rgb="FF215C98"/>
      <color rgb="FFFFC7CE"/>
      <color rgb="FFF2EBDA"/>
      <color rgb="FFFEA8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alcChain" Target="calcChain.xml"/><Relationship Id="rId30" Type="http://schemas.openxmlformats.org/officeDocument/2006/relationships/customXml" Target="../customXml/item3.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535869</xdr:colOff>
      <xdr:row>2</xdr:row>
      <xdr:rowOff>227541</xdr:rowOff>
    </xdr:from>
    <xdr:to>
      <xdr:col>23</xdr:col>
      <xdr:colOff>388056</xdr:colOff>
      <xdr:row>4</xdr:row>
      <xdr:rowOff>162921</xdr:rowOff>
    </xdr:to>
    <xdr:pic>
      <xdr:nvPicPr>
        <xdr:cNvPr id="2" name="Picture 1">
          <a:extLst>
            <a:ext uri="{FF2B5EF4-FFF2-40B4-BE49-F238E27FC236}">
              <a16:creationId xmlns:a16="http://schemas.microsoft.com/office/drawing/2014/main" id="{26A99FCE-47A9-1949-8DF6-1DA5244D5D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64969" y="697441"/>
          <a:ext cx="2547762" cy="4497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7</xdr:col>
          <xdr:colOff>342900</xdr:colOff>
          <xdr:row>14</xdr:row>
          <xdr:rowOff>182880</xdr:rowOff>
        </xdr:from>
        <xdr:to>
          <xdr:col>7</xdr:col>
          <xdr:colOff>1135380</xdr:colOff>
          <xdr:row>16</xdr:row>
          <xdr:rowOff>182880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358140</xdr:colOff>
          <xdr:row>16</xdr:row>
          <xdr:rowOff>396240</xdr:rowOff>
        </xdr:from>
        <xdr:to>
          <xdr:col>7</xdr:col>
          <xdr:colOff>1143000</xdr:colOff>
          <xdr:row>18</xdr:row>
          <xdr:rowOff>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358140</xdr:colOff>
          <xdr:row>17</xdr:row>
          <xdr:rowOff>243840</xdr:rowOff>
        </xdr:from>
        <xdr:to>
          <xdr:col>7</xdr:col>
          <xdr:colOff>1143000</xdr:colOff>
          <xdr:row>18</xdr:row>
          <xdr:rowOff>358140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358140</xdr:colOff>
          <xdr:row>18</xdr:row>
          <xdr:rowOff>320040</xdr:rowOff>
        </xdr:from>
        <xdr:to>
          <xdr:col>7</xdr:col>
          <xdr:colOff>1143000</xdr:colOff>
          <xdr:row>20</xdr:row>
          <xdr:rowOff>38100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373380</xdr:colOff>
          <xdr:row>19</xdr:row>
          <xdr:rowOff>281940</xdr:rowOff>
        </xdr:from>
        <xdr:to>
          <xdr:col>7</xdr:col>
          <xdr:colOff>1158240</xdr:colOff>
          <xdr:row>21</xdr:row>
          <xdr:rowOff>53340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358140</xdr:colOff>
          <xdr:row>15</xdr:row>
          <xdr:rowOff>487680</xdr:rowOff>
        </xdr:from>
        <xdr:to>
          <xdr:col>7</xdr:col>
          <xdr:colOff>1143000</xdr:colOff>
          <xdr:row>17</xdr:row>
          <xdr:rowOff>15240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373380</xdr:colOff>
          <xdr:row>20</xdr:row>
          <xdr:rowOff>266700</xdr:rowOff>
        </xdr:from>
        <xdr:to>
          <xdr:col>7</xdr:col>
          <xdr:colOff>1158240</xdr:colOff>
          <xdr:row>22</xdr:row>
          <xdr:rowOff>68580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381000</xdr:colOff>
          <xdr:row>21</xdr:row>
          <xdr:rowOff>266700</xdr:rowOff>
        </xdr:from>
        <xdr:to>
          <xdr:col>7</xdr:col>
          <xdr:colOff>1173480</xdr:colOff>
          <xdr:row>23</xdr:row>
          <xdr:rowOff>76200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30</xdr:col>
      <xdr:colOff>609600</xdr:colOff>
      <xdr:row>11</xdr:row>
      <xdr:rowOff>266700</xdr:rowOff>
    </xdr:from>
    <xdr:to>
      <xdr:col>31</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37</xdr:col>
      <xdr:colOff>317500</xdr:colOff>
      <xdr:row>13</xdr:row>
      <xdr:rowOff>12700</xdr:rowOff>
    </xdr:from>
    <xdr:to>
      <xdr:col>37</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Haley Heard (Credera)" id="{91071D41-1A54-4F2D-AD91-E9A2398C249C}" userId="haley.heard@credera.com" providerId="PeoplePicker"/>
  <person displayName="Charlotte Hackney (Credera)" id="{42F043B4-B55E-4D35-85E0-7E5671CEDE90}" userId="charlotte.hackney@credera.com" providerId="PeoplePicker"/>
  <person displayName="Ryan Crews (Credera)" id="{ECCDD2D4-3F45-497B-8E34-7D1A048B7414}" userId="S::ryan.crews@credera.com::59b4e417-dd3c-4691-a98b-050a5a01d28c" providerId="AD"/>
  <person displayName="Sierra Wagner (Credera)" id="{E4CD2CBA-D642-47C0-82EF-2A7684FF1D1B}" userId="S::sierra.wagner@credera.com::84f1cfb1-54a9-4789-a9d0-293847165d0c"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25.557568518518" createdVersion="8" refreshedVersion="8" minRefreshableVersion="3" recordCount="61" xr:uid="{A78F94E2-F48F-4DC3-B146-223DCC370214}">
  <cacheSource type="worksheet">
    <worksheetSource name="TB.ScopeEstimation"/>
  </cacheSource>
  <cacheFields count="18">
    <cacheField name="Bucket / Phase" numFmtId="9">
      <sharedItems containsBlank="1"/>
    </cacheField>
    <cacheField name="Workstream/ Parent / Epic / User Story  " numFmtId="0">
      <sharedItems containsBlank="1"/>
    </cacheField>
    <cacheField name="Child / Activity / Task" numFmtId="0">
      <sharedItems containsBlank="1" count="22">
        <s v="research formulas"/>
        <m/>
        <s v="Onboarding" u="1"/>
        <s v="Setup" u="1"/>
        <s v="Enviornment configuration" u="1"/>
        <s v="Setup user roles and masking" u="1"/>
        <s v="Data infrastructure setup" u="1"/>
        <s v="Data ingestion" u="1"/>
        <s v="Data normalization" u="1"/>
        <s v="Data testing" u="1"/>
        <s v="Data storage" u="1"/>
        <s v="Data quality" u="1"/>
        <s v="Data integration" u="1"/>
        <s v="Data enhancements" u="1"/>
        <s v="Data review" u="1"/>
        <s v="table 2" u="1"/>
        <s v="Test Child" u="1"/>
        <s v="Child 2" u="1"/>
        <s v="Child 3" u="1"/>
        <s v="Child 4" u="1"/>
        <s v="Child 5" u="1"/>
        <s v="Child 6" u="1"/>
      </sharedItems>
    </cacheField>
    <cacheField name="Effort Days Manual Input Consulting - ONLY" numFmtId="0">
      <sharedItems containsString="0" containsBlank="1" containsNumber="1" containsInteger="1" minValue="1" maxValue="5"/>
    </cacheField>
    <cacheField name="Complexity" numFmtId="9">
      <sharedItems containsBlank="1"/>
    </cacheField>
    <cacheField name="Column1" numFmtId="0">
      <sharedItems containsNonDate="0" containsString="0" containsBlank="1"/>
    </cacheField>
    <cacheField name="Column2" numFmtId="0">
      <sharedItems containsNonDate="0" containsString="0" containsBlank="1"/>
    </cacheField>
    <cacheField name="Column3" numFmtId="0">
      <sharedItems containsNonDate="0" containsString="0" containsBlank="1"/>
    </cacheField>
    <cacheField name="External Dependencies" numFmtId="9">
      <sharedItems containsBlank="1"/>
    </cacheField>
    <cacheField name="Weighted Effort Days" numFmtId="1">
      <sharedItems containsMixedTypes="1" containsNumber="1" containsInteger="1" minValue="1" maxValue="5"/>
    </cacheField>
    <cacheField name="Option 1" numFmtId="0">
      <sharedItems containsBlank="1"/>
    </cacheField>
    <cacheField name="Option 2" numFmtId="0">
      <sharedItems containsBlank="1"/>
    </cacheField>
    <cacheField name="Option 3" numFmtId="0">
      <sharedItems containsBlank="1"/>
    </cacheField>
    <cacheField name="Option 1 Weighted Effort" numFmtId="2">
      <sharedItems containsSemiMixedTypes="0" containsString="0" containsNumber="1" containsInteger="1" minValue="0" maxValue="5"/>
    </cacheField>
    <cacheField name="Option 2 Weighted Effort" numFmtId="2">
      <sharedItems containsSemiMixedTypes="0" containsString="0" containsNumber="1" containsInteger="1" minValue="0" maxValue="5"/>
    </cacheField>
    <cacheField name="Option 3 Weighted Effort" numFmtId="2">
      <sharedItems containsSemiMixedTypes="0" containsString="0" containsNumber="1" containsInteger="1" minValue="0" maxValue="4"/>
    </cacheField>
    <cacheField name="Assumptions" numFmtId="9">
      <sharedItems containsBlank="1"/>
    </cacheField>
    <cacheField name="Client Question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s v="Coding"/>
    <s v="intial formulas"/>
    <x v="0"/>
    <n v="5"/>
    <s v="None"/>
    <m/>
    <m/>
    <m/>
    <s v="No External Dependencies"/>
    <n v="5"/>
    <s v="Yes"/>
    <s v="Yes"/>
    <s v="No"/>
    <n v="5"/>
    <n v="5"/>
    <n v="0"/>
    <s v="Manual Entry"/>
    <s v="Manual Entry"/>
  </r>
  <r>
    <s v="UX Design"/>
    <m/>
    <x v="1"/>
    <n v="4"/>
    <m/>
    <m/>
    <m/>
    <m/>
    <m/>
    <n v="4"/>
    <s v="Yes"/>
    <s v="No"/>
    <s v="No"/>
    <n v="4"/>
    <n v="0"/>
    <n v="0"/>
    <s v="Manual Entry"/>
    <s v="Manual Entry"/>
  </r>
  <r>
    <s v="Coding"/>
    <m/>
    <x v="1"/>
    <n v="3"/>
    <m/>
    <m/>
    <m/>
    <m/>
    <m/>
    <n v="3"/>
    <s v="Yes"/>
    <s v="No"/>
    <s v="No"/>
    <n v="3"/>
    <n v="0"/>
    <n v="0"/>
    <m/>
    <m/>
  </r>
  <r>
    <s v="delivery stuff"/>
    <m/>
    <x v="1"/>
    <n v="2"/>
    <m/>
    <m/>
    <m/>
    <m/>
    <m/>
    <n v="2"/>
    <s v="Yes"/>
    <s v="No"/>
    <s v="No"/>
    <n v="2"/>
    <n v="0"/>
    <n v="0"/>
    <m/>
    <m/>
  </r>
  <r>
    <s v="delivery stuff"/>
    <m/>
    <x v="1"/>
    <n v="1"/>
    <m/>
    <m/>
    <m/>
    <m/>
    <m/>
    <n v="1"/>
    <s v="Yes"/>
    <s v="Yes"/>
    <s v="Yes"/>
    <n v="1"/>
    <n v="1"/>
    <n v="1"/>
    <m/>
    <m/>
  </r>
  <r>
    <s v="qa work"/>
    <m/>
    <x v="1"/>
    <n v="1"/>
    <m/>
    <m/>
    <m/>
    <m/>
    <m/>
    <n v="1"/>
    <s v="Yes"/>
    <s v="Yes"/>
    <s v="Yes"/>
    <n v="1"/>
    <n v="1"/>
    <n v="1"/>
    <m/>
    <m/>
  </r>
  <r>
    <s v="qa work"/>
    <m/>
    <x v="1"/>
    <n v="3"/>
    <m/>
    <m/>
    <m/>
    <m/>
    <m/>
    <n v="3"/>
    <s v="Yes"/>
    <s v="Yes"/>
    <s v="Yes"/>
    <n v="3"/>
    <n v="3"/>
    <n v="3"/>
    <m/>
    <m/>
  </r>
  <r>
    <s v="UX Design"/>
    <m/>
    <x v="1"/>
    <n v="4"/>
    <m/>
    <m/>
    <m/>
    <m/>
    <m/>
    <n v="4"/>
    <s v="Yes"/>
    <s v="Yes"/>
    <s v="Yes"/>
    <n v="4"/>
    <n v="4"/>
    <n v="4"/>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r>
    <m/>
    <m/>
    <x v="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16:T19" firstHeaderRow="1" firstDataRow="1" firstDataCol="1"/>
  <pivotFields count="18">
    <pivotField showAll="0"/>
    <pivotField showAll="0"/>
    <pivotField axis="axisRow" showAll="0">
      <items count="23">
        <item m="1" x="17"/>
        <item m="1" x="18"/>
        <item m="1" x="19"/>
        <item m="1" x="20"/>
        <item m="1" x="21"/>
        <item m="1" x="16"/>
        <item x="1"/>
        <item m="1" x="15"/>
        <item m="1" x="2"/>
        <item m="1" x="3"/>
        <item m="1" x="4"/>
        <item m="1" x="5"/>
        <item m="1" x="6"/>
        <item m="1" x="7"/>
        <item m="1" x="8"/>
        <item m="1" x="9"/>
        <item m="1" x="10"/>
        <item m="1" x="11"/>
        <item m="1" x="12"/>
        <item m="1" x="13"/>
        <item m="1" x="14"/>
        <item x="0"/>
        <item t="default"/>
      </items>
    </pivotField>
    <pivotField showAll="0"/>
    <pivotField showAll="0"/>
    <pivotField showAll="0"/>
    <pivotField showAll="0"/>
    <pivotField showAll="0"/>
    <pivotField showAll="0"/>
    <pivotField dataField="1" showAll="0"/>
    <pivotField showAll="0"/>
    <pivotField showAll="0"/>
    <pivotField showAll="0"/>
    <pivotField numFmtId="2" showAll="0"/>
    <pivotField numFmtId="2" showAll="0"/>
    <pivotField numFmtId="2" showAll="0"/>
    <pivotField showAll="0"/>
    <pivotField showAll="0"/>
  </pivotFields>
  <rowFields count="1">
    <field x="2"/>
  </rowFields>
  <rowItems count="3">
    <i>
      <x v="6"/>
    </i>
    <i>
      <x v="21"/>
    </i>
    <i t="grand">
      <x/>
    </i>
  </rowItems>
  <colItems count="1">
    <i/>
  </colItems>
  <dataFields count="1">
    <dataField name="Option 3 Weighted Effort Days " fld="9" baseField="2" baseItem="6"/>
  </dataFields>
  <formats count="4">
    <format dxfId="174">
      <pivotArea type="all" dataOnly="0" outline="0" fieldPosition="0"/>
    </format>
    <format dxfId="173">
      <pivotArea outline="0" collapsedLevelsAreSubtotals="1" fieldPosition="0"/>
    </format>
    <format dxfId="172">
      <pivotArea dataOnly="0" labelOnly="1" grandRow="1" outline="0" fieldPosition="0"/>
    </format>
    <format dxfId="171">
      <pivotArea dataOnly="0" labelOnly="1" outline="0" axis="axisValues" fieldPosition="0"/>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K19" firstHeaderRow="1" firstDataRow="1" firstDataCol="1"/>
  <pivotFields count="18">
    <pivotField showAll="0"/>
    <pivotField showAll="0"/>
    <pivotField axis="axisRow" showAll="0">
      <items count="23">
        <item m="1" x="17"/>
        <item m="1" x="18"/>
        <item m="1" x="19"/>
        <item m="1" x="20"/>
        <item m="1" x="21"/>
        <item m="1" x="16"/>
        <item x="1"/>
        <item m="1" x="15"/>
        <item m="1" x="2"/>
        <item m="1" x="3"/>
        <item m="1" x="4"/>
        <item m="1" x="5"/>
        <item m="1" x="6"/>
        <item m="1" x="7"/>
        <item m="1" x="8"/>
        <item m="1" x="9"/>
        <item m="1" x="10"/>
        <item m="1" x="11"/>
        <item m="1" x="12"/>
        <item m="1" x="13"/>
        <item m="1" x="14"/>
        <item x="0"/>
        <item t="default"/>
      </items>
    </pivotField>
    <pivotField showAll="0"/>
    <pivotField showAll="0"/>
    <pivotField showAll="0"/>
    <pivotField showAll="0"/>
    <pivotField showAll="0"/>
    <pivotField showAll="0"/>
    <pivotField dataField="1" showAll="0"/>
    <pivotField showAll="0"/>
    <pivotField showAll="0"/>
    <pivotField showAll="0"/>
    <pivotField numFmtId="2" showAll="0"/>
    <pivotField numFmtId="2" showAll="0"/>
    <pivotField numFmtId="2" showAll="0"/>
    <pivotField showAll="0"/>
    <pivotField showAll="0"/>
  </pivotFields>
  <rowFields count="1">
    <field x="2"/>
  </rowFields>
  <rowItems count="3">
    <i>
      <x v="6"/>
    </i>
    <i>
      <x v="21"/>
    </i>
    <i t="grand">
      <x/>
    </i>
  </rowItems>
  <colItems count="1">
    <i/>
  </colItems>
  <dataFields count="1">
    <dataField name="Option 2 Weighted Effort Days " fld="9" baseField="2" baseItem="6"/>
  </dataFields>
  <formats count="4">
    <format dxfId="178">
      <pivotArea type="all" dataOnly="0" outline="0" fieldPosition="0"/>
    </format>
    <format dxfId="177">
      <pivotArea outline="0" collapsedLevelsAreSubtotals="1" fieldPosition="0"/>
    </format>
    <format dxfId="176">
      <pivotArea dataOnly="0" labelOnly="1" grandRow="1" outline="0" fieldPosition="0"/>
    </format>
    <format dxfId="175">
      <pivotArea dataOnly="0" labelOnly="1" outline="0" axis="axisValues" fieldPosition="0"/>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Work Buckets">
  <location ref="B16:C19" firstHeaderRow="1" firstDataRow="1" firstDataCol="1"/>
  <pivotFields count="18">
    <pivotField showAll="0"/>
    <pivotField showAll="0"/>
    <pivotField axis="axisRow" showAll="0" defaultSubtotal="0">
      <items count="22">
        <item m="1" x="16"/>
        <item x="1"/>
        <item m="1" x="17"/>
        <item m="1" x="18"/>
        <item m="1" x="19"/>
        <item m="1" x="20"/>
        <item m="1" x="21"/>
        <item m="1" x="15"/>
        <item m="1" x="2"/>
        <item m="1" x="3"/>
        <item m="1" x="4"/>
        <item m="1" x="5"/>
        <item m="1" x="6"/>
        <item m="1" x="7"/>
        <item m="1" x="8"/>
        <item m="1" x="9"/>
        <item m="1" x="10"/>
        <item m="1" x="11"/>
        <item m="1" x="12"/>
        <item m="1" x="13"/>
        <item m="1" x="14"/>
        <item x="0"/>
      </items>
    </pivotField>
    <pivotField showAll="0"/>
    <pivotField showAll="0"/>
    <pivotField showAll="0"/>
    <pivotField showAll="0"/>
    <pivotField showAll="0"/>
    <pivotField showAll="0"/>
    <pivotField dataField="1" showAll="0"/>
    <pivotField multipleItemSelectionAllowed="1" showAll="0"/>
    <pivotField multipleItemSelectionAllowed="1" showAll="0"/>
    <pivotField multipleItemSelectionAllowed="1" showAll="0"/>
    <pivotField numFmtId="2" showAll="0"/>
    <pivotField numFmtId="2" showAll="0"/>
    <pivotField numFmtId="2" showAll="0"/>
    <pivotField showAll="0"/>
    <pivotField showAll="0"/>
  </pivotFields>
  <rowFields count="1">
    <field x="2"/>
  </rowFields>
  <rowItems count="3">
    <i>
      <x v="1"/>
    </i>
    <i>
      <x v="21"/>
    </i>
    <i t="grand">
      <x/>
    </i>
  </rowItems>
  <colItems count="1">
    <i/>
  </colItems>
  <dataFields count="1">
    <dataField name="Option 1 Weighted Effort Days" fld="9" baseField="2" baseItem="1"/>
  </dataFields>
  <formats count="4">
    <format dxfId="182">
      <pivotArea type="all" dataOnly="0" outline="0" fieldPosition="0"/>
    </format>
    <format dxfId="181">
      <pivotArea outline="0" collapsedLevelsAreSubtotals="1" fieldPosition="0"/>
    </format>
    <format dxfId="180">
      <pivotArea dataOnly="0" labelOnly="1" grandRow="1" outline="0" fieldPosition="0"/>
    </format>
    <format dxfId="179">
      <pivotArea dataOnly="0" labelOnly="1" outline="0" fieldPosition="0">
        <references count="1">
          <reference field="4294967294" count="1">
            <x v="0"/>
          </reference>
        </references>
      </pivotArea>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34:T95" totalsRowShown="0" headerRowDxfId="204" headerRowBorderDxfId="203" tableBorderDxfId="202" totalsRowBorderDxfId="201" headerRowCellStyle="40% - Accent1 2">
  <tableColumns count="18">
    <tableColumn id="1" xr3:uid="{CDACD88E-6C93-4AB0-89BC-74096E6C3CAD}" name="Bucket / Phase" dataDxfId="200" dataCellStyle="Percent"/>
    <tableColumn id="2" xr3:uid="{9520D4AC-5DDE-4B86-9BC1-66BFD863DB4A}" name="Workstream/ Parent / Epic / User Story  " dataDxfId="199"/>
    <tableColumn id="3" xr3:uid="{C2D7F3B4-96A8-4E1B-942A-9BEFD456B0B9}" name="Child / Activity / Task" dataDxfId="198"/>
    <tableColumn id="4" xr3:uid="{127845F1-20F9-404F-932D-8BCDAE1A81FF}" name="Effort Days Manual Input Consulting - ONLY" dataDxfId="197" dataCellStyle="Percent"/>
    <tableColumn id="5" xr3:uid="{09134761-1579-42FB-BFC7-A06DD1A1347D}" name="Complexity" dataDxfId="196" dataCellStyle="Percent"/>
    <tableColumn id="6" xr3:uid="{D00B0D51-1C31-49E0-B059-893AFC6E7C30}" name="Column1" dataDxfId="195" dataCellStyle="Percent"/>
    <tableColumn id="7" xr3:uid="{F09674D6-D57C-4BBA-85E3-4274341A14FA}" name="Column2" dataDxfId="194" dataCellStyle="Percent"/>
    <tableColumn id="8" xr3:uid="{E903B182-F2BC-4971-9B60-ACC62B366951}" name="Column3" dataDxfId="193" dataCellStyle="Percent"/>
    <tableColumn id="9" xr3:uid="{445EA20E-3CAD-4888-A180-6672B1C1FF35}" name="External Dependencies" dataDxfId="192" dataCellStyle="Percent"/>
    <tableColumn id="10" xr3:uid="{4657D092-3E55-4991-A822-5852C2909FA1}" name="Weighted Effort Days" dataDxfId="191" dataCellStyle="Percent">
      <calculatedColumnFormula>IF(ISBLANK(C35)," ",(IF($D$12="Consulting",IFERROR(F35*(1+_xlfn.XLOOKUP(G35,'1. Project Inputs'!$I$35:$I$41,'1. Project Inputs'!$J$35:$J$41)),F35),IF(C35="E-Commerce",(_xlfn.XLOOKUP(G35,'Complexity Factors'!$B$12:$B$18,'Complexity Factors'!$C$12:$C$18)*2.9),IF(C35="Services/Integrations",_xlfn.XLOOKUP(G35,'Complexity Factors'!$D$12:$D$16,'Complexity Factors'!$E$12:$E$16)*_xlfn.XLOOKUP($D$18,'Complexity Factors'!$B$41:$B$44,'Complexity Factors'!$D$41:$D$44),IF(C35="UI",_xlfn.XLOOKUP(G35,'Complexity Factors'!$B$12:$B$18,'Complexity Factors'!$C$12:$C$18)*_xlfn.XLOOKUP($D$18,'Complexity Factors'!$B$41:$B$44,'Complexity Factors'!$D$41:$D$44),_xlfn.XLOOKUP(G35,'Complexity Factors'!$B$12:$B$18,'Complexity Factors'!$C$12:$C$18)*_xlfn.XLOOKUP($D$18,'Complexity Factors'!$B$41:$B$44,'Complexity Factors'!$C$41:$C$44))))))*(1+_xlfn.XLOOKUP(K35,'Complexity Factors'!$B$24:$B$28,'Complexity Factors'!$C$24:$C$28)))</calculatedColumnFormula>
    </tableColumn>
    <tableColumn id="11" xr3:uid="{71E1F880-FF95-4F75-BF24-CAABEE643C5D}" name="Option 1" dataDxfId="190" dataCellStyle="Percent"/>
    <tableColumn id="12" xr3:uid="{96C63D13-F777-419F-9E7F-2F6AD8DCE282}" name="Option 2" dataDxfId="189"/>
    <tableColumn id="13" xr3:uid="{ADB38E7A-B037-4B85-B9FA-A19ED91E9F1F}" name="Option 3" dataDxfId="188"/>
    <tableColumn id="19" xr3:uid="{91EB4FF0-C424-4E25-9985-18D3ED78E252}" name="Option 1 Weighted Effort" dataDxfId="187">
      <calculatedColumnFormula>IF(TB.ScopeEstimation[[#This Row],[Option 1]]="Yes",TB.ScopeEstimation[[#This Row],[Weighted Effort Days]],0)</calculatedColumnFormula>
    </tableColumn>
    <tableColumn id="20" xr3:uid="{0DDE1C45-C53F-4352-A742-9D9D979C5699}" name="Option 2 Weighted Effort" dataDxfId="186">
      <calculatedColumnFormula>IF(TB.ScopeEstimation[[#This Row],[Option 2]]="Yes",TB.ScopeEstimation[[#This Row],[Weighted Effort Days]],0)</calculatedColumnFormula>
    </tableColumn>
    <tableColumn id="21" xr3:uid="{C175A5E7-3917-41E0-9066-0EE16C78B719}" name="Option 3 Weighted Effort" dataDxfId="185">
      <calculatedColumnFormula>IF(TB.ScopeEstimation[[#This Row],[Option 3]]="Yes",TB.ScopeEstimation[[#This Row],[Weighted Effort Days]],0)</calculatedColumnFormula>
    </tableColumn>
    <tableColumn id="14" xr3:uid="{3A214855-2616-4DAB-A0BC-253DC263F0E1}" name="Assumptions" dataDxfId="184" dataCellStyle="Percent"/>
    <tableColumn id="15" xr3:uid="{84BEC336-F131-445A-84E6-010B62ADB664}" name="Client Questions" dataDxfId="183"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7:J432" totalsRowShown="0" headerRowDxfId="170" dataDxfId="168" headerRowBorderDxfId="169" tableBorderDxfId="167">
  <autoFilter ref="B7:J432" xr:uid="{5A3D5BCA-6CA9-47DE-B63D-E7157B73A0BC}"/>
  <sortState xmlns:xlrd2="http://schemas.microsoft.com/office/spreadsheetml/2017/richdata2" ref="B8:H206">
    <sortCondition ref="C7:C432"/>
  </sortState>
  <tableColumns count="9">
    <tableColumn id="1" xr3:uid="{19257265-FC7F-4DBD-8EB8-571F7EA2698B}" name="Resource Organization" dataDxfId="166"/>
    <tableColumn id="2" xr3:uid="{FF5D4101-3301-422A-8FA1-0B9C2A1AE1BB}" name="Role Type" dataDxfId="165"/>
    <tableColumn id="3" xr3:uid="{7FD197D2-4519-41F4-A321-E781B0729B14}" name="Resource Title" dataDxfId="164"/>
    <tableColumn id="4" xr3:uid="{32973F31-AE63-447C-B74F-C39875BE8C95}" name="Resource Cost" dataDxfId="163"/>
    <tableColumn id="5" xr3:uid="{D63827DA-D1D8-4FF5-927A-866B6C38F7F0}" name="On/OffShore" dataDxfId="162"/>
    <tableColumn id="6" xr3:uid="{0D937606-643A-4DC0-8870-16C9105C4696}" name="Rack Rate" dataDxfId="161" dataCellStyle="Currency"/>
    <tableColumn id="7" xr3:uid="{5094DAF2-CCD3-4512-B081-35DA37FEBBF3}" name="Level" dataDxfId="160" dataCellStyle="Currency"/>
    <tableColumn id="8" xr3:uid="{D126FE3E-ED27-4709-9135-A013BF0B5F49}" name="transfer Rate" dataDxfId="159"/>
    <tableColumn id="9" xr3:uid="{E6BBEA95-64A6-424F-91D8-6541D2819A80}" name="Transfer Cost" dataDxfId="15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7" dT="2025-07-08T14:40:58.12" personId="{E4CD2CBA-D642-47C0-82EF-2A7684FF1D1B}" id="{E264E545-2087-439C-9C78-9A7960D53E20}">
    <text>Which checklist? #5 Projector Check List?</text>
  </threadedComment>
</ThreadedComments>
</file>

<file path=xl/threadedComments/threadedComment2.xml><?xml version="1.0" encoding="utf-8"?>
<ThreadedComments xmlns="http://schemas.microsoft.com/office/spreadsheetml/2018/threadedcomments" xmlns:x="http://schemas.openxmlformats.org/spreadsheetml/2006/main">
  <threadedComment ref="E11" dT="2025-06-12T19:55:42.15" personId="{325436A3-E77A-4196-9FD7-15D94593445C}" id="{0C9B29A7-D4C1-4A5D-9E52-5EDC06746626}">
    <text>Do we add a quick CredUS pricing calculator</text>
  </threadedComment>
  <threadedComment ref="E33" dT="2025-07-08T15:09:28.24" personId="{325436A3-E77A-4196-9FD7-15D94593445C}" id="{78C04221-0F47-4E0D-8B7E-DF89A57B28D2}">
    <text xml:space="preserve">Kill this table
</text>
  </threadedComment>
  <threadedComment ref="I33" dT="2025-07-08T15:09:39.50" personId="{325436A3-E77A-4196-9FD7-15D94593445C}" id="{F4BEA96E-01BC-4E7A-A3B3-5AC0932DE0E6}">
    <text>kill</text>
  </threadedComment>
  <threadedComment ref="J34" dT="2025-06-12T19:29:53.82" personId="{325436A3-E77A-4196-9FD7-15D94593445C}" id="{327A0112-EB50-4A36-8BA4-E113BD4D2AF7}">
    <text>Do we kill this?</text>
  </threadedComment>
</ThreadedComments>
</file>

<file path=xl/threadedComments/threadedComment3.xml><?xml version="1.0" encoding="utf-8"?>
<ThreadedComments xmlns="http://schemas.microsoft.com/office/spreadsheetml/2018/threadedcomments" xmlns:x="http://schemas.openxmlformats.org/spreadsheetml/2006/main">
  <threadedComment ref="C13" dT="2025-05-06T19:57:04.61" personId="{ECCDD2D4-3F45-497B-8E34-7D1A048B7414}" id="{EF6B77D9-0670-474E-A4BB-B848A820787C}">
    <text>Can we just call this Project/Opportunity Code so that it can be agnostic for Dynamics as well?</text>
  </threadedComment>
  <threadedComment ref="AH34" dT="2025-07-02T21:56:03.35" personId="{325436A3-E77A-4196-9FD7-15D94593445C}" id="{1E5BB24F-5B52-425B-B629-840D32443525}">
    <text>Update this to be next Monday after start date</text>
  </threadedComment>
  <threadedComment ref="C48" dT="2025-06-17T18:44:21.25" personId="{325436A3-E77A-4196-9FD7-15D94593445C}" id="{D3917580-775E-4A4B-B07F-26B8116DBCAA}">
    <text xml:space="preserve">Do we even need this column? Need to check the requirements. </text>
  </threadedComment>
  <threadedComment ref="D48" dT="2025-06-17T18:48:10.56" personId="{325436A3-E77A-4196-9FD7-15D94593445C}" id="{EB628F9C-EE94-455F-8D99-7C4E9F63731E}">
    <text>@Haley Heard (Credera) @Charlotte Hackney (Credera) can we move all the required to the left or have conditional formatting for highlighting? But then we need to figure out how to be clear with difference between int. required and like user required (Charlotte’s example of what if they choose TADIndia, can it make the three columns look required but indicate nothing is needed if CredUS resource?)</text>
    <mentions>
      <mention mentionpersonId="{91071D41-1A54-4F2D-AD91-E9A2398C249C}" mentionId="{A4DE9009-1D4F-4FA8-B780-CECD76D9B84D}" startIndex="0" length="22"/>
      <mention mentionpersonId="{42F043B4-B55E-4D35-85E0-7E5671CEDE90}" mentionId="{42CAA438-DA12-46A6-8759-200659A2F561}" startIndex="23" length="28"/>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C67" dT="2025-06-11T19:44:49.48" personId="{325436A3-E77A-4196-9FD7-15D94593445C}" id="{54F849C0-DA4D-46BD-ABB1-39718E5F5760}">
    <text>Does this formula change based on expenses being billable/non-billable</text>
  </threadedComment>
</ThreadedComments>
</file>

<file path=xl/threadedComments/threadedComment5.xml><?xml version="1.0" encoding="utf-8"?>
<ThreadedComments xmlns="http://schemas.microsoft.com/office/spreadsheetml/2018/threadedcomments" xmlns:x="http://schemas.openxmlformats.org/spreadsheetml/2006/main">
  <threadedComment ref="L35" dT="2025-06-12T19:29:42.60" personId="{325436A3-E77A-4196-9FD7-15D94593445C}" id="{31083D05-3E87-4DA5-939D-C7DABFC68AD8}">
    <text xml:space="preserve">Why is this calculating 6 if I add External Dependencies?
</text>
  </threadedComment>
</ThreadedComments>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12"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omments" Target="../comments1.xml"/><Relationship Id="rId5" Type="http://schemas.openxmlformats.org/officeDocument/2006/relationships/ctrlProp" Target="../ctrlProps/ctrlProp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6.vml"/><Relationship Id="rId1" Type="http://schemas.openxmlformats.org/officeDocument/2006/relationships/printerSettings" Target="../printerSettings/printerSettings2.bin"/><Relationship Id="rId5" Type="http://schemas.microsoft.com/office/2017/10/relationships/threadedComment" Target="../threadedComments/threadedComment5.xml"/><Relationship Id="rId4"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E56"/>
  <sheetViews>
    <sheetView showGridLines="0" topLeftCell="A15" zoomScale="82" zoomScaleNormal="85" workbookViewId="0">
      <selection activeCell="C54" sqref="C54"/>
    </sheetView>
  </sheetViews>
  <sheetFormatPr defaultColWidth="10.21875" defaultRowHeight="18.75" customHeight="1" x14ac:dyDescent="0.3"/>
  <cols>
    <col min="1" max="1" width="6.21875" style="5" customWidth="1"/>
    <col min="2" max="2" width="4" style="5" customWidth="1"/>
    <col min="3" max="3" width="35.44140625" style="1" customWidth="1"/>
    <col min="4" max="4" width="72.77734375" style="5" customWidth="1"/>
    <col min="5" max="5" width="13.44140625" style="1" customWidth="1"/>
    <col min="6" max="6" width="30.77734375" style="1" customWidth="1"/>
    <col min="7" max="7" width="42.44140625" style="1" customWidth="1"/>
    <col min="8" max="8" width="52.44140625" style="1" customWidth="1"/>
    <col min="9" max="9" width="12.77734375" style="2" customWidth="1"/>
    <col min="10" max="10" width="49" style="1" customWidth="1"/>
    <col min="11" max="11" width="11.44140625" style="1" customWidth="1"/>
    <col min="12" max="12" width="9.77734375" style="1" customWidth="1"/>
    <col min="13" max="13" width="11.44140625" style="1" customWidth="1"/>
    <col min="14" max="14" width="23" style="1" customWidth="1"/>
    <col min="15" max="15" width="29.44140625" style="1" customWidth="1"/>
    <col min="16" max="16" width="20.44140625" style="1" bestFit="1" customWidth="1"/>
    <col min="17" max="19" width="10.21875" style="1"/>
    <col min="20" max="20" width="16.44140625" style="1" bestFit="1" customWidth="1"/>
    <col min="21" max="21" width="9.77734375" style="1" bestFit="1" customWidth="1"/>
    <col min="22" max="22" width="15.44140625" style="1" bestFit="1" customWidth="1"/>
    <col min="23" max="23" width="9.77734375" style="1" bestFit="1" customWidth="1"/>
    <col min="24" max="29" width="10.21875" style="1"/>
    <col min="30" max="30" width="164" style="1" customWidth="1"/>
    <col min="31" max="31" width="175.44140625" style="1" customWidth="1"/>
    <col min="32" max="16384" width="10.21875" style="1"/>
  </cols>
  <sheetData>
    <row r="1" spans="1:31" ht="17.399999999999999" x14ac:dyDescent="0.3">
      <c r="A1" s="1606"/>
      <c r="B1" s="1606"/>
      <c r="C1" s="1606"/>
      <c r="D1" s="1606"/>
    </row>
    <row r="2" spans="1:31" ht="18" thickBot="1" x14ac:dyDescent="0.35">
      <c r="A2" s="1606"/>
      <c r="B2" s="1606"/>
      <c r="C2" s="1606"/>
      <c r="D2" s="1606"/>
    </row>
    <row r="3" spans="1:31" s="4" customFormat="1" ht="20.399999999999999" x14ac:dyDescent="0.3">
      <c r="A3" s="3"/>
      <c r="B3" s="317"/>
      <c r="C3" s="318"/>
      <c r="D3" s="319"/>
      <c r="E3" s="318"/>
      <c r="F3" s="318"/>
      <c r="G3" s="318"/>
      <c r="H3" s="318"/>
      <c r="I3" s="320"/>
      <c r="J3" s="318"/>
      <c r="K3" s="318"/>
      <c r="L3" s="318"/>
      <c r="M3" s="318"/>
      <c r="N3" s="318"/>
      <c r="O3" s="318"/>
      <c r="P3" s="318"/>
      <c r="Q3" s="318"/>
      <c r="R3" s="318"/>
      <c r="S3" s="318"/>
      <c r="T3" s="318"/>
      <c r="U3" s="318"/>
      <c r="V3" s="318"/>
      <c r="W3" s="318"/>
      <c r="X3" s="321"/>
    </row>
    <row r="4" spans="1:31" s="4" customFormat="1" ht="22.2" x14ac:dyDescent="0.3">
      <c r="A4" s="3"/>
      <c r="B4" s="322"/>
      <c r="C4" s="323" t="s">
        <v>0</v>
      </c>
      <c r="D4" s="324"/>
      <c r="E4" s="325"/>
      <c r="F4" s="325"/>
      <c r="G4" s="325"/>
      <c r="H4" s="329"/>
      <c r="I4" s="1616" t="s">
        <v>1</v>
      </c>
      <c r="J4" s="1616"/>
      <c r="K4" s="1616"/>
      <c r="L4" s="325"/>
      <c r="M4" s="325"/>
      <c r="N4" s="325"/>
      <c r="O4" s="325"/>
      <c r="P4" s="325"/>
      <c r="Q4" s="325"/>
      <c r="R4" s="325"/>
      <c r="S4" s="325"/>
      <c r="T4" s="325"/>
      <c r="U4" s="325"/>
      <c r="V4" s="325"/>
      <c r="W4" s="325"/>
      <c r="X4" s="327"/>
      <c r="AD4" s="489"/>
      <c r="AE4" s="490"/>
    </row>
    <row r="5" spans="1:31" s="4" customFormat="1" ht="17.25" customHeight="1" x14ac:dyDescent="0.3">
      <c r="A5" s="3"/>
      <c r="B5" s="322"/>
      <c r="C5" s="329"/>
      <c r="D5" s="329"/>
      <c r="E5" s="329"/>
      <c r="F5" s="329"/>
      <c r="G5" s="329"/>
      <c r="H5" s="329"/>
      <c r="I5" s="544"/>
      <c r="J5" s="1588" t="s">
        <v>2</v>
      </c>
      <c r="K5" s="1588"/>
      <c r="L5" s="325"/>
      <c r="M5" s="325"/>
      <c r="N5" s="503"/>
      <c r="O5" s="325"/>
      <c r="P5" s="325"/>
      <c r="Q5" s="325"/>
      <c r="R5" s="325"/>
      <c r="S5" s="325"/>
      <c r="T5" s="325"/>
      <c r="U5" s="325"/>
      <c r="V5" s="325"/>
      <c r="W5" s="325"/>
      <c r="X5" s="327"/>
      <c r="AE5" s="491"/>
    </row>
    <row r="6" spans="1:31" s="4" customFormat="1" ht="20.25" customHeight="1" x14ac:dyDescent="0.3">
      <c r="A6" s="3"/>
      <c r="B6" s="322"/>
      <c r="C6" s="364" t="s">
        <v>3</v>
      </c>
      <c r="D6" s="324"/>
      <c r="E6" s="325"/>
      <c r="F6" s="325"/>
      <c r="G6" s="325"/>
      <c r="H6" s="329"/>
      <c r="I6" s="545"/>
      <c r="J6" s="1589" t="s">
        <v>4</v>
      </c>
      <c r="K6" s="1590"/>
      <c r="L6" s="325"/>
      <c r="M6" s="325"/>
      <c r="N6" s="504"/>
      <c r="O6" s="325"/>
      <c r="P6" s="325"/>
      <c r="Q6" s="325"/>
      <c r="R6" s="325"/>
      <c r="S6" s="325"/>
      <c r="T6" s="325"/>
      <c r="U6" s="325"/>
      <c r="V6" s="325"/>
      <c r="W6" s="325"/>
      <c r="X6" s="327"/>
      <c r="AE6" s="491"/>
    </row>
    <row r="7" spans="1:31" s="4" customFormat="1" ht="31.05" customHeight="1" x14ac:dyDescent="0.3">
      <c r="A7" s="3"/>
      <c r="B7" s="322"/>
      <c r="C7" s="1617" t="s">
        <v>2077</v>
      </c>
      <c r="D7" s="1617"/>
      <c r="E7" s="1617"/>
      <c r="F7" s="1617"/>
      <c r="G7" s="1617"/>
      <c r="H7" s="933"/>
      <c r="I7" s="546"/>
      <c r="J7" s="1588" t="s">
        <v>5</v>
      </c>
      <c r="K7" s="1588"/>
      <c r="L7" s="325"/>
      <c r="M7" s="325"/>
      <c r="N7" s="325"/>
      <c r="O7" s="325"/>
      <c r="P7" s="325"/>
      <c r="Q7" s="325"/>
      <c r="R7" s="325"/>
      <c r="S7" s="325"/>
      <c r="T7" s="325"/>
      <c r="U7" s="325"/>
      <c r="V7" s="325"/>
      <c r="W7" s="325"/>
      <c r="X7" s="327"/>
    </row>
    <row r="8" spans="1:31" s="4" customFormat="1" ht="20.25" customHeight="1" x14ac:dyDescent="0.3">
      <c r="A8" s="3"/>
      <c r="B8" s="322"/>
      <c r="C8" s="525" t="s">
        <v>6</v>
      </c>
      <c r="D8" s="329"/>
      <c r="E8" s="325"/>
      <c r="F8" s="325"/>
      <c r="G8" s="325"/>
      <c r="H8" s="329"/>
      <c r="I8" s="547" t="s">
        <v>7</v>
      </c>
      <c r="J8" s="1588" t="s">
        <v>8</v>
      </c>
      <c r="K8" s="1588"/>
      <c r="L8" s="325"/>
      <c r="M8" s="325"/>
      <c r="N8" s="325"/>
      <c r="O8" s="325"/>
      <c r="P8" s="325"/>
      <c r="Q8" s="325"/>
      <c r="R8" s="325"/>
      <c r="S8" s="325"/>
      <c r="T8" s="325"/>
      <c r="U8" s="325"/>
      <c r="V8" s="325"/>
      <c r="W8" s="325"/>
      <c r="X8" s="327"/>
    </row>
    <row r="9" spans="1:31" s="4" customFormat="1" ht="20.399999999999999" x14ac:dyDescent="0.3">
      <c r="A9" s="3"/>
      <c r="B9" s="322"/>
      <c r="C9" s="525" t="s">
        <v>9</v>
      </c>
      <c r="D9" s="329"/>
      <c r="E9" s="325"/>
      <c r="F9" s="325"/>
      <c r="G9" s="325"/>
      <c r="H9" s="329"/>
      <c r="I9" s="548" t="s">
        <v>10</v>
      </c>
      <c r="J9" s="1588" t="s">
        <v>11</v>
      </c>
      <c r="K9" s="1588"/>
      <c r="L9" s="325"/>
      <c r="M9" s="342"/>
      <c r="N9" s="325"/>
      <c r="O9" s="325"/>
      <c r="P9" s="325"/>
      <c r="Q9" s="325"/>
      <c r="R9" s="325"/>
      <c r="S9" s="325"/>
      <c r="T9" s="325"/>
      <c r="U9" s="325"/>
      <c r="V9" s="339"/>
      <c r="W9" s="325"/>
      <c r="X9" s="327"/>
    </row>
    <row r="10" spans="1:31" s="4" customFormat="1" ht="20.399999999999999" x14ac:dyDescent="0.3">
      <c r="A10" s="3"/>
      <c r="B10" s="322"/>
      <c r="C10" s="525" t="s">
        <v>12</v>
      </c>
      <c r="D10" s="329"/>
      <c r="E10" s="325"/>
      <c r="F10" s="325"/>
      <c r="G10" s="325"/>
      <c r="H10" s="329"/>
      <c r="I10" s="329"/>
      <c r="J10" s="329"/>
      <c r="K10" s="325"/>
      <c r="L10" s="325"/>
      <c r="M10" s="325"/>
      <c r="N10" s="325"/>
      <c r="O10" s="325"/>
      <c r="P10" s="325"/>
      <c r="Q10" s="325"/>
      <c r="R10" s="325"/>
      <c r="S10" s="325"/>
      <c r="T10" s="325"/>
      <c r="U10" s="325"/>
      <c r="V10" s="340"/>
      <c r="W10" s="325"/>
      <c r="X10" s="327"/>
    </row>
    <row r="11" spans="1:31" s="4" customFormat="1" ht="20.399999999999999" x14ac:dyDescent="0.3">
      <c r="A11" s="3"/>
      <c r="B11" s="322"/>
      <c r="C11" s="525" t="s">
        <v>13</v>
      </c>
      <c r="D11" s="329"/>
      <c r="E11" s="325"/>
      <c r="F11" s="325"/>
      <c r="G11" s="325"/>
      <c r="H11" s="329"/>
      <c r="I11" s="329"/>
      <c r="J11" s="329"/>
      <c r="K11" s="325"/>
      <c r="L11" s="325"/>
      <c r="M11" s="325"/>
      <c r="N11" s="325"/>
      <c r="O11" s="325"/>
      <c r="P11" s="325"/>
      <c r="Q11" s="325"/>
      <c r="R11" s="325"/>
      <c r="S11" s="325"/>
      <c r="T11" s="325"/>
      <c r="U11" s="325"/>
      <c r="V11" s="341"/>
      <c r="W11" s="325"/>
      <c r="X11" s="327"/>
    </row>
    <row r="12" spans="1:31" s="4" customFormat="1" ht="20.399999999999999" x14ac:dyDescent="0.3">
      <c r="A12" s="3"/>
      <c r="B12" s="322"/>
      <c r="C12" s="525" t="s">
        <v>14</v>
      </c>
      <c r="D12" s="329"/>
      <c r="E12" s="325"/>
      <c r="F12" s="325"/>
      <c r="G12" s="325"/>
      <c r="H12" s="325"/>
      <c r="I12" s="329"/>
      <c r="J12" s="326"/>
      <c r="K12" s="325"/>
      <c r="L12" s="325"/>
      <c r="M12" s="342"/>
      <c r="N12" s="325"/>
      <c r="O12" s="325"/>
      <c r="P12" s="325"/>
      <c r="Q12" s="325"/>
      <c r="R12" s="325"/>
      <c r="S12" s="325"/>
      <c r="T12" s="325"/>
      <c r="U12" s="325"/>
      <c r="V12" s="325"/>
      <c r="W12" s="325"/>
      <c r="X12" s="327"/>
    </row>
    <row r="13" spans="1:31" s="4" customFormat="1" ht="20.399999999999999" x14ac:dyDescent="0.3">
      <c r="A13" s="3"/>
      <c r="B13" s="322"/>
      <c r="C13" s="328"/>
      <c r="D13" s="329"/>
      <c r="E13" s="325"/>
      <c r="F13" s="325"/>
      <c r="G13" s="325"/>
      <c r="H13" s="325"/>
      <c r="I13" s="326"/>
      <c r="J13" s="325"/>
      <c r="K13" s="325"/>
      <c r="L13" s="325"/>
      <c r="M13" s="325"/>
      <c r="N13" s="325"/>
      <c r="O13" s="325"/>
      <c r="P13" s="325"/>
      <c r="Q13" s="325"/>
      <c r="R13" s="325"/>
      <c r="S13" s="325"/>
      <c r="T13" s="325"/>
      <c r="U13" s="325"/>
      <c r="V13" s="325"/>
      <c r="W13" s="325"/>
      <c r="X13" s="327"/>
    </row>
    <row r="14" spans="1:31" s="4" customFormat="1" ht="20.399999999999999" x14ac:dyDescent="0.3">
      <c r="A14" s="3"/>
      <c r="B14" s="322"/>
      <c r="C14" s="364" t="s">
        <v>15</v>
      </c>
      <c r="D14" s="324"/>
      <c r="E14" s="325"/>
      <c r="F14" s="329"/>
      <c r="G14" s="329"/>
      <c r="H14" s="363" t="s">
        <v>16</v>
      </c>
      <c r="I14" s="329"/>
      <c r="J14" s="329"/>
      <c r="K14" s="325"/>
      <c r="L14" s="325"/>
      <c r="M14" s="329"/>
      <c r="N14" s="329"/>
      <c r="O14" s="325"/>
      <c r="P14" s="325"/>
      <c r="Q14" s="325"/>
      <c r="R14" s="325"/>
      <c r="S14" s="325"/>
      <c r="T14" s="325" t="s">
        <v>17</v>
      </c>
      <c r="U14" s="325"/>
      <c r="V14" s="325"/>
      <c r="W14" s="325"/>
      <c r="X14" s="327"/>
    </row>
    <row r="15" spans="1:31" s="4" customFormat="1" ht="23.25" customHeight="1" x14ac:dyDescent="0.3">
      <c r="A15" s="3"/>
      <c r="B15" s="322"/>
      <c r="C15" s="328"/>
      <c r="D15" s="324"/>
      <c r="E15" s="325"/>
      <c r="F15" s="329"/>
      <c r="G15" s="329"/>
      <c r="H15" s="514" t="s">
        <v>18</v>
      </c>
      <c r="I15" s="329"/>
      <c r="J15" s="329"/>
      <c r="K15" s="325"/>
      <c r="L15" s="325"/>
      <c r="M15" s="329"/>
      <c r="N15" s="329"/>
      <c r="O15" s="325"/>
      <c r="P15" s="325"/>
      <c r="Q15" s="325"/>
      <c r="R15" s="325"/>
      <c r="S15" s="325"/>
      <c r="T15" s="325"/>
      <c r="U15" s="325"/>
      <c r="V15" s="325"/>
      <c r="W15" s="325"/>
      <c r="X15" s="327"/>
    </row>
    <row r="16" spans="1:31" s="4" customFormat="1" ht="21" thickBot="1" x14ac:dyDescent="0.35">
      <c r="A16" s="3"/>
      <c r="B16" s="322"/>
      <c r="C16" s="524" t="s">
        <v>19</v>
      </c>
      <c r="D16" s="1594" t="s">
        <v>20</v>
      </c>
      <c r="E16" s="1594"/>
      <c r="F16" s="1595"/>
      <c r="G16" s="329"/>
      <c r="H16" s="511" t="s">
        <v>2078</v>
      </c>
      <c r="I16" s="325"/>
      <c r="J16" s="329"/>
      <c r="K16" s="325"/>
      <c r="L16" s="325"/>
      <c r="M16" s="329"/>
      <c r="N16" s="329"/>
      <c r="O16" s="325"/>
      <c r="P16" s="325"/>
      <c r="Q16" s="325"/>
      <c r="R16" s="325"/>
      <c r="S16" s="325"/>
      <c r="T16" s="325"/>
      <c r="U16" s="325"/>
      <c r="V16" s="325"/>
      <c r="W16" s="325"/>
      <c r="X16" s="327"/>
    </row>
    <row r="17" spans="1:24" s="4" customFormat="1" ht="39" customHeight="1" thickTop="1" x14ac:dyDescent="0.3">
      <c r="A17" s="3"/>
      <c r="B17" s="322"/>
      <c r="C17" s="519" t="s">
        <v>21</v>
      </c>
      <c r="D17" s="1607" t="s">
        <v>22</v>
      </c>
      <c r="E17" s="1608"/>
      <c r="F17" s="1609"/>
      <c r="G17" s="329"/>
      <c r="H17" s="511" t="s">
        <v>23</v>
      </c>
      <c r="I17" s="325"/>
      <c r="J17" s="329"/>
      <c r="K17" s="325"/>
      <c r="L17" s="325"/>
      <c r="M17" s="329"/>
      <c r="N17" s="329"/>
      <c r="O17" s="325"/>
      <c r="P17" s="325"/>
      <c r="Q17" s="325"/>
      <c r="R17" s="325"/>
      <c r="S17" s="325"/>
      <c r="T17" s="325"/>
      <c r="U17" s="325"/>
      <c r="V17" s="325"/>
      <c r="W17" s="325"/>
      <c r="X17" s="327"/>
    </row>
    <row r="18" spans="1:24" s="4" customFormat="1" ht="33.75" customHeight="1" x14ac:dyDescent="0.3">
      <c r="A18" s="3"/>
      <c r="B18" s="322"/>
      <c r="C18" s="520" t="s">
        <v>24</v>
      </c>
      <c r="D18" s="1610" t="s">
        <v>25</v>
      </c>
      <c r="E18" s="1611"/>
      <c r="F18" s="1612"/>
      <c r="G18" s="329"/>
      <c r="H18" s="512" t="s">
        <v>26</v>
      </c>
      <c r="I18" s="325"/>
      <c r="J18" s="329"/>
      <c r="K18" s="325"/>
      <c r="L18" s="325"/>
      <c r="M18" s="329"/>
      <c r="N18" s="329"/>
      <c r="O18" s="325"/>
      <c r="P18" s="325"/>
      <c r="Q18" s="325"/>
      <c r="R18" s="325"/>
      <c r="S18" s="325"/>
      <c r="T18" s="325"/>
      <c r="U18" s="325"/>
      <c r="V18" s="325"/>
      <c r="W18" s="325"/>
      <c r="X18" s="327"/>
    </row>
    <row r="19" spans="1:24" s="4" customFormat="1" ht="30" customHeight="1" x14ac:dyDescent="0.3">
      <c r="A19" s="3"/>
      <c r="B19" s="322"/>
      <c r="C19" s="521" t="s">
        <v>27</v>
      </c>
      <c r="D19" s="1591" t="s">
        <v>28</v>
      </c>
      <c r="E19" s="1592"/>
      <c r="F19" s="1593"/>
      <c r="G19" s="329"/>
      <c r="H19" s="512" t="s">
        <v>2079</v>
      </c>
      <c r="I19" s="329"/>
      <c r="J19" s="329"/>
      <c r="K19" s="325" t="s">
        <v>29</v>
      </c>
      <c r="L19" s="325"/>
      <c r="M19" s="329"/>
      <c r="N19" s="329"/>
      <c r="O19" s="325"/>
      <c r="P19" s="325"/>
      <c r="Q19" s="325"/>
      <c r="R19" s="325"/>
      <c r="S19" s="325"/>
      <c r="T19" s="325"/>
      <c r="U19" s="325"/>
      <c r="V19" s="325"/>
      <c r="W19" s="325"/>
      <c r="X19" s="327"/>
    </row>
    <row r="20" spans="1:24" s="4" customFormat="1" ht="31.5" customHeight="1" x14ac:dyDescent="0.3">
      <c r="A20" s="3"/>
      <c r="B20" s="322"/>
      <c r="C20" s="521" t="s">
        <v>30</v>
      </c>
      <c r="D20" s="1613" t="s">
        <v>31</v>
      </c>
      <c r="E20" s="1614"/>
      <c r="F20" s="1615"/>
      <c r="G20" s="329"/>
      <c r="H20" s="512" t="s">
        <v>32</v>
      </c>
      <c r="I20" s="329"/>
      <c r="J20" s="329"/>
      <c r="K20" s="325"/>
      <c r="L20" s="325"/>
      <c r="M20" s="329"/>
      <c r="N20" s="329"/>
      <c r="O20" s="331"/>
      <c r="P20" s="331"/>
      <c r="Q20" s="331"/>
      <c r="R20" s="325"/>
      <c r="S20" s="325"/>
      <c r="T20" s="325"/>
      <c r="U20" s="325"/>
      <c r="V20" s="325"/>
      <c r="W20" s="325"/>
      <c r="X20" s="327"/>
    </row>
    <row r="21" spans="1:24" s="4" customFormat="1" ht="29.25" customHeight="1" x14ac:dyDescent="0.3">
      <c r="A21" s="3"/>
      <c r="B21" s="322"/>
      <c r="C21" s="521" t="s">
        <v>33</v>
      </c>
      <c r="D21" s="1591" t="s">
        <v>34</v>
      </c>
      <c r="E21" s="1592"/>
      <c r="F21" s="1593"/>
      <c r="G21" s="329"/>
      <c r="H21" s="512" t="s">
        <v>35</v>
      </c>
      <c r="I21" s="329"/>
      <c r="J21" s="329"/>
      <c r="K21" s="325"/>
      <c r="L21" s="325"/>
      <c r="M21" s="329"/>
      <c r="N21" s="329"/>
      <c r="O21" s="325"/>
      <c r="P21" s="325"/>
      <c r="Q21" s="325"/>
      <c r="R21" s="325"/>
      <c r="S21" s="325"/>
      <c r="T21" s="325"/>
      <c r="U21" s="325"/>
      <c r="V21" s="325"/>
      <c r="W21" s="325"/>
      <c r="X21" s="327"/>
    </row>
    <row r="22" spans="1:24" s="4" customFormat="1" ht="33" customHeight="1" x14ac:dyDescent="0.3">
      <c r="A22" s="3"/>
      <c r="B22" s="322"/>
      <c r="C22" s="521" t="s">
        <v>36</v>
      </c>
      <c r="D22" s="1591" t="s">
        <v>37</v>
      </c>
      <c r="E22" s="1592"/>
      <c r="F22" s="1593"/>
      <c r="G22" s="329"/>
      <c r="H22" s="512" t="s">
        <v>38</v>
      </c>
      <c r="I22" s="329"/>
      <c r="J22" s="329"/>
      <c r="K22" s="325"/>
      <c r="L22" s="325"/>
      <c r="M22" s="329"/>
      <c r="N22" s="329"/>
      <c r="O22" s="325"/>
      <c r="P22" s="325"/>
      <c r="Q22" s="325"/>
      <c r="R22" s="325"/>
      <c r="S22" s="325"/>
      <c r="T22" s="325"/>
      <c r="U22" s="325"/>
      <c r="V22" s="325"/>
      <c r="W22" s="325"/>
      <c r="X22" s="327"/>
    </row>
    <row r="23" spans="1:24" s="4" customFormat="1" ht="28.05" customHeight="1" x14ac:dyDescent="0.3">
      <c r="A23" s="3"/>
      <c r="B23" s="322"/>
      <c r="C23" s="501"/>
      <c r="D23" s="502"/>
      <c r="E23" s="325"/>
      <c r="F23" s="329"/>
      <c r="G23" s="329"/>
      <c r="H23" s="512" t="s">
        <v>39</v>
      </c>
      <c r="I23" s="329"/>
      <c r="J23" s="329"/>
      <c r="K23" s="325"/>
      <c r="L23" s="325"/>
      <c r="M23" s="329"/>
      <c r="N23" s="329"/>
      <c r="O23" s="325"/>
      <c r="P23" s="325"/>
      <c r="Q23" s="325"/>
      <c r="R23" s="325"/>
      <c r="S23" s="325"/>
      <c r="T23" s="325"/>
      <c r="U23" s="325"/>
      <c r="V23" s="325"/>
      <c r="W23" s="325"/>
      <c r="X23" s="327"/>
    </row>
    <row r="24" spans="1:24" s="4" customFormat="1" ht="26.25" customHeight="1" x14ac:dyDescent="0.3">
      <c r="A24" s="3"/>
      <c r="B24" s="322"/>
      <c r="C24" s="363" t="s">
        <v>40</v>
      </c>
      <c r="D24" s="325"/>
      <c r="E24" s="325"/>
      <c r="F24" s="326"/>
      <c r="G24" s="325"/>
      <c r="H24" s="325"/>
      <c r="I24" s="326"/>
      <c r="J24" s="325"/>
      <c r="K24" s="325"/>
      <c r="L24" s="325"/>
      <c r="M24" s="329"/>
      <c r="N24" s="329"/>
      <c r="O24" s="325"/>
      <c r="P24" s="325"/>
      <c r="Q24" s="325"/>
      <c r="R24" s="325"/>
      <c r="S24" s="325"/>
      <c r="T24" s="325"/>
      <c r="U24" s="325"/>
      <c r="V24" s="325"/>
      <c r="W24" s="325"/>
      <c r="X24" s="327"/>
    </row>
    <row r="25" spans="1:24" s="4" customFormat="1" ht="18" customHeight="1" x14ac:dyDescent="0.3">
      <c r="A25" s="3"/>
      <c r="B25" s="322"/>
      <c r="C25" s="513" t="s">
        <v>41</v>
      </c>
      <c r="D25" s="325"/>
      <c r="E25" s="325"/>
      <c r="F25" s="326"/>
      <c r="G25" s="325"/>
      <c r="H25" s="325"/>
      <c r="I25" s="326"/>
      <c r="J25" s="325"/>
      <c r="K25" s="325"/>
      <c r="L25" s="325"/>
      <c r="M25" s="329"/>
      <c r="N25" s="329"/>
      <c r="O25" s="325"/>
      <c r="P25" s="325"/>
      <c r="Q25" s="325"/>
      <c r="R25" s="325"/>
      <c r="S25" s="325"/>
      <c r="T25" s="325"/>
      <c r="U25" s="325"/>
      <c r="V25" s="325"/>
      <c r="W25" s="325"/>
      <c r="X25" s="327"/>
    </row>
    <row r="26" spans="1:24" s="4" customFormat="1" ht="20.399999999999999" x14ac:dyDescent="0.3">
      <c r="A26" s="3"/>
      <c r="B26" s="322"/>
      <c r="C26" s="329"/>
      <c r="D26" s="325"/>
      <c r="E26" s="325"/>
      <c r="F26" s="326"/>
      <c r="G26" s="325"/>
      <c r="H26" s="325"/>
      <c r="I26" s="326"/>
      <c r="J26" s="325"/>
      <c r="K26" s="325"/>
      <c r="L26" s="325"/>
      <c r="M26" s="329"/>
      <c r="N26" s="329"/>
      <c r="O26" s="325"/>
      <c r="P26" s="325"/>
      <c r="Q26" s="325"/>
      <c r="R26" s="325"/>
      <c r="S26" s="325"/>
      <c r="T26" s="325"/>
      <c r="U26" s="325"/>
      <c r="V26" s="325"/>
      <c r="W26" s="325"/>
      <c r="X26" s="327"/>
    </row>
    <row r="27" spans="1:24" s="4" customFormat="1" ht="37.049999999999997" customHeight="1" x14ac:dyDescent="0.3">
      <c r="A27" s="3"/>
      <c r="B27" s="322"/>
      <c r="C27" s="515">
        <v>0</v>
      </c>
      <c r="D27" s="360" t="s">
        <v>42</v>
      </c>
      <c r="E27" s="361"/>
      <c r="F27" s="362"/>
      <c r="G27" s="361"/>
      <c r="H27" s="361"/>
      <c r="I27" s="362"/>
      <c r="J27" s="361"/>
      <c r="K27" s="325"/>
      <c r="L27" s="325"/>
      <c r="M27" s="329"/>
      <c r="N27" s="329"/>
      <c r="O27" s="325"/>
      <c r="P27" s="325"/>
      <c r="Q27" s="325"/>
      <c r="R27" s="325"/>
      <c r="S27" s="325"/>
      <c r="T27" s="325"/>
      <c r="U27" s="325"/>
      <c r="V27" s="325"/>
      <c r="W27" s="325"/>
      <c r="X27" s="327"/>
    </row>
    <row r="28" spans="1:24" s="4" customFormat="1" ht="119.25" customHeight="1" x14ac:dyDescent="0.3">
      <c r="A28" s="3"/>
      <c r="B28" s="322"/>
      <c r="C28" s="516" t="s">
        <v>43</v>
      </c>
      <c r="D28" s="1597" t="s">
        <v>44</v>
      </c>
      <c r="E28" s="1597"/>
      <c r="F28" s="1597"/>
      <c r="G28" s="1597"/>
      <c r="H28" s="1597"/>
      <c r="I28" s="1597"/>
      <c r="J28" s="1597"/>
      <c r="K28" s="325"/>
      <c r="L28" s="325"/>
      <c r="M28" s="329"/>
      <c r="N28" s="329"/>
      <c r="O28" s="325"/>
      <c r="P28" s="325"/>
      <c r="Q28" s="325"/>
      <c r="R28" s="325"/>
      <c r="S28" s="325"/>
      <c r="T28" s="325"/>
      <c r="U28" s="325"/>
      <c r="V28" s="325"/>
      <c r="W28" s="325"/>
      <c r="X28" s="327"/>
    </row>
    <row r="29" spans="1:24" s="4" customFormat="1" ht="130.05000000000001" customHeight="1" x14ac:dyDescent="0.3">
      <c r="A29" s="3"/>
      <c r="B29" s="322"/>
      <c r="C29" s="517" t="s">
        <v>45</v>
      </c>
      <c r="D29" s="1596" t="s">
        <v>2080</v>
      </c>
      <c r="E29" s="1596"/>
      <c r="F29" s="1596"/>
      <c r="G29" s="1596"/>
      <c r="H29" s="1596"/>
      <c r="I29" s="1596"/>
      <c r="J29" s="1596"/>
      <c r="K29" s="325"/>
      <c r="L29" s="325"/>
      <c r="M29" s="330"/>
      <c r="N29" s="332"/>
      <c r="O29" s="325"/>
      <c r="P29" s="325"/>
      <c r="Q29" s="325"/>
      <c r="R29" s="325"/>
      <c r="S29" s="325"/>
      <c r="T29" s="325"/>
      <c r="U29" s="325"/>
      <c r="V29" s="325"/>
      <c r="W29" s="325"/>
      <c r="X29" s="327"/>
    </row>
    <row r="30" spans="1:24" s="4" customFormat="1" ht="67.05" customHeight="1" x14ac:dyDescent="0.3">
      <c r="A30" s="3"/>
      <c r="B30" s="322"/>
      <c r="C30" s="517" t="s">
        <v>46</v>
      </c>
      <c r="D30" s="1597" t="s">
        <v>47</v>
      </c>
      <c r="E30" s="1597"/>
      <c r="F30" s="1597"/>
      <c r="G30" s="1597"/>
      <c r="H30" s="1597"/>
      <c r="I30" s="1597"/>
      <c r="J30" s="1597"/>
      <c r="K30" s="325"/>
      <c r="L30" s="325"/>
      <c r="M30" s="330"/>
      <c r="N30" s="332"/>
      <c r="O30" s="325"/>
      <c r="P30" s="325"/>
      <c r="Q30" s="325"/>
      <c r="R30" s="325"/>
      <c r="S30" s="325"/>
      <c r="T30" s="325"/>
      <c r="U30" s="325"/>
      <c r="V30" s="325"/>
      <c r="W30" s="325"/>
      <c r="X30" s="327"/>
    </row>
    <row r="31" spans="1:24" s="4" customFormat="1" ht="195" customHeight="1" x14ac:dyDescent="0.3">
      <c r="A31" s="3"/>
      <c r="B31" s="322"/>
      <c r="C31" s="518" t="s">
        <v>48</v>
      </c>
      <c r="D31" s="1598" t="s">
        <v>2081</v>
      </c>
      <c r="E31" s="1598"/>
      <c r="F31" s="1598"/>
      <c r="G31" s="1598"/>
      <c r="H31" s="1598"/>
      <c r="I31" s="1598"/>
      <c r="J31" s="1598"/>
      <c r="K31" s="325"/>
      <c r="L31" s="325"/>
      <c r="M31" s="330"/>
      <c r="N31" s="332"/>
      <c r="O31" s="325"/>
      <c r="P31" s="325"/>
      <c r="Q31" s="325"/>
      <c r="R31" s="325"/>
      <c r="S31" s="325"/>
      <c r="T31" s="325"/>
      <c r="U31" s="325"/>
      <c r="V31" s="325"/>
      <c r="W31" s="325"/>
      <c r="X31" s="327"/>
    </row>
    <row r="32" spans="1:24" s="4" customFormat="1" ht="154.05000000000001" customHeight="1" x14ac:dyDescent="0.3">
      <c r="A32" s="3"/>
      <c r="B32" s="322"/>
      <c r="C32" s="518" t="s">
        <v>49</v>
      </c>
      <c r="D32" s="1599" t="s">
        <v>50</v>
      </c>
      <c r="E32" s="1599"/>
      <c r="F32" s="1599"/>
      <c r="G32" s="1599"/>
      <c r="H32" s="1599"/>
      <c r="I32" s="1599"/>
      <c r="J32" s="1599"/>
      <c r="K32" s="325"/>
      <c r="L32" s="325"/>
      <c r="M32" s="330"/>
      <c r="N32" s="332"/>
      <c r="O32" s="325"/>
      <c r="P32" s="325"/>
      <c r="Q32" s="325"/>
      <c r="R32" s="325"/>
      <c r="S32" s="325"/>
      <c r="T32" s="325"/>
      <c r="U32" s="325"/>
      <c r="V32" s="325"/>
      <c r="W32" s="325"/>
      <c r="X32" s="327"/>
    </row>
    <row r="33" spans="1:24" s="4" customFormat="1" ht="101.25" customHeight="1" x14ac:dyDescent="0.3">
      <c r="A33" s="3"/>
      <c r="B33" s="322"/>
      <c r="C33" s="518" t="s">
        <v>51</v>
      </c>
      <c r="D33" s="1587" t="s">
        <v>52</v>
      </c>
      <c r="E33" s="1587"/>
      <c r="F33" s="1587"/>
      <c r="G33" s="1587"/>
      <c r="H33" s="1587"/>
      <c r="I33" s="1587"/>
      <c r="J33" s="1587"/>
      <c r="K33" s="325"/>
      <c r="L33" s="325"/>
      <c r="M33" s="330"/>
      <c r="N33" s="332"/>
      <c r="O33" s="325"/>
      <c r="P33" s="325"/>
      <c r="Q33" s="325"/>
      <c r="R33" s="325"/>
      <c r="S33" s="325"/>
      <c r="T33" s="325"/>
      <c r="U33" s="325"/>
      <c r="V33" s="325"/>
      <c r="W33" s="325"/>
      <c r="X33" s="327"/>
    </row>
    <row r="34" spans="1:24" s="4" customFormat="1" ht="20.399999999999999" x14ac:dyDescent="0.3">
      <c r="A34" s="3"/>
      <c r="B34" s="322"/>
      <c r="C34" s="329"/>
      <c r="D34" s="329"/>
      <c r="E34" s="329"/>
      <c r="F34" s="329"/>
      <c r="G34" s="329"/>
      <c r="H34" s="329"/>
      <c r="I34" s="329"/>
      <c r="J34" s="329"/>
      <c r="K34" s="325"/>
      <c r="L34" s="325"/>
      <c r="M34" s="330"/>
      <c r="N34" s="332"/>
      <c r="O34" s="325"/>
      <c r="P34" s="325"/>
      <c r="Q34" s="325"/>
      <c r="R34" s="325"/>
      <c r="S34" s="325"/>
      <c r="T34" s="325"/>
      <c r="U34" s="325"/>
      <c r="V34" s="325"/>
      <c r="W34" s="325"/>
      <c r="X34" s="327"/>
    </row>
    <row r="35" spans="1:24" s="4" customFormat="1" ht="20.399999999999999" x14ac:dyDescent="0.3">
      <c r="A35" s="3"/>
      <c r="B35" s="322"/>
      <c r="C35" s="364" t="s">
        <v>53</v>
      </c>
      <c r="D35" s="325"/>
      <c r="E35" s="325"/>
      <c r="F35" s="329"/>
      <c r="G35" s="329"/>
      <c r="H35" s="329"/>
      <c r="I35" s="329"/>
      <c r="J35" s="329"/>
      <c r="K35" s="325"/>
      <c r="L35" s="325"/>
      <c r="M35" s="330"/>
      <c r="N35" s="332"/>
      <c r="O35" s="325"/>
      <c r="P35" s="325"/>
      <c r="Q35" s="325"/>
      <c r="R35" s="325"/>
      <c r="S35" s="325"/>
      <c r="T35" s="325"/>
      <c r="U35" s="325"/>
      <c r="V35" s="325"/>
      <c r="W35" s="325"/>
      <c r="X35" s="327"/>
    </row>
    <row r="36" spans="1:24" s="4" customFormat="1" ht="20.399999999999999" x14ac:dyDescent="0.3">
      <c r="A36" s="3"/>
      <c r="B36" s="322"/>
      <c r="C36" s="325"/>
      <c r="D36" s="325"/>
      <c r="E36" s="325"/>
      <c r="F36" s="329"/>
      <c r="G36" s="954"/>
      <c r="H36" s="954"/>
      <c r="I36" s="329"/>
      <c r="J36" s="329"/>
      <c r="K36" s="325"/>
      <c r="L36" s="325"/>
      <c r="M36" s="330"/>
      <c r="N36" s="332"/>
      <c r="O36" s="325"/>
      <c r="P36" s="325"/>
      <c r="Q36" s="325"/>
      <c r="R36" s="325"/>
      <c r="S36" s="325"/>
      <c r="T36" s="325"/>
      <c r="U36" s="325"/>
      <c r="V36" s="325"/>
      <c r="W36" s="325"/>
      <c r="X36" s="327"/>
    </row>
    <row r="37" spans="1:24" s="4" customFormat="1" ht="33" customHeight="1" thickBot="1" x14ac:dyDescent="0.35">
      <c r="A37" s="3"/>
      <c r="B37" s="322"/>
      <c r="C37" s="955" t="s">
        <v>54</v>
      </c>
      <c r="D37" s="1584" t="s">
        <v>55</v>
      </c>
      <c r="E37" s="1585"/>
      <c r="F37" s="1585"/>
      <c r="G37" s="1585"/>
      <c r="H37" s="1586"/>
      <c r="I37" s="329"/>
      <c r="J37" s="329"/>
      <c r="K37" s="325"/>
      <c r="L37" s="325"/>
      <c r="M37" s="330"/>
      <c r="N37" s="332"/>
      <c r="O37" s="325"/>
      <c r="P37" s="325"/>
      <c r="Q37" s="325"/>
      <c r="R37" s="325"/>
      <c r="S37" s="325"/>
      <c r="T37" s="325"/>
      <c r="U37" s="325"/>
      <c r="V37" s="325"/>
      <c r="W37" s="325"/>
      <c r="X37" s="327"/>
    </row>
    <row r="38" spans="1:24" s="4" customFormat="1" ht="149.25" customHeight="1" thickTop="1" x14ac:dyDescent="0.3">
      <c r="A38" s="3"/>
      <c r="B38" s="322"/>
      <c r="C38" s="508" t="s">
        <v>56</v>
      </c>
      <c r="D38" s="1602" t="s">
        <v>2071</v>
      </c>
      <c r="E38" s="1603"/>
      <c r="F38" s="1603"/>
      <c r="G38" s="1603"/>
      <c r="H38" s="1604"/>
      <c r="I38" s="952"/>
      <c r="J38" s="329"/>
      <c r="K38" s="325"/>
      <c r="L38" s="325"/>
      <c r="M38" s="330"/>
      <c r="N38" s="333"/>
      <c r="O38" s="325"/>
      <c r="P38" s="325"/>
      <c r="Q38" s="325"/>
      <c r="R38" s="325"/>
      <c r="S38" s="325"/>
      <c r="T38" s="325"/>
      <c r="U38" s="325"/>
      <c r="V38" s="325"/>
      <c r="W38" s="325"/>
      <c r="X38" s="327"/>
    </row>
    <row r="39" spans="1:24" s="4" customFormat="1" ht="159" customHeight="1" x14ac:dyDescent="0.3">
      <c r="A39" s="3"/>
      <c r="B39" s="322"/>
      <c r="C39" s="522" t="s">
        <v>2072</v>
      </c>
      <c r="D39" s="1605" t="s">
        <v>2073</v>
      </c>
      <c r="E39" s="1605"/>
      <c r="F39" s="1605"/>
      <c r="G39" s="1605"/>
      <c r="H39" s="1605"/>
      <c r="I39" s="952"/>
      <c r="J39" s="329"/>
      <c r="K39" s="325"/>
      <c r="L39" s="325"/>
      <c r="M39" s="330"/>
      <c r="N39" s="332"/>
      <c r="O39" s="325"/>
      <c r="P39" s="325"/>
      <c r="Q39" s="325"/>
      <c r="R39" s="325"/>
      <c r="S39" s="325"/>
      <c r="T39" s="325"/>
      <c r="U39" s="325"/>
      <c r="V39" s="325"/>
      <c r="W39" s="325"/>
      <c r="X39" s="327"/>
    </row>
    <row r="40" spans="1:24" s="4" customFormat="1" ht="163.05000000000001" customHeight="1" x14ac:dyDescent="0.3">
      <c r="A40" s="3"/>
      <c r="B40" s="322"/>
      <c r="C40" s="508" t="s">
        <v>2074</v>
      </c>
      <c r="D40" s="1602" t="s">
        <v>57</v>
      </c>
      <c r="E40" s="1603"/>
      <c r="F40" s="1603"/>
      <c r="G40" s="1603"/>
      <c r="H40" s="1604"/>
      <c r="I40" s="329"/>
      <c r="J40" s="329"/>
      <c r="K40" s="325"/>
      <c r="L40" s="325"/>
      <c r="M40" s="325"/>
      <c r="N40" s="325"/>
      <c r="O40" s="325"/>
      <c r="P40" s="325"/>
      <c r="Q40" s="325"/>
      <c r="R40" s="325"/>
      <c r="S40" s="325"/>
      <c r="T40" s="325"/>
      <c r="U40" s="325"/>
      <c r="V40" s="325"/>
      <c r="W40" s="325"/>
      <c r="X40" s="327"/>
    </row>
    <row r="41" spans="1:24" s="4" customFormat="1" ht="100.05" customHeight="1" x14ac:dyDescent="0.3">
      <c r="A41" s="3"/>
      <c r="B41" s="322"/>
      <c r="C41" s="523" t="s">
        <v>58</v>
      </c>
      <c r="D41" s="1600" t="s">
        <v>59</v>
      </c>
      <c r="E41" s="1601"/>
      <c r="F41" s="1601"/>
      <c r="G41" s="954"/>
      <c r="H41" s="953"/>
      <c r="I41" s="329"/>
      <c r="J41" s="329"/>
      <c r="K41" s="325"/>
      <c r="L41" s="325"/>
      <c r="M41" s="325"/>
      <c r="N41" s="325"/>
      <c r="O41" s="325"/>
      <c r="P41" s="325"/>
      <c r="Q41" s="325"/>
      <c r="R41" s="325"/>
      <c r="S41" s="325"/>
      <c r="T41" s="325"/>
      <c r="U41" s="325"/>
      <c r="V41" s="325"/>
      <c r="W41" s="325"/>
      <c r="X41" s="327"/>
    </row>
    <row r="42" spans="1:24" s="4" customFormat="1" ht="222" customHeight="1" x14ac:dyDescent="0.3">
      <c r="A42" s="3"/>
      <c r="B42" s="322"/>
      <c r="C42" s="523" t="s">
        <v>60</v>
      </c>
      <c r="D42" s="1579" t="s">
        <v>2075</v>
      </c>
      <c r="E42" s="1580"/>
      <c r="F42" s="1580"/>
      <c r="G42" s="1580"/>
      <c r="H42" s="1580"/>
      <c r="I42" s="952"/>
      <c r="J42" s="329"/>
      <c r="K42" s="325"/>
      <c r="L42" s="325"/>
      <c r="M42" s="325"/>
      <c r="N42" s="325"/>
      <c r="O42" s="325"/>
      <c r="P42" s="325"/>
      <c r="Q42" s="325"/>
      <c r="R42" s="325"/>
      <c r="S42" s="325"/>
      <c r="T42" s="325"/>
      <c r="U42" s="325"/>
      <c r="V42" s="325"/>
      <c r="W42" s="325"/>
      <c r="X42" s="327"/>
    </row>
    <row r="43" spans="1:24" s="4" customFormat="1" ht="240" customHeight="1" x14ac:dyDescent="0.3">
      <c r="A43" s="3"/>
      <c r="B43" s="322"/>
      <c r="C43" s="523" t="s">
        <v>61</v>
      </c>
      <c r="D43" s="1581" t="s">
        <v>2076</v>
      </c>
      <c r="E43" s="1582"/>
      <c r="F43" s="1582"/>
      <c r="G43" s="1582"/>
      <c r="H43" s="1583"/>
      <c r="I43" s="952"/>
      <c r="J43" s="329"/>
      <c r="K43" s="325"/>
      <c r="L43" s="325"/>
      <c r="M43" s="325"/>
      <c r="N43" s="325"/>
      <c r="O43" s="325"/>
      <c r="P43" s="325"/>
      <c r="Q43" s="325"/>
      <c r="R43" s="325"/>
      <c r="S43" s="325"/>
      <c r="T43" s="325"/>
      <c r="U43" s="325"/>
      <c r="V43" s="325"/>
      <c r="W43" s="325"/>
      <c r="X43" s="327"/>
    </row>
    <row r="44" spans="1:24" s="4" customFormat="1" ht="20.399999999999999" x14ac:dyDescent="0.3">
      <c r="A44" s="3"/>
      <c r="B44" s="322"/>
      <c r="C44" s="329"/>
      <c r="D44" s="507"/>
      <c r="E44" s="509"/>
      <c r="F44" s="510"/>
      <c r="G44" s="509"/>
      <c r="H44" s="505"/>
      <c r="I44" s="326"/>
      <c r="J44" s="325"/>
      <c r="K44" s="325"/>
      <c r="L44" s="325"/>
      <c r="M44" s="325"/>
      <c r="N44" s="325"/>
      <c r="O44" s="325"/>
      <c r="P44" s="325"/>
      <c r="Q44" s="325"/>
      <c r="R44" s="325"/>
      <c r="S44" s="325"/>
      <c r="T44" s="325"/>
      <c r="U44" s="325"/>
      <c r="V44" s="325"/>
      <c r="W44" s="325"/>
      <c r="X44" s="327"/>
    </row>
    <row r="45" spans="1:24" s="4" customFormat="1" ht="20.399999999999999" x14ac:dyDescent="0.3">
      <c r="A45" s="3"/>
      <c r="B45" s="322"/>
      <c r="C45" s="329"/>
      <c r="D45" s="329"/>
      <c r="E45" s="329"/>
      <c r="F45" s="329"/>
      <c r="G45" s="329"/>
      <c r="H45" s="325"/>
      <c r="I45" s="325"/>
      <c r="J45" s="325"/>
      <c r="K45" s="325"/>
      <c r="L45" s="325"/>
      <c r="M45" s="325"/>
      <c r="N45" s="325"/>
      <c r="O45" s="325"/>
      <c r="P45" s="325"/>
      <c r="Q45" s="325"/>
      <c r="R45" s="325"/>
      <c r="S45" s="325"/>
      <c r="T45" s="325"/>
      <c r="U45" s="325"/>
      <c r="V45" s="325"/>
      <c r="W45" s="325"/>
      <c r="X45" s="327"/>
    </row>
    <row r="46" spans="1:24" ht="20.399999999999999" x14ac:dyDescent="0.3">
      <c r="B46" s="322"/>
      <c r="C46" s="325"/>
      <c r="D46" s="359"/>
      <c r="E46" s="325"/>
      <c r="F46" s="325"/>
      <c r="G46" s="325"/>
      <c r="H46" s="325"/>
      <c r="I46" s="326"/>
      <c r="J46" s="325"/>
      <c r="K46" s="325"/>
      <c r="L46" s="325"/>
      <c r="M46" s="325"/>
      <c r="N46" s="325"/>
      <c r="O46" s="325"/>
      <c r="P46" s="325"/>
      <c r="Q46" s="325"/>
      <c r="R46" s="325"/>
      <c r="S46" s="325"/>
      <c r="T46" s="325"/>
      <c r="U46" s="325"/>
      <c r="V46" s="325"/>
      <c r="W46" s="325"/>
      <c r="X46" s="327"/>
    </row>
    <row r="47" spans="1:24" ht="20.399999999999999" x14ac:dyDescent="0.3">
      <c r="A47" s="1"/>
      <c r="B47" s="322"/>
      <c r="C47" s="325"/>
      <c r="D47" s="359"/>
      <c r="E47" s="325"/>
      <c r="F47" s="325"/>
      <c r="G47" s="325"/>
      <c r="H47" s="325"/>
      <c r="I47" s="326"/>
      <c r="J47" s="325"/>
      <c r="K47" s="325"/>
      <c r="L47" s="325"/>
      <c r="M47" s="325"/>
      <c r="N47" s="325"/>
      <c r="O47" s="325"/>
      <c r="P47" s="325"/>
      <c r="Q47" s="325"/>
      <c r="R47" s="325"/>
      <c r="S47" s="325"/>
      <c r="T47" s="325"/>
      <c r="U47" s="325"/>
      <c r="V47" s="325"/>
      <c r="W47" s="325"/>
      <c r="X47" s="327"/>
    </row>
    <row r="48" spans="1:24" ht="20.399999999999999" x14ac:dyDescent="0.3">
      <c r="A48" s="1"/>
      <c r="B48" s="322"/>
      <c r="C48" s="325"/>
      <c r="D48" s="359"/>
      <c r="E48" s="325"/>
      <c r="F48" s="325"/>
      <c r="G48" s="325"/>
      <c r="H48" s="325"/>
      <c r="I48" s="326"/>
      <c r="J48" s="325"/>
      <c r="K48" s="325"/>
      <c r="L48" s="325"/>
      <c r="M48" s="325"/>
      <c r="N48" s="325"/>
      <c r="O48" s="325"/>
      <c r="P48" s="325"/>
      <c r="Q48" s="325"/>
      <c r="R48" s="325"/>
      <c r="S48" s="325"/>
      <c r="T48" s="325"/>
      <c r="U48" s="325"/>
      <c r="V48" s="325"/>
      <c r="W48" s="325"/>
      <c r="X48" s="327"/>
    </row>
    <row r="49" spans="1:24" ht="20.399999999999999" x14ac:dyDescent="0.3">
      <c r="A49" s="3"/>
      <c r="B49" s="322"/>
      <c r="C49" s="325"/>
      <c r="D49" s="359"/>
      <c r="E49" s="325"/>
      <c r="F49" s="325"/>
      <c r="G49" s="325"/>
      <c r="H49" s="325"/>
      <c r="I49" s="326"/>
      <c r="J49" s="325"/>
      <c r="K49" s="325"/>
      <c r="L49" s="325"/>
      <c r="M49" s="325"/>
      <c r="N49" s="325"/>
      <c r="O49" s="325"/>
      <c r="P49" s="325"/>
      <c r="Q49" s="325"/>
      <c r="R49" s="325"/>
      <c r="S49" s="325"/>
      <c r="T49" s="325"/>
      <c r="U49" s="325"/>
      <c r="V49" s="325"/>
      <c r="W49" s="325"/>
      <c r="X49" s="327"/>
    </row>
    <row r="50" spans="1:24" ht="20.399999999999999" x14ac:dyDescent="0.3">
      <c r="A50" s="3"/>
      <c r="B50" s="334"/>
      <c r="C50" s="335"/>
      <c r="D50" s="336"/>
      <c r="E50" s="335"/>
      <c r="F50" s="335"/>
      <c r="G50" s="335"/>
      <c r="H50" s="335"/>
      <c r="I50" s="337"/>
      <c r="J50" s="335"/>
      <c r="K50" s="335"/>
      <c r="L50" s="335"/>
      <c r="M50" s="335"/>
      <c r="N50" s="335"/>
      <c r="O50" s="335"/>
      <c r="P50" s="335"/>
      <c r="Q50" s="335"/>
      <c r="R50" s="335"/>
      <c r="S50" s="335"/>
      <c r="T50" s="335"/>
      <c r="U50" s="335"/>
      <c r="V50" s="335"/>
      <c r="W50" s="335"/>
      <c r="X50" s="338"/>
    </row>
    <row r="51" spans="1:24" ht="17.399999999999999" x14ac:dyDescent="0.3">
      <c r="D51" s="1"/>
    </row>
    <row r="52" spans="1:24" ht="17.399999999999999" x14ac:dyDescent="0.3">
      <c r="D52" s="1"/>
    </row>
    <row r="53" spans="1:24" ht="18.75" customHeight="1" x14ac:dyDescent="0.3">
      <c r="D53" s="1"/>
    </row>
    <row r="54" spans="1:24" ht="18.75" customHeight="1" x14ac:dyDescent="0.3">
      <c r="D54" s="6"/>
    </row>
    <row r="55" spans="1:24" ht="18.75" customHeight="1" x14ac:dyDescent="0.3">
      <c r="C55" s="6"/>
      <c r="D55" s="6"/>
    </row>
    <row r="56" spans="1:24" ht="18.75" customHeight="1" x14ac:dyDescent="0.3">
      <c r="D56" s="6"/>
    </row>
  </sheetData>
  <sheetProtection selectLockedCells="1"/>
  <mergeCells count="28">
    <mergeCell ref="D40:H40"/>
    <mergeCell ref="D22:F22"/>
    <mergeCell ref="I4:K4"/>
    <mergeCell ref="J7:K7"/>
    <mergeCell ref="J8:K8"/>
    <mergeCell ref="C7:G7"/>
    <mergeCell ref="J9:K9"/>
    <mergeCell ref="A1:D2"/>
    <mergeCell ref="D17:F17"/>
    <mergeCell ref="D18:F18"/>
    <mergeCell ref="D19:F19"/>
    <mergeCell ref="D20:F20"/>
    <mergeCell ref="D42:H42"/>
    <mergeCell ref="D43:H43"/>
    <mergeCell ref="D37:H37"/>
    <mergeCell ref="D33:J33"/>
    <mergeCell ref="J5:K5"/>
    <mergeCell ref="J6:K6"/>
    <mergeCell ref="D21:F21"/>
    <mergeCell ref="D16:F16"/>
    <mergeCell ref="D29:J29"/>
    <mergeCell ref="D30:J30"/>
    <mergeCell ref="D31:J31"/>
    <mergeCell ref="D32:J32"/>
    <mergeCell ref="D41:F41"/>
    <mergeCell ref="D38:H38"/>
    <mergeCell ref="D39:H39"/>
    <mergeCell ref="D28:J28"/>
  </mergeCells>
  <pageMargins left="0.7" right="0.7" top="0.75" bottom="0.75" header="0.3" footer="0.3"/>
  <headerFooter>
    <oddFooter>&amp;C_x000D_&amp;1#&amp;"Calibri"&amp;10&amp;K000000 Confidential - Not for Public Consumption or Distribution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026" r:id="rId3" name="Check Box 2">
              <controlPr defaultSize="0" autoFill="0" autoLine="0" autoPict="0">
                <anchor moveWithCells="1">
                  <from>
                    <xdr:col>7</xdr:col>
                    <xdr:colOff>342900</xdr:colOff>
                    <xdr:row>14</xdr:row>
                    <xdr:rowOff>182880</xdr:rowOff>
                  </from>
                  <to>
                    <xdr:col>7</xdr:col>
                    <xdr:colOff>1135380</xdr:colOff>
                    <xdr:row>16</xdr:row>
                    <xdr:rowOff>182880</xdr:rowOff>
                  </to>
                </anchor>
              </controlPr>
            </control>
          </mc:Choice>
        </mc:AlternateContent>
        <mc:AlternateContent xmlns:mc="http://schemas.openxmlformats.org/markup-compatibility/2006">
          <mc:Choice Requires="x14">
            <control shapeId="1029" r:id="rId4" name="Check Box 5">
              <controlPr defaultSize="0" autoFill="0" autoLine="0" autoPict="0">
                <anchor moveWithCells="1">
                  <from>
                    <xdr:col>7</xdr:col>
                    <xdr:colOff>358140</xdr:colOff>
                    <xdr:row>16</xdr:row>
                    <xdr:rowOff>396240</xdr:rowOff>
                  </from>
                  <to>
                    <xdr:col>7</xdr:col>
                    <xdr:colOff>1143000</xdr:colOff>
                    <xdr:row>18</xdr:row>
                    <xdr:rowOff>0</xdr:rowOff>
                  </to>
                </anchor>
              </controlPr>
            </control>
          </mc:Choice>
        </mc:AlternateContent>
        <mc:AlternateContent xmlns:mc="http://schemas.openxmlformats.org/markup-compatibility/2006">
          <mc:Choice Requires="x14">
            <control shapeId="1030" r:id="rId5" name="Check Box 6">
              <controlPr defaultSize="0" autoFill="0" autoLine="0" autoPict="0">
                <anchor moveWithCells="1">
                  <from>
                    <xdr:col>7</xdr:col>
                    <xdr:colOff>358140</xdr:colOff>
                    <xdr:row>17</xdr:row>
                    <xdr:rowOff>243840</xdr:rowOff>
                  </from>
                  <to>
                    <xdr:col>7</xdr:col>
                    <xdr:colOff>1143000</xdr:colOff>
                    <xdr:row>18</xdr:row>
                    <xdr:rowOff>358140</xdr:rowOff>
                  </to>
                </anchor>
              </controlPr>
            </control>
          </mc:Choice>
        </mc:AlternateContent>
        <mc:AlternateContent xmlns:mc="http://schemas.openxmlformats.org/markup-compatibility/2006">
          <mc:Choice Requires="x14">
            <control shapeId="1031" r:id="rId6" name="Check Box 7">
              <controlPr defaultSize="0" autoFill="0" autoLine="0" autoPict="0">
                <anchor moveWithCells="1">
                  <from>
                    <xdr:col>7</xdr:col>
                    <xdr:colOff>358140</xdr:colOff>
                    <xdr:row>18</xdr:row>
                    <xdr:rowOff>320040</xdr:rowOff>
                  </from>
                  <to>
                    <xdr:col>7</xdr:col>
                    <xdr:colOff>1143000</xdr:colOff>
                    <xdr:row>20</xdr:row>
                    <xdr:rowOff>38100</xdr:rowOff>
                  </to>
                </anchor>
              </controlPr>
            </control>
          </mc:Choice>
        </mc:AlternateContent>
        <mc:AlternateContent xmlns:mc="http://schemas.openxmlformats.org/markup-compatibility/2006">
          <mc:Choice Requires="x14">
            <control shapeId="1032" r:id="rId7" name="Check Box 8">
              <controlPr defaultSize="0" autoFill="0" autoLine="0" autoPict="0">
                <anchor moveWithCells="1">
                  <from>
                    <xdr:col>7</xdr:col>
                    <xdr:colOff>373380</xdr:colOff>
                    <xdr:row>19</xdr:row>
                    <xdr:rowOff>281940</xdr:rowOff>
                  </from>
                  <to>
                    <xdr:col>7</xdr:col>
                    <xdr:colOff>1158240</xdr:colOff>
                    <xdr:row>21</xdr:row>
                    <xdr:rowOff>53340</xdr:rowOff>
                  </to>
                </anchor>
              </controlPr>
            </control>
          </mc:Choice>
        </mc:AlternateContent>
        <mc:AlternateContent xmlns:mc="http://schemas.openxmlformats.org/markup-compatibility/2006">
          <mc:Choice Requires="x14">
            <control shapeId="1035" r:id="rId8" name="Check Box 11">
              <controlPr defaultSize="0" autoFill="0" autoLine="0" autoPict="0">
                <anchor moveWithCells="1">
                  <from>
                    <xdr:col>7</xdr:col>
                    <xdr:colOff>358140</xdr:colOff>
                    <xdr:row>15</xdr:row>
                    <xdr:rowOff>487680</xdr:rowOff>
                  </from>
                  <to>
                    <xdr:col>7</xdr:col>
                    <xdr:colOff>1143000</xdr:colOff>
                    <xdr:row>17</xdr:row>
                    <xdr:rowOff>15240</xdr:rowOff>
                  </to>
                </anchor>
              </controlPr>
            </control>
          </mc:Choice>
        </mc:AlternateContent>
        <mc:AlternateContent xmlns:mc="http://schemas.openxmlformats.org/markup-compatibility/2006">
          <mc:Choice Requires="x14">
            <control shapeId="1036" r:id="rId9" name="Check Box 12">
              <controlPr defaultSize="0" autoFill="0" autoLine="0" autoPict="0">
                <anchor moveWithCells="1">
                  <from>
                    <xdr:col>7</xdr:col>
                    <xdr:colOff>373380</xdr:colOff>
                    <xdr:row>20</xdr:row>
                    <xdr:rowOff>266700</xdr:rowOff>
                  </from>
                  <to>
                    <xdr:col>7</xdr:col>
                    <xdr:colOff>1158240</xdr:colOff>
                    <xdr:row>22</xdr:row>
                    <xdr:rowOff>68580</xdr:rowOff>
                  </to>
                </anchor>
              </controlPr>
            </control>
          </mc:Choice>
        </mc:AlternateContent>
        <mc:AlternateContent xmlns:mc="http://schemas.openxmlformats.org/markup-compatibility/2006">
          <mc:Choice Requires="x14">
            <control shapeId="1037" r:id="rId10" name="Check Box 13">
              <controlPr defaultSize="0" autoFill="0" autoLine="0" autoPict="0">
                <anchor moveWithCells="1">
                  <from>
                    <xdr:col>7</xdr:col>
                    <xdr:colOff>381000</xdr:colOff>
                    <xdr:row>21</xdr:row>
                    <xdr:rowOff>266700</xdr:rowOff>
                  </from>
                  <to>
                    <xdr:col>7</xdr:col>
                    <xdr:colOff>1173480</xdr:colOff>
                    <xdr:row>23</xdr:row>
                    <xdr:rowOff>76200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A1:O109"/>
  <sheetViews>
    <sheetView showGridLines="0" topLeftCell="A4" zoomScale="64" zoomScaleNormal="64" workbookViewId="0">
      <selection activeCell="C21" sqref="C21"/>
    </sheetView>
  </sheetViews>
  <sheetFormatPr defaultColWidth="8.77734375" defaultRowHeight="14.4" x14ac:dyDescent="0.3"/>
  <cols>
    <col min="1" max="1" width="6.44140625" style="8" customWidth="1"/>
    <col min="2" max="2" width="32.44140625" style="8" customWidth="1"/>
    <col min="3" max="3" width="42.44140625" style="8" bestFit="1" customWidth="1"/>
    <col min="4" max="4" width="10.44140625" style="8" customWidth="1"/>
    <col min="5" max="5" width="22" style="8" customWidth="1"/>
    <col min="6" max="6" width="46.77734375" style="8" customWidth="1"/>
    <col min="7" max="7" width="71.21875" style="8" customWidth="1"/>
    <col min="8" max="8" width="11.44140625" style="8" customWidth="1"/>
    <col min="9" max="9" width="35.44140625" style="8" customWidth="1"/>
    <col min="10" max="10" width="27" style="7" customWidth="1"/>
    <col min="11" max="11" width="40" style="7" bestFit="1" customWidth="1"/>
    <col min="12" max="12" width="41.21875" style="8" customWidth="1"/>
    <col min="13" max="13" width="32.21875" style="8" customWidth="1"/>
    <col min="14" max="14" width="29.44140625" customWidth="1"/>
    <col min="15" max="15" width="35.77734375" customWidth="1"/>
    <col min="16" max="16" width="28.44140625" style="8" customWidth="1"/>
    <col min="17" max="17" width="26.44140625" style="8" customWidth="1"/>
    <col min="18" max="16383" width="8.77734375" style="8"/>
    <col min="16384" max="16384" width="8.77734375" style="8" bestFit="1"/>
  </cols>
  <sheetData>
    <row r="1" spans="1:15" ht="14.25" customHeight="1" x14ac:dyDescent="0.3">
      <c r="A1" s="1626"/>
      <c r="B1" s="1626"/>
      <c r="C1" s="1626"/>
      <c r="D1" s="590"/>
      <c r="E1" s="61"/>
      <c r="F1" s="61"/>
      <c r="G1" s="61"/>
      <c r="H1" s="61"/>
      <c r="I1" s="61"/>
    </row>
    <row r="2" spans="1:15" ht="14.25" customHeight="1" x14ac:dyDescent="0.3">
      <c r="A2" s="1626"/>
      <c r="B2" s="1626"/>
      <c r="C2" s="1626"/>
      <c r="D2" s="590"/>
      <c r="E2" s="1624" t="s">
        <v>1</v>
      </c>
      <c r="F2" s="1625"/>
      <c r="G2" s="61"/>
      <c r="H2" s="61"/>
      <c r="I2" s="61"/>
      <c r="J2" s="8"/>
      <c r="K2" s="8"/>
      <c r="L2" s="928"/>
    </row>
    <row r="3" spans="1:15" ht="14.25" customHeight="1" x14ac:dyDescent="0.3">
      <c r="A3" s="1563"/>
      <c r="B3" s="1563"/>
      <c r="C3" s="1563"/>
      <c r="D3" s="590"/>
      <c r="E3" s="960"/>
      <c r="F3" s="959" t="s">
        <v>2</v>
      </c>
      <c r="G3" s="61"/>
      <c r="H3" s="61"/>
      <c r="I3" s="61"/>
      <c r="J3" s="1564"/>
      <c r="K3" s="1565"/>
      <c r="L3" s="928"/>
    </row>
    <row r="4" spans="1:15" ht="14.25" customHeight="1" x14ac:dyDescent="0.3">
      <c r="A4" s="1563"/>
      <c r="B4" s="1563"/>
      <c r="C4" s="1563"/>
      <c r="D4" s="590"/>
      <c r="E4" s="961"/>
      <c r="F4" s="958" t="s">
        <v>4</v>
      </c>
      <c r="G4" s="61"/>
      <c r="H4" s="61"/>
      <c r="I4" s="61"/>
      <c r="J4" s="1564"/>
      <c r="K4" s="1565"/>
      <c r="L4" s="928"/>
    </row>
    <row r="5" spans="1:15" ht="14.25" customHeight="1" x14ac:dyDescent="0.3">
      <c r="A5" s="1563"/>
      <c r="B5" s="1563"/>
      <c r="C5" s="1563"/>
      <c r="D5" s="590"/>
      <c r="E5" s="962"/>
      <c r="F5" s="958" t="s">
        <v>5</v>
      </c>
      <c r="G5" s="61"/>
      <c r="H5" s="61"/>
      <c r="I5" s="61"/>
      <c r="J5" s="8"/>
      <c r="K5" s="8"/>
      <c r="L5" s="928"/>
    </row>
    <row r="6" spans="1:15" ht="22.2" x14ac:dyDescent="0.35">
      <c r="B6" s="941" t="s">
        <v>62</v>
      </c>
      <c r="C6" s="274" t="s">
        <v>63</v>
      </c>
      <c r="E6" s="963" t="s">
        <v>7</v>
      </c>
      <c r="F6" s="958" t="s">
        <v>8</v>
      </c>
      <c r="G6" s="195"/>
      <c r="H6" s="195"/>
      <c r="I6" s="965"/>
      <c r="J6" s="8"/>
      <c r="K6" s="8"/>
      <c r="L6" s="929"/>
    </row>
    <row r="7" spans="1:15" ht="15" x14ac:dyDescent="0.25">
      <c r="B7" s="15"/>
      <c r="C7" s="15"/>
      <c r="E7" s="964" t="s">
        <v>10</v>
      </c>
      <c r="F7" s="957" t="s">
        <v>11</v>
      </c>
      <c r="G7" s="181"/>
      <c r="H7" s="181"/>
      <c r="I7" s="966"/>
      <c r="J7" s="8"/>
      <c r="K7" s="8"/>
      <c r="L7" s="929"/>
      <c r="N7" s="8"/>
      <c r="O7" s="8"/>
    </row>
    <row r="8" spans="1:15" s="50" customFormat="1" ht="25.05" customHeight="1" x14ac:dyDescent="0.3">
      <c r="B8" s="970" t="s">
        <v>64</v>
      </c>
      <c r="C8" s="971"/>
      <c r="D8" s="972"/>
      <c r="E8" s="971"/>
      <c r="F8" s="972"/>
      <c r="G8" s="972"/>
      <c r="I8" s="967"/>
      <c r="L8" s="929"/>
      <c r="N8" s="10"/>
      <c r="O8" s="10"/>
    </row>
    <row r="9" spans="1:15" ht="18" thickBot="1" x14ac:dyDescent="0.35">
      <c r="B9" s="381"/>
      <c r="C9" s="15"/>
      <c r="E9" s="15"/>
      <c r="I9" s="968"/>
      <c r="J9" s="8"/>
      <c r="K9" s="8"/>
      <c r="L9" s="929"/>
    </row>
    <row r="10" spans="1:15" ht="18" thickBot="1" x14ac:dyDescent="0.35">
      <c r="B10" s="343" t="s">
        <v>65</v>
      </c>
      <c r="C10" s="344"/>
      <c r="D10" s="228"/>
      <c r="E10" s="15"/>
      <c r="F10" s="343" t="s">
        <v>66</v>
      </c>
      <c r="G10" s="492"/>
      <c r="I10" s="969"/>
      <c r="J10" s="8"/>
      <c r="K10" s="8"/>
      <c r="L10" s="929"/>
    </row>
    <row r="11" spans="1:15" x14ac:dyDescent="0.3">
      <c r="B11" s="345" t="s">
        <v>67</v>
      </c>
      <c r="C11" s="776"/>
      <c r="D11" s="396"/>
      <c r="F11" s="436" t="s">
        <v>68</v>
      </c>
      <c r="G11" s="779"/>
      <c r="I11" s="808"/>
      <c r="J11" s="808"/>
      <c r="K11" s="956"/>
      <c r="L11" s="171"/>
    </row>
    <row r="12" spans="1:15" ht="17.25" customHeight="1" x14ac:dyDescent="0.3">
      <c r="B12" s="407" t="s">
        <v>69</v>
      </c>
      <c r="C12" s="1180" t="s">
        <v>1614</v>
      </c>
      <c r="D12" s="397"/>
      <c r="F12" s="437" t="s">
        <v>70</v>
      </c>
      <c r="G12" s="780"/>
      <c r="I12" s="171"/>
      <c r="J12" s="171"/>
      <c r="K12" s="171"/>
      <c r="L12" s="171"/>
    </row>
    <row r="13" spans="1:15" ht="19.05" customHeight="1" x14ac:dyDescent="0.3">
      <c r="B13" s="407" t="s">
        <v>2066</v>
      </c>
      <c r="C13" s="1206" t="s">
        <v>338</v>
      </c>
      <c r="D13" s="398"/>
      <c r="F13" s="494" t="s">
        <v>73</v>
      </c>
      <c r="G13" s="781"/>
      <c r="I13" s="171"/>
      <c r="J13" s="430"/>
      <c r="K13" s="171"/>
      <c r="L13" s="171"/>
    </row>
    <row r="14" spans="1:15" ht="15" thickBot="1" x14ac:dyDescent="0.35">
      <c r="B14" s="407" t="s">
        <v>71</v>
      </c>
      <c r="C14" s="777"/>
      <c r="D14" s="397"/>
      <c r="F14" s="493" t="str">
        <f>IF('Optional - Scope Estimation'!$D$9="Consulting"," ","Select QA Intensity (Scale of 1-5)")</f>
        <v>Select QA Intensity (Scale of 1-5)</v>
      </c>
      <c r="G14" s="782"/>
      <c r="I14" s="171"/>
      <c r="J14" s="430"/>
      <c r="K14" s="171"/>
      <c r="L14" s="430"/>
    </row>
    <row r="15" spans="1:15" x14ac:dyDescent="0.3">
      <c r="B15" s="407" t="s">
        <v>74</v>
      </c>
      <c r="C15" s="1180" t="s">
        <v>10</v>
      </c>
      <c r="D15" s="397"/>
      <c r="F15" s="1204"/>
      <c r="G15" s="1205"/>
      <c r="I15" s="171"/>
      <c r="J15" s="430"/>
      <c r="K15" s="171"/>
      <c r="L15" s="430"/>
    </row>
    <row r="16" spans="1:15" ht="15" customHeight="1" x14ac:dyDescent="0.3">
      <c r="B16" s="223" t="s">
        <v>75</v>
      </c>
      <c r="C16" s="1090" t="s">
        <v>10</v>
      </c>
      <c r="D16" s="397"/>
      <c r="I16" s="171"/>
      <c r="J16" s="430"/>
      <c r="K16" s="171"/>
      <c r="L16" s="171"/>
    </row>
    <row r="17" spans="2:13" ht="16.05" customHeight="1" x14ac:dyDescent="0.3">
      <c r="B17" s="223" t="s">
        <v>76</v>
      </c>
      <c r="C17" s="1180" t="s">
        <v>2482</v>
      </c>
      <c r="D17" s="399"/>
      <c r="I17" s="171"/>
      <c r="J17" s="430"/>
      <c r="K17" s="171"/>
      <c r="L17" s="171"/>
    </row>
    <row r="18" spans="2:13" ht="15" customHeight="1" x14ac:dyDescent="0.3">
      <c r="B18" s="224" t="s">
        <v>77</v>
      </c>
      <c r="C18" s="1488" t="s">
        <v>412</v>
      </c>
      <c r="D18" s="396"/>
      <c r="I18" s="171"/>
      <c r="J18" s="430"/>
      <c r="K18" s="809"/>
      <c r="L18" s="171"/>
    </row>
    <row r="19" spans="2:13" ht="15" customHeight="1" x14ac:dyDescent="0.3">
      <c r="B19" s="224" t="s">
        <v>78</v>
      </c>
      <c r="C19" s="778" t="s">
        <v>415</v>
      </c>
      <c r="D19" s="396"/>
      <c r="I19" s="171"/>
      <c r="J19" s="430"/>
      <c r="K19" s="809"/>
      <c r="L19" s="171"/>
    </row>
    <row r="20" spans="2:13" ht="45" customHeight="1" x14ac:dyDescent="0.3">
      <c r="B20" s="248" t="s">
        <v>79</v>
      </c>
      <c r="C20" s="777"/>
      <c r="D20" s="398"/>
      <c r="I20" s="171"/>
      <c r="J20" s="430"/>
      <c r="K20" s="810"/>
      <c r="L20" s="171"/>
    </row>
    <row r="21" spans="2:13" ht="19.05" customHeight="1" x14ac:dyDescent="0.3">
      <c r="B21" s="407" t="s">
        <v>80</v>
      </c>
      <c r="C21" s="1183">
        <v>45776</v>
      </c>
      <c r="D21" s="587"/>
      <c r="J21" s="15"/>
      <c r="K21" s="273"/>
    </row>
    <row r="22" spans="2:13" ht="20.25" customHeight="1" thickBot="1" x14ac:dyDescent="0.35">
      <c r="B22" s="352" t="s">
        <v>81</v>
      </c>
      <c r="C22" s="1055" t="s">
        <v>427</v>
      </c>
      <c r="D22" s="398"/>
      <c r="J22" s="15"/>
      <c r="K22" s="273"/>
    </row>
    <row r="23" spans="2:13" ht="21" customHeight="1" x14ac:dyDescent="0.3">
      <c r="B23" s="1571" t="s">
        <v>2469</v>
      </c>
      <c r="C23" s="1572" t="s">
        <v>10</v>
      </c>
      <c r="J23" s="15"/>
      <c r="K23" s="273"/>
    </row>
    <row r="24" spans="2:13" ht="16.05" customHeight="1" x14ac:dyDescent="0.3">
      <c r="B24" s="1573" t="s">
        <v>2470</v>
      </c>
      <c r="C24" s="1574" t="s">
        <v>2474</v>
      </c>
      <c r="J24" s="15"/>
      <c r="K24" s="273"/>
    </row>
    <row r="25" spans="2:13" ht="24" customHeight="1" thickBot="1" x14ac:dyDescent="0.35">
      <c r="B25" s="1575" t="s">
        <v>2471</v>
      </c>
      <c r="C25" s="1576" t="s">
        <v>2473</v>
      </c>
    </row>
    <row r="28" spans="2:13" ht="27" customHeight="1" x14ac:dyDescent="0.3"/>
    <row r="29" spans="2:13" ht="26.25" customHeight="1" x14ac:dyDescent="0.3">
      <c r="B29" s="973" t="s">
        <v>2302</v>
      </c>
      <c r="C29" s="974"/>
      <c r="D29" s="975"/>
      <c r="E29" s="976"/>
      <c r="F29" s="977"/>
      <c r="G29" s="977"/>
      <c r="H29" s="977"/>
      <c r="I29" s="977"/>
      <c r="J29" s="978"/>
      <c r="K29" s="935"/>
    </row>
    <row r="30" spans="2:13" ht="19.05" customHeight="1" x14ac:dyDescent="0.3">
      <c r="B30" s="15"/>
      <c r="C30" s="15"/>
      <c r="J30"/>
      <c r="K30"/>
    </row>
    <row r="31" spans="2:13" ht="16.05" customHeight="1" x14ac:dyDescent="0.3">
      <c r="B31" s="381" t="s">
        <v>82</v>
      </c>
      <c r="C31"/>
      <c r="D31"/>
      <c r="E31" s="381"/>
      <c r="H31"/>
      <c r="I31" s="381" t="s">
        <v>83</v>
      </c>
      <c r="J31" s="367"/>
      <c r="K31" s="8"/>
      <c r="L31" s="102"/>
      <c r="M31" s="102"/>
    </row>
    <row r="32" spans="2:13" ht="17.25" customHeight="1" thickBot="1" x14ac:dyDescent="0.35">
      <c r="B32" s="409"/>
      <c r="C32"/>
      <c r="D32"/>
      <c r="E32"/>
      <c r="H32"/>
      <c r="I32" s="661" t="s">
        <v>84</v>
      </c>
      <c r="K32" s="8"/>
    </row>
    <row r="33" spans="1:13" ht="18" customHeight="1" thickBot="1" x14ac:dyDescent="0.35">
      <c r="B33" s="353" t="s">
        <v>8</v>
      </c>
      <c r="C33" s="354" t="s">
        <v>85</v>
      </c>
      <c r="D33" s="208"/>
      <c r="E33" s="597" t="s">
        <v>8</v>
      </c>
      <c r="F33" s="931" t="s">
        <v>86</v>
      </c>
      <c r="G33" s="932" t="s">
        <v>87</v>
      </c>
      <c r="H33"/>
      <c r="I33" s="1621" t="s">
        <v>88</v>
      </c>
      <c r="J33" s="1622"/>
      <c r="K33" s="1622"/>
      <c r="L33" s="1622"/>
      <c r="M33" s="1623"/>
    </row>
    <row r="34" spans="1:13" ht="34.049999999999997" customHeight="1" thickBot="1" x14ac:dyDescent="0.35">
      <c r="A34" s="15"/>
      <c r="B34" s="1627" t="s">
        <v>89</v>
      </c>
      <c r="C34" s="783" t="s">
        <v>2344</v>
      </c>
      <c r="D34" s="588"/>
      <c r="E34" s="1618" t="s">
        <v>90</v>
      </c>
      <c r="F34" s="1076" t="s">
        <v>10</v>
      </c>
      <c r="G34" s="1056" t="s">
        <v>91</v>
      </c>
      <c r="H34"/>
      <c r="I34" s="792" t="s">
        <v>92</v>
      </c>
      <c r="J34" s="793" t="s">
        <v>93</v>
      </c>
      <c r="K34" s="793" t="s">
        <v>94</v>
      </c>
      <c r="L34" s="794" t="s">
        <v>95</v>
      </c>
      <c r="M34" s="792" t="s">
        <v>96</v>
      </c>
    </row>
    <row r="35" spans="1:13" ht="17.25" customHeight="1" x14ac:dyDescent="0.3">
      <c r="A35" s="15"/>
      <c r="B35" s="1628"/>
      <c r="C35" s="783" t="s">
        <v>2345</v>
      </c>
      <c r="D35" s="588"/>
      <c r="E35" s="1619"/>
      <c r="F35" s="1076" t="s">
        <v>10</v>
      </c>
      <c r="G35" s="1056" t="s">
        <v>91</v>
      </c>
      <c r="H35"/>
      <c r="I35" s="795" t="s">
        <v>97</v>
      </c>
      <c r="J35" s="1058" t="s">
        <v>1847</v>
      </c>
      <c r="K35" s="796" t="s">
        <v>98</v>
      </c>
      <c r="L35" s="1058" t="s">
        <v>1847</v>
      </c>
      <c r="M35" s="797" t="s">
        <v>99</v>
      </c>
    </row>
    <row r="36" spans="1:13" ht="17.25" customHeight="1" x14ac:dyDescent="0.3">
      <c r="A36" s="15"/>
      <c r="B36" s="1628"/>
      <c r="C36" s="783" t="s">
        <v>2348</v>
      </c>
      <c r="D36" s="588"/>
      <c r="E36" s="1619"/>
      <c r="F36" s="1076" t="s">
        <v>10</v>
      </c>
      <c r="G36" s="1056" t="s">
        <v>91</v>
      </c>
      <c r="H36"/>
      <c r="I36" s="798" t="s">
        <v>100</v>
      </c>
      <c r="J36" s="1058" t="s">
        <v>1847</v>
      </c>
      <c r="K36" s="799" t="s">
        <v>101</v>
      </c>
      <c r="L36" s="1058" t="s">
        <v>1847</v>
      </c>
      <c r="M36" s="800" t="s">
        <v>99</v>
      </c>
    </row>
    <row r="37" spans="1:13" x14ac:dyDescent="0.3">
      <c r="A37" s="15"/>
      <c r="B37" s="1628"/>
      <c r="C37" s="783" t="s">
        <v>2349</v>
      </c>
      <c r="D37" s="588"/>
      <c r="E37" s="1619"/>
      <c r="F37" s="788" t="s">
        <v>10</v>
      </c>
      <c r="G37" s="1056" t="s">
        <v>91</v>
      </c>
      <c r="H37"/>
      <c r="I37" s="798" t="s">
        <v>102</v>
      </c>
      <c r="J37" s="1058" t="s">
        <v>1847</v>
      </c>
      <c r="K37" s="799" t="s">
        <v>103</v>
      </c>
      <c r="L37" s="1058" t="s">
        <v>1847</v>
      </c>
      <c r="M37" s="800" t="s">
        <v>99</v>
      </c>
    </row>
    <row r="38" spans="1:13" x14ac:dyDescent="0.3">
      <c r="A38" s="15"/>
      <c r="B38" s="1628"/>
      <c r="C38" s="783" t="s">
        <v>2350</v>
      </c>
      <c r="D38" s="588"/>
      <c r="E38" s="1619"/>
      <c r="F38" s="788" t="s">
        <v>10</v>
      </c>
      <c r="G38" s="1056" t="s">
        <v>91</v>
      </c>
      <c r="H38"/>
      <c r="I38" s="798" t="s">
        <v>104</v>
      </c>
      <c r="J38" s="1058" t="s">
        <v>1847</v>
      </c>
      <c r="K38" s="799" t="s">
        <v>105</v>
      </c>
      <c r="L38" s="1058" t="s">
        <v>1847</v>
      </c>
      <c r="M38" s="800" t="s">
        <v>99</v>
      </c>
    </row>
    <row r="39" spans="1:13" ht="18" customHeight="1" x14ac:dyDescent="0.3">
      <c r="A39" s="15"/>
      <c r="B39" s="1628"/>
      <c r="C39" s="783" t="s">
        <v>2351</v>
      </c>
      <c r="D39" s="588"/>
      <c r="E39" s="1619"/>
      <c r="F39" s="789" t="s">
        <v>10</v>
      </c>
      <c r="G39" s="1056" t="s">
        <v>91</v>
      </c>
      <c r="H39"/>
      <c r="I39" s="798" t="s">
        <v>106</v>
      </c>
      <c r="J39" s="1058" t="s">
        <v>1847</v>
      </c>
      <c r="K39" s="801" t="s">
        <v>107</v>
      </c>
      <c r="L39" s="1058" t="s">
        <v>1847</v>
      </c>
      <c r="M39" s="800" t="s">
        <v>99</v>
      </c>
    </row>
    <row r="40" spans="1:13" x14ac:dyDescent="0.3">
      <c r="A40" s="15"/>
      <c r="B40" s="1628"/>
      <c r="C40" s="783" t="s">
        <v>108</v>
      </c>
      <c r="D40" s="588"/>
      <c r="E40" s="1619"/>
      <c r="F40" s="790" t="s">
        <v>10</v>
      </c>
      <c r="G40" s="1056" t="s">
        <v>91</v>
      </c>
      <c r="H40"/>
      <c r="I40" s="798" t="s">
        <v>109</v>
      </c>
      <c r="J40" s="1058" t="s">
        <v>1847</v>
      </c>
      <c r="K40" s="802"/>
      <c r="L40" s="1058"/>
      <c r="M40" s="800"/>
    </row>
    <row r="41" spans="1:13" ht="15" thickBot="1" x14ac:dyDescent="0.35">
      <c r="A41" s="15"/>
      <c r="B41" s="1628"/>
      <c r="C41" s="783" t="s">
        <v>110</v>
      </c>
      <c r="D41" s="588"/>
      <c r="E41" s="1619"/>
      <c r="F41" s="790" t="s">
        <v>10</v>
      </c>
      <c r="G41" s="1056" t="s">
        <v>91</v>
      </c>
      <c r="H41"/>
      <c r="I41" s="803" t="s">
        <v>111</v>
      </c>
      <c r="J41" s="1059" t="s">
        <v>1847</v>
      </c>
      <c r="K41" s="804"/>
      <c r="L41" s="1059"/>
      <c r="M41" s="805"/>
    </row>
    <row r="42" spans="1:13" x14ac:dyDescent="0.3">
      <c r="A42" s="15"/>
      <c r="B42" s="1628"/>
      <c r="C42" s="783" t="s">
        <v>112</v>
      </c>
      <c r="D42" s="588"/>
      <c r="E42" s="1619"/>
      <c r="F42" s="790" t="s">
        <v>10</v>
      </c>
      <c r="G42" s="1056" t="s">
        <v>91</v>
      </c>
      <c r="H42"/>
      <c r="I42" s="15"/>
      <c r="J42"/>
      <c r="K42" s="8"/>
    </row>
    <row r="43" spans="1:13" ht="15" thickBot="1" x14ac:dyDescent="0.35">
      <c r="A43" s="15"/>
      <c r="B43" s="1628"/>
      <c r="C43" s="783" t="s">
        <v>113</v>
      </c>
      <c r="D43" s="588"/>
      <c r="E43" s="1620"/>
      <c r="F43" s="791" t="s">
        <v>10</v>
      </c>
      <c r="G43" s="1057" t="s">
        <v>91</v>
      </c>
      <c r="H43"/>
      <c r="I43" s="373"/>
      <c r="J43" s="8"/>
      <c r="K43" s="8"/>
    </row>
    <row r="44" spans="1:13" x14ac:dyDescent="0.3">
      <c r="A44" s="15"/>
      <c r="B44" s="1628"/>
      <c r="C44" s="783" t="s">
        <v>114</v>
      </c>
      <c r="D44" s="588"/>
      <c r="E44" s="637"/>
      <c r="F44" s="638"/>
      <c r="G44" s="639"/>
      <c r="H44"/>
      <c r="I44" s="171"/>
      <c r="J44" s="807"/>
      <c r="K44" s="807"/>
      <c r="L44" s="171"/>
      <c r="M44" s="171"/>
    </row>
    <row r="45" spans="1:13" x14ac:dyDescent="0.3">
      <c r="A45" s="15"/>
      <c r="B45" s="1628"/>
      <c r="C45" s="912" t="s">
        <v>115</v>
      </c>
      <c r="D45" s="588"/>
      <c r="E45" s="596"/>
      <c r="F45" s="432"/>
      <c r="G45" s="460"/>
      <c r="H45"/>
      <c r="I45" s="171"/>
      <c r="J45" s="807"/>
      <c r="K45" s="807"/>
      <c r="L45" s="171"/>
      <c r="M45" s="171"/>
    </row>
    <row r="46" spans="1:13" x14ac:dyDescent="0.3">
      <c r="A46" s="15"/>
      <c r="B46" s="1628"/>
      <c r="C46" s="912" t="s">
        <v>116</v>
      </c>
      <c r="D46" s="588"/>
      <c r="E46" s="596"/>
      <c r="F46" s="432"/>
      <c r="G46" s="460"/>
      <c r="H46"/>
      <c r="I46" s="171"/>
      <c r="J46" s="807"/>
      <c r="K46" s="807"/>
      <c r="L46" s="171"/>
      <c r="M46" s="171"/>
    </row>
    <row r="47" spans="1:13" x14ac:dyDescent="0.3">
      <c r="A47" s="15"/>
      <c r="B47" s="1628"/>
      <c r="C47" s="912" t="s">
        <v>117</v>
      </c>
      <c r="D47" s="588"/>
      <c r="E47" s="596"/>
      <c r="F47" s="432"/>
      <c r="G47" s="460"/>
      <c r="H47"/>
      <c r="I47" s="171"/>
      <c r="J47" s="807"/>
      <c r="K47" s="807"/>
      <c r="L47" s="171"/>
      <c r="M47" s="171"/>
    </row>
    <row r="48" spans="1:13" x14ac:dyDescent="0.3">
      <c r="A48" s="15"/>
      <c r="B48" s="1628"/>
      <c r="C48" s="912" t="s">
        <v>118</v>
      </c>
      <c r="D48" s="588"/>
      <c r="E48" s="596"/>
      <c r="F48" s="432"/>
      <c r="G48" s="460"/>
      <c r="H48"/>
      <c r="I48" s="171"/>
      <c r="J48" s="807"/>
      <c r="K48" s="807"/>
      <c r="L48" s="171"/>
      <c r="M48" s="171"/>
    </row>
    <row r="49" spans="1:13" x14ac:dyDescent="0.3">
      <c r="A49" s="15"/>
      <c r="B49" s="1628"/>
      <c r="C49" s="912" t="s">
        <v>119</v>
      </c>
      <c r="D49" s="588"/>
      <c r="E49" s="596"/>
      <c r="F49" s="432"/>
      <c r="G49" s="460"/>
      <c r="H49"/>
      <c r="I49" s="171"/>
      <c r="J49" s="807"/>
      <c r="K49" s="807"/>
      <c r="L49" s="171"/>
      <c r="M49" s="171"/>
    </row>
    <row r="50" spans="1:13" ht="18" customHeight="1" x14ac:dyDescent="0.3">
      <c r="A50" s="15"/>
      <c r="B50" s="1628"/>
      <c r="C50" s="912" t="s">
        <v>120</v>
      </c>
      <c r="D50" s="588"/>
      <c r="E50" s="596"/>
      <c r="F50" s="432"/>
      <c r="G50" s="460"/>
      <c r="H50"/>
      <c r="I50" s="171"/>
      <c r="J50" s="807"/>
      <c r="K50" s="807"/>
      <c r="L50" s="171"/>
      <c r="M50" s="171"/>
    </row>
    <row r="51" spans="1:13" ht="20.25" customHeight="1" x14ac:dyDescent="0.3">
      <c r="A51" s="15"/>
      <c r="B51" s="1628"/>
      <c r="C51" s="912" t="s">
        <v>121</v>
      </c>
      <c r="D51" s="588"/>
      <c r="E51" s="596"/>
      <c r="F51" s="432"/>
      <c r="G51" s="460"/>
      <c r="H51"/>
      <c r="I51" s="171"/>
      <c r="J51" s="807"/>
      <c r="K51" s="807"/>
      <c r="L51" s="171"/>
      <c r="M51" s="171"/>
    </row>
    <row r="52" spans="1:13" ht="22.05" customHeight="1" x14ac:dyDescent="0.3">
      <c r="A52" s="15"/>
      <c r="B52" s="1628"/>
      <c r="C52" s="912" t="s">
        <v>122</v>
      </c>
      <c r="D52" s="588"/>
      <c r="E52" s="596"/>
      <c r="F52" s="432"/>
      <c r="G52" s="460"/>
      <c r="H52"/>
      <c r="I52" s="171"/>
      <c r="J52" s="807"/>
      <c r="K52" s="807"/>
      <c r="L52" s="171"/>
      <c r="M52" s="171"/>
    </row>
    <row r="53" spans="1:13" ht="15" thickBot="1" x14ac:dyDescent="0.35">
      <c r="A53" s="15"/>
      <c r="B53" s="1629"/>
      <c r="C53" s="784" t="s">
        <v>123</v>
      </c>
      <c r="D53" s="588"/>
      <c r="E53" s="596"/>
      <c r="H53"/>
      <c r="I53" s="171"/>
      <c r="J53" s="807"/>
      <c r="K53" s="807"/>
      <c r="L53" s="171"/>
      <c r="M53" s="171"/>
    </row>
    <row r="54" spans="1:13" ht="22.05" customHeight="1" x14ac:dyDescent="0.3">
      <c r="A54" s="15"/>
      <c r="E54" s="356"/>
      <c r="F54" s="356"/>
      <c r="G54" s="356"/>
      <c r="H54" s="15"/>
      <c r="I54" s="430"/>
      <c r="J54" s="807"/>
      <c r="K54" s="94"/>
      <c r="L54" s="171"/>
      <c r="M54" s="171"/>
    </row>
    <row r="55" spans="1:13" ht="23.25" customHeight="1" x14ac:dyDescent="0.3">
      <c r="A55" s="15"/>
      <c r="E55" s="369"/>
      <c r="F55" s="370"/>
      <c r="G55" s="370"/>
      <c r="H55" s="15"/>
      <c r="I55" s="430"/>
      <c r="J55" s="807"/>
      <c r="K55" s="94"/>
      <c r="L55" s="171"/>
      <c r="M55" s="171"/>
    </row>
    <row r="56" spans="1:13" ht="21" customHeight="1" x14ac:dyDescent="0.3">
      <c r="A56" s="15"/>
      <c r="B56" s="611"/>
      <c r="C56" s="612"/>
      <c r="D56" s="425"/>
      <c r="E56" s="369"/>
      <c r="F56" s="370"/>
      <c r="G56" s="370"/>
      <c r="H56" s="103"/>
      <c r="I56" s="811"/>
      <c r="J56" s="806"/>
      <c r="K56" s="94"/>
      <c r="L56" s="171"/>
      <c r="M56" s="171"/>
    </row>
    <row r="57" spans="1:13" ht="18" thickBot="1" x14ac:dyDescent="0.35">
      <c r="A57" s="15"/>
      <c r="B57" s="15" t="s">
        <v>124</v>
      </c>
      <c r="C57" s="367"/>
      <c r="D57" s="7"/>
      <c r="E57" s="369"/>
      <c r="F57" s="370"/>
      <c r="G57" s="370"/>
      <c r="H57" s="15"/>
      <c r="I57" s="430"/>
      <c r="J57" s="807"/>
      <c r="K57" s="94"/>
      <c r="L57" s="171"/>
      <c r="M57" s="171"/>
    </row>
    <row r="58" spans="1:13" x14ac:dyDescent="0.3">
      <c r="A58" s="15"/>
      <c r="B58" s="620" t="s">
        <v>125</v>
      </c>
      <c r="C58" s="785" t="s">
        <v>126</v>
      </c>
      <c r="D58" s="399"/>
      <c r="E58" s="369"/>
      <c r="F58" s="370"/>
      <c r="G58" s="370"/>
      <c r="H58" s="15"/>
      <c r="I58" s="430"/>
      <c r="J58" s="807"/>
      <c r="K58" s="94"/>
      <c r="L58" s="171"/>
      <c r="M58" s="171"/>
    </row>
    <row r="59" spans="1:13" x14ac:dyDescent="0.3">
      <c r="A59" s="15"/>
      <c r="B59" s="621" t="s">
        <v>127</v>
      </c>
      <c r="C59" s="786" t="s">
        <v>128</v>
      </c>
      <c r="D59" s="399"/>
      <c r="I59" s="171"/>
      <c r="J59" s="807"/>
      <c r="K59" s="807"/>
      <c r="L59" s="171"/>
      <c r="M59" s="171"/>
    </row>
    <row r="60" spans="1:13" ht="15" thickBot="1" x14ac:dyDescent="0.35">
      <c r="A60" s="15"/>
      <c r="B60" s="619" t="s">
        <v>129</v>
      </c>
      <c r="C60" s="787" t="s">
        <v>130</v>
      </c>
      <c r="D60" s="399"/>
      <c r="I60" s="171"/>
      <c r="J60" s="807"/>
      <c r="K60" s="807"/>
      <c r="L60" s="171"/>
      <c r="M60" s="171"/>
    </row>
    <row r="61" spans="1:13" x14ac:dyDescent="0.3">
      <c r="A61" s="15"/>
      <c r="B61" s="367"/>
      <c r="C61" s="369"/>
      <c r="D61" s="613"/>
      <c r="I61" s="171"/>
      <c r="J61" s="807"/>
      <c r="K61" s="807"/>
      <c r="L61" s="171"/>
      <c r="M61" s="171"/>
    </row>
    <row r="62" spans="1:13" x14ac:dyDescent="0.3">
      <c r="A62" s="15"/>
      <c r="B62" s="942" t="s">
        <v>131</v>
      </c>
      <c r="C62" s="372"/>
      <c r="D62" s="122"/>
      <c r="E62" s="372"/>
      <c r="F62" s="369"/>
      <c r="G62" s="369"/>
      <c r="H62" s="15"/>
      <c r="I62" s="171"/>
      <c r="J62" s="807"/>
      <c r="K62" s="807"/>
      <c r="L62" s="171"/>
      <c r="M62" s="171"/>
    </row>
    <row r="63" spans="1:13" x14ac:dyDescent="0.3">
      <c r="A63" s="15"/>
      <c r="B63" s="214"/>
      <c r="C63" s="372"/>
      <c r="D63" s="122"/>
      <c r="E63" s="356"/>
      <c r="F63" s="369"/>
      <c r="G63" s="369"/>
      <c r="H63" s="15"/>
      <c r="I63" s="171"/>
      <c r="J63" s="807"/>
      <c r="K63" s="807"/>
      <c r="L63" s="171"/>
      <c r="M63" s="171"/>
    </row>
    <row r="64" spans="1:13" x14ac:dyDescent="0.3">
      <c r="A64" s="15"/>
      <c r="B64" s="214"/>
      <c r="C64" s="367"/>
      <c r="D64" s="7"/>
      <c r="E64" s="220"/>
      <c r="F64" s="15"/>
      <c r="G64" s="15"/>
      <c r="H64" s="15"/>
      <c r="I64" s="171"/>
      <c r="J64" s="807"/>
      <c r="K64" s="807"/>
      <c r="L64" s="171"/>
      <c r="M64" s="171"/>
    </row>
    <row r="65" spans="1:13" x14ac:dyDescent="0.3">
      <c r="A65" s="15"/>
      <c r="B65" s="15"/>
      <c r="C65" s="358"/>
      <c r="D65" s="591"/>
      <c r="E65" s="15"/>
      <c r="F65" s="15"/>
      <c r="G65" s="15"/>
      <c r="H65" s="15"/>
      <c r="I65" s="171"/>
      <c r="J65" s="807"/>
      <c r="K65" s="807"/>
      <c r="L65" s="171"/>
      <c r="M65" s="171"/>
    </row>
    <row r="66" spans="1:13" x14ac:dyDescent="0.3">
      <c r="A66" s="15"/>
      <c r="B66" s="15"/>
      <c r="C66" s="371"/>
      <c r="D66" s="49"/>
      <c r="E66" s="15"/>
      <c r="F66" s="15"/>
      <c r="G66" s="15"/>
      <c r="H66" s="15"/>
      <c r="I66" s="171"/>
      <c r="J66" s="807"/>
      <c r="K66" s="807"/>
      <c r="L66" s="171"/>
      <c r="M66" s="171"/>
    </row>
    <row r="67" spans="1:13" x14ac:dyDescent="0.3">
      <c r="A67" s="15"/>
      <c r="B67" s="220"/>
      <c r="C67" s="368"/>
      <c r="D67" s="267"/>
      <c r="E67" s="15"/>
      <c r="F67" s="15"/>
      <c r="G67" s="15"/>
      <c r="H67" s="15"/>
      <c r="I67" s="171"/>
      <c r="J67" s="807"/>
      <c r="K67" s="807"/>
      <c r="L67" s="171"/>
      <c r="M67" s="171"/>
    </row>
    <row r="68" spans="1:13" x14ac:dyDescent="0.3">
      <c r="A68" s="15"/>
      <c r="B68" s="247"/>
      <c r="C68" s="15"/>
      <c r="E68" s="373"/>
      <c r="F68" s="15"/>
      <c r="G68" s="15"/>
      <c r="H68" s="15"/>
      <c r="I68" s="171"/>
      <c r="J68" s="807"/>
      <c r="K68" s="807"/>
      <c r="L68" s="171"/>
      <c r="M68" s="171"/>
    </row>
    <row r="69" spans="1:13" x14ac:dyDescent="0.3">
      <c r="A69" s="15"/>
      <c r="B69" s="247"/>
      <c r="C69" s="358"/>
      <c r="D69" s="591"/>
      <c r="E69" s="374"/>
      <c r="F69" s="15"/>
      <c r="G69" s="15"/>
      <c r="H69" s="15"/>
      <c r="I69" s="812"/>
      <c r="J69" s="171"/>
      <c r="K69" s="171"/>
      <c r="L69" s="171"/>
      <c r="M69" s="171"/>
    </row>
    <row r="70" spans="1:13" x14ac:dyDescent="0.3">
      <c r="A70" s="15"/>
      <c r="B70" s="247"/>
      <c r="C70" s="375"/>
      <c r="D70" s="589"/>
      <c r="E70" s="15"/>
      <c r="F70" s="15"/>
      <c r="G70" s="15"/>
      <c r="H70" s="15"/>
      <c r="I70" s="15"/>
      <c r="J70" s="8"/>
      <c r="K70" s="8"/>
    </row>
    <row r="71" spans="1:13" x14ac:dyDescent="0.3">
      <c r="A71" s="15"/>
      <c r="B71" s="220"/>
      <c r="C71" s="373"/>
      <c r="D71" s="58"/>
      <c r="E71" s="15"/>
      <c r="F71" s="15"/>
      <c r="G71" s="15"/>
      <c r="H71" s="15"/>
      <c r="I71" s="15"/>
      <c r="J71" s="8"/>
      <c r="K71" s="8"/>
    </row>
    <row r="72" spans="1:13" ht="15" x14ac:dyDescent="0.3">
      <c r="A72" s="15"/>
      <c r="B72" s="376"/>
      <c r="C72" s="373"/>
      <c r="D72" s="58"/>
      <c r="E72" s="15"/>
      <c r="F72" s="15"/>
      <c r="G72" s="15"/>
      <c r="H72" s="15"/>
      <c r="I72" s="15"/>
      <c r="J72" s="8"/>
      <c r="K72" s="8"/>
    </row>
    <row r="73" spans="1:13" x14ac:dyDescent="0.3">
      <c r="A73" s="15"/>
      <c r="B73" s="377"/>
      <c r="C73" s="373"/>
      <c r="D73" s="58"/>
      <c r="E73" s="15"/>
      <c r="F73" s="15"/>
      <c r="G73" s="15"/>
      <c r="H73" s="15"/>
      <c r="I73" s="15"/>
      <c r="J73" s="8"/>
      <c r="K73" s="8"/>
    </row>
    <row r="74" spans="1:13" x14ac:dyDescent="0.3">
      <c r="A74" s="15"/>
      <c r="B74" s="372"/>
      <c r="C74" s="373"/>
      <c r="D74" s="58"/>
      <c r="E74" s="15"/>
      <c r="F74" s="15"/>
      <c r="G74" s="15"/>
      <c r="H74" s="15"/>
      <c r="I74" s="15"/>
      <c r="J74" s="8"/>
      <c r="K74" s="8"/>
    </row>
    <row r="75" spans="1:13" x14ac:dyDescent="0.3">
      <c r="A75" s="15"/>
      <c r="B75" s="372"/>
      <c r="C75" s="374"/>
      <c r="D75" s="59"/>
      <c r="E75" s="15"/>
      <c r="F75" s="15"/>
      <c r="G75" s="15"/>
      <c r="H75" s="15"/>
      <c r="I75" s="15"/>
      <c r="J75" s="8"/>
      <c r="K75" s="8"/>
    </row>
    <row r="76" spans="1:13" x14ac:dyDescent="0.3">
      <c r="A76" s="15"/>
      <c r="B76" s="372"/>
      <c r="C76" s="15"/>
      <c r="E76" s="15"/>
      <c r="F76" s="15"/>
      <c r="G76" s="15"/>
      <c r="H76" s="15"/>
      <c r="I76" s="15"/>
      <c r="J76" s="8"/>
      <c r="K76" s="8"/>
    </row>
    <row r="77" spans="1:13" ht="15" x14ac:dyDescent="0.3">
      <c r="A77" s="15"/>
      <c r="B77" s="372"/>
      <c r="C77" s="376"/>
      <c r="D77" s="592"/>
      <c r="E77" s="376"/>
      <c r="F77" s="15"/>
      <c r="G77" s="15"/>
      <c r="H77" s="15"/>
      <c r="I77" s="376"/>
      <c r="J77" s="8"/>
      <c r="K77" s="8"/>
    </row>
    <row r="78" spans="1:13" x14ac:dyDescent="0.3">
      <c r="A78" s="15"/>
      <c r="B78" s="372"/>
      <c r="C78" s="377"/>
      <c r="D78" s="593"/>
      <c r="E78" s="378"/>
      <c r="F78" s="15"/>
      <c r="G78" s="15"/>
      <c r="H78" s="15"/>
      <c r="I78" s="378"/>
      <c r="J78" s="8"/>
      <c r="K78" s="8"/>
    </row>
    <row r="79" spans="1:13" x14ac:dyDescent="0.3">
      <c r="A79" s="15"/>
      <c r="B79" s="367"/>
      <c r="C79" s="379"/>
      <c r="D79" s="594"/>
      <c r="E79" s="368"/>
      <c r="F79" s="15"/>
      <c r="G79" s="15"/>
      <c r="H79" s="15"/>
      <c r="I79" s="368"/>
      <c r="J79" s="8"/>
      <c r="K79" s="8"/>
    </row>
    <row r="80" spans="1:13" x14ac:dyDescent="0.3">
      <c r="A80" s="15"/>
      <c r="B80" s="367"/>
      <c r="C80" s="379"/>
      <c r="D80" s="594"/>
      <c r="E80" s="368"/>
      <c r="F80" s="15"/>
      <c r="G80" s="15"/>
      <c r="H80" s="15"/>
      <c r="I80" s="368"/>
      <c r="J80" s="8"/>
      <c r="K80" s="8"/>
    </row>
    <row r="81" spans="1:15" x14ac:dyDescent="0.3">
      <c r="A81" s="15"/>
      <c r="B81" s="255"/>
      <c r="C81" s="379"/>
      <c r="D81" s="594"/>
      <c r="E81" s="368"/>
      <c r="F81" s="15"/>
      <c r="G81" s="15"/>
      <c r="H81" s="15"/>
      <c r="I81" s="368"/>
      <c r="J81" s="8"/>
      <c r="K81" s="8"/>
    </row>
    <row r="82" spans="1:15" x14ac:dyDescent="0.3">
      <c r="A82" s="15"/>
      <c r="B82" s="215"/>
      <c r="C82" s="379"/>
      <c r="D82" s="594"/>
      <c r="E82" s="368"/>
      <c r="F82" s="15"/>
      <c r="G82" s="15"/>
      <c r="H82" s="15"/>
      <c r="I82" s="368"/>
      <c r="J82" s="8"/>
      <c r="K82" s="8"/>
    </row>
    <row r="83" spans="1:15" x14ac:dyDescent="0.3">
      <c r="A83" s="15"/>
      <c r="B83" s="367"/>
      <c r="C83" s="379"/>
      <c r="D83" s="594"/>
      <c r="E83" s="368"/>
      <c r="F83" s="15"/>
      <c r="G83" s="15"/>
      <c r="H83" s="15"/>
      <c r="I83" s="368"/>
      <c r="J83" s="8"/>
      <c r="K83" s="8"/>
    </row>
    <row r="84" spans="1:15" x14ac:dyDescent="0.3">
      <c r="A84" s="15"/>
      <c r="B84" s="367"/>
      <c r="C84" s="367"/>
      <c r="D84" s="7"/>
      <c r="E84" s="15"/>
      <c r="F84" s="15"/>
      <c r="G84" s="15"/>
      <c r="H84" s="15"/>
      <c r="I84" s="15"/>
      <c r="J84" s="8"/>
      <c r="K84" s="8"/>
    </row>
    <row r="85" spans="1:15" x14ac:dyDescent="0.3">
      <c r="A85" s="15"/>
      <c r="B85" s="367"/>
      <c r="C85" s="367"/>
      <c r="D85" s="7"/>
      <c r="E85" s="15"/>
      <c r="F85" s="15"/>
      <c r="G85" s="15"/>
      <c r="H85" s="15"/>
      <c r="I85" s="15"/>
      <c r="J85" s="8"/>
      <c r="K85" s="8"/>
    </row>
    <row r="86" spans="1:15" x14ac:dyDescent="0.3">
      <c r="A86" s="15"/>
      <c r="B86" s="367"/>
      <c r="C86" s="366"/>
      <c r="D86" s="163"/>
      <c r="E86" s="366"/>
      <c r="F86" s="366"/>
      <c r="G86" s="366"/>
      <c r="H86" s="215"/>
      <c r="I86" s="215"/>
      <c r="J86" s="8"/>
      <c r="K86" s="8"/>
    </row>
    <row r="87" spans="1:15" x14ac:dyDescent="0.3">
      <c r="A87" s="15"/>
      <c r="B87" s="367"/>
      <c r="C87" s="380"/>
      <c r="D87" s="595"/>
      <c r="E87" s="380"/>
      <c r="F87" s="380"/>
      <c r="G87" s="380"/>
      <c r="H87" s="380"/>
      <c r="I87" s="380"/>
      <c r="J87" s="8"/>
      <c r="K87" s="8"/>
    </row>
    <row r="88" spans="1:15" x14ac:dyDescent="0.3">
      <c r="A88" s="15"/>
      <c r="B88" s="367"/>
      <c r="C88" s="367"/>
      <c r="D88" s="7"/>
      <c r="E88" s="372"/>
      <c r="F88" s="15"/>
      <c r="G88" s="15"/>
      <c r="H88" s="15"/>
      <c r="I88" s="15"/>
      <c r="J88" s="8"/>
      <c r="K88" s="8"/>
    </row>
    <row r="89" spans="1:15" x14ac:dyDescent="0.3">
      <c r="B89" s="7"/>
      <c r="C89" s="7"/>
      <c r="D89" s="7"/>
      <c r="E89" s="122"/>
      <c r="J89" s="8"/>
      <c r="K89" s="8"/>
    </row>
    <row r="90" spans="1:15" x14ac:dyDescent="0.3">
      <c r="B90" s="7"/>
      <c r="C90" s="7"/>
      <c r="D90" s="7"/>
      <c r="J90" s="8"/>
      <c r="K90" s="8"/>
    </row>
    <row r="91" spans="1:15" x14ac:dyDescent="0.3">
      <c r="C91" s="7"/>
      <c r="D91" s="7"/>
      <c r="J91" s="8"/>
      <c r="K91" s="8"/>
    </row>
    <row r="92" spans="1:15" x14ac:dyDescent="0.3">
      <c r="C92" s="7"/>
      <c r="D92" s="7"/>
      <c r="J92" s="8"/>
      <c r="K92" s="8"/>
    </row>
    <row r="93" spans="1:15" x14ac:dyDescent="0.3">
      <c r="C93" s="7"/>
      <c r="D93" s="7"/>
      <c r="J93" s="8"/>
      <c r="K93" s="8"/>
    </row>
    <row r="94" spans="1:15" ht="13.8" x14ac:dyDescent="0.25">
      <c r="C94" s="7"/>
      <c r="D94" s="7"/>
      <c r="J94" s="8"/>
      <c r="K94" s="8"/>
      <c r="N94" s="8"/>
      <c r="O94" s="8"/>
    </row>
    <row r="95" spans="1:15" ht="13.8" x14ac:dyDescent="0.25">
      <c r="C95" s="7"/>
      <c r="D95" s="7"/>
      <c r="J95" s="8"/>
      <c r="K95" s="8"/>
      <c r="N95" s="8"/>
      <c r="O95" s="8"/>
    </row>
    <row r="96" spans="1:15" ht="13.8" x14ac:dyDescent="0.25">
      <c r="N96" s="8"/>
      <c r="O96" s="8"/>
    </row>
    <row r="97" spans="14:15" ht="13.8" x14ac:dyDescent="0.25">
      <c r="N97" s="8"/>
      <c r="O97" s="8"/>
    </row>
    <row r="98" spans="14:15" ht="13.8" x14ac:dyDescent="0.25">
      <c r="N98" s="8"/>
      <c r="O98" s="8"/>
    </row>
    <row r="99" spans="14:15" ht="13.8" x14ac:dyDescent="0.25">
      <c r="N99" s="8"/>
      <c r="O99" s="8"/>
    </row>
    <row r="100" spans="14:15" ht="13.8" x14ac:dyDescent="0.25">
      <c r="N100" s="8"/>
      <c r="O100" s="8"/>
    </row>
    <row r="101" spans="14:15" ht="13.8" x14ac:dyDescent="0.25">
      <c r="N101" s="8"/>
      <c r="O101" s="8"/>
    </row>
    <row r="102" spans="14:15" ht="13.8" x14ac:dyDescent="0.25">
      <c r="N102" s="8"/>
      <c r="O102" s="8"/>
    </row>
    <row r="103" spans="14:15" ht="13.8" x14ac:dyDescent="0.25">
      <c r="N103" s="8"/>
      <c r="O103" s="8"/>
    </row>
    <row r="104" spans="14:15" ht="13.8" x14ac:dyDescent="0.25">
      <c r="N104" s="8"/>
      <c r="O104" s="8"/>
    </row>
    <row r="105" spans="14:15" ht="13.8" x14ac:dyDescent="0.25">
      <c r="N105" s="8"/>
      <c r="O105" s="8"/>
    </row>
    <row r="106" spans="14:15" ht="13.8" x14ac:dyDescent="0.25">
      <c r="N106" s="8"/>
      <c r="O106" s="8"/>
    </row>
    <row r="107" spans="14:15" ht="13.8" x14ac:dyDescent="0.25">
      <c r="N107" s="8"/>
      <c r="O107" s="8"/>
    </row>
    <row r="108" spans="14:15" ht="13.8" x14ac:dyDescent="0.25">
      <c r="N108" s="8"/>
      <c r="O108" s="8"/>
    </row>
    <row r="109" spans="14:15" ht="13.8" x14ac:dyDescent="0.25">
      <c r="N109" s="8"/>
      <c r="O109" s="8"/>
    </row>
  </sheetData>
  <sheetProtection sort="0" pivotTables="0"/>
  <mergeCells count="5">
    <mergeCell ref="E34:E43"/>
    <mergeCell ref="I33:M33"/>
    <mergeCell ref="E2:F2"/>
    <mergeCell ref="A1:C2"/>
    <mergeCell ref="B34:B53"/>
  </mergeCells>
  <conditionalFormatting sqref="C23">
    <cfRule type="expression" dxfId="157" priority="1">
      <formula>$O$1="Canada"</formula>
    </cfRule>
    <cfRule type="expression" dxfId="156" priority="2">
      <formula>$O$1="India"</formula>
    </cfRule>
    <cfRule type="expression" dxfId="155" priority="3">
      <formula>$O$1="US"</formula>
    </cfRule>
    <cfRule type="expression" dxfId="154" priority="4">
      <formula>$O$1="UK"</formula>
    </cfRule>
  </conditionalFormatting>
  <conditionalFormatting sqref="C11:D22 C29:D29">
    <cfRule type="expression" dxfId="153" priority="56">
      <formula>$O$1="Canada"</formula>
    </cfRule>
    <cfRule type="expression" dxfId="152" priority="57">
      <formula>$O$1="India"</formula>
    </cfRule>
    <cfRule type="expression" dxfId="151" priority="58">
      <formula>$O$1="US"</formula>
    </cfRule>
    <cfRule type="expression" dxfId="150" priority="59">
      <formula>$O$1="UK"</formula>
    </cfRule>
  </conditionalFormatting>
  <conditionalFormatting sqref="C58:D60">
    <cfRule type="expression" dxfId="149" priority="52">
      <formula>$O$1="Canada"</formula>
    </cfRule>
    <cfRule type="expression" dxfId="148" priority="53">
      <formula>$O$1="India"</formula>
    </cfRule>
    <cfRule type="expression" dxfId="147" priority="54">
      <formula>$O$1="US"</formula>
    </cfRule>
    <cfRule type="expression" dxfId="146" priority="55">
      <formula>$O$1="UK"</formula>
    </cfRule>
  </conditionalFormatting>
  <conditionalFormatting sqref="F34:G43">
    <cfRule type="expression" dxfId="145" priority="13">
      <formula>$O$1="Canada"</formula>
    </cfRule>
    <cfRule type="expression" dxfId="144" priority="14">
      <formula>$O$1="India"</formula>
    </cfRule>
    <cfRule type="expression" dxfId="143" priority="15">
      <formula>$O$1="US"</formula>
    </cfRule>
    <cfRule type="expression" dxfId="142" priority="16">
      <formula>$O$1="UK"</formula>
    </cfRule>
  </conditionalFormatting>
  <conditionalFormatting sqref="G11:G13">
    <cfRule type="expression" dxfId="141" priority="60">
      <formula>$O$1="Canada"</formula>
    </cfRule>
    <cfRule type="expression" dxfId="140" priority="61">
      <formula>$O$1="India"</formula>
    </cfRule>
    <cfRule type="expression" dxfId="139" priority="62">
      <formula>$O$1="US"</formula>
    </cfRule>
    <cfRule type="expression" dxfId="138" priority="63">
      <formula>$O$1="UK"</formula>
    </cfRule>
  </conditionalFormatting>
  <conditionalFormatting sqref="J35:J41">
    <cfRule type="expression" dxfId="137" priority="9">
      <formula>$O$1="Canada"</formula>
    </cfRule>
    <cfRule type="expression" dxfId="136" priority="10">
      <formula>$O$1="India"</formula>
    </cfRule>
    <cfRule type="expression" dxfId="135" priority="11">
      <formula>$O$1="US"</formula>
    </cfRule>
    <cfRule type="expression" dxfId="134" priority="12">
      <formula>$O$1="UK"</formula>
    </cfRule>
  </conditionalFormatting>
  <conditionalFormatting sqref="L35:L41">
    <cfRule type="expression" dxfId="133" priority="5">
      <formula>$O$1="Canada"</formula>
    </cfRule>
    <cfRule type="expression" dxfId="132" priority="6">
      <formula>$O$1="India"</formula>
    </cfRule>
    <cfRule type="expression" dxfId="131" priority="7">
      <formula>$O$1="US"</formula>
    </cfRule>
    <cfRule type="expression" dxfId="130" priority="8">
      <formula>$O$1="UK"</formula>
    </cfRule>
  </conditionalFormatting>
  <conditionalFormatting sqref="M35:M40">
    <cfRule type="expression" dxfId="129" priority="48">
      <formula>$O$1="Canada"</formula>
    </cfRule>
    <cfRule type="expression" dxfId="128" priority="49">
      <formula>$O$1="India"</formula>
    </cfRule>
    <cfRule type="expression" dxfId="127" priority="50">
      <formula>$O$1="US"</formula>
    </cfRule>
    <cfRule type="expression" dxfId="126" priority="51">
      <formula>$O$1="UK"</formula>
    </cfRule>
  </conditionalFormatting>
  <dataValidations count="1">
    <dataValidation type="list" allowBlank="1" showInputMessage="1" showErrorMessage="1" sqref="C20" xr:uid="{81D4C549-21D1-4E49-A654-FB54508A3260}">
      <formula1>ClientRateCards</formula1>
    </dataValidation>
  </dataValidations>
  <hyperlinks>
    <hyperlink ref="F14" location="QA_Definition" display="Select QA Intensity(scale of 1-5)" xr:uid="{1AF807D1-7C72-5447-90BD-CA54B04EC113}"/>
  </hyperlink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2">
        <x14:dataValidation type="list" allowBlank="1" showInputMessage="1" showErrorMessage="1" xr:uid="{207761DC-39D4-E941-ACE2-D7D1FC93FCE9}">
          <x14:formula1>
            <xm:f>'Standard Rate Cards'!$X$8:$X$14</xm:f>
          </x14:formula1>
          <xm:sqref>C14</xm:sqref>
        </x14:dataValidation>
        <x14:dataValidation type="list" allowBlank="1" showInputMessage="1" showErrorMessage="1" xr:uid="{52BE490A-C2EB-4428-AD23-565A022DA898}">
          <x14:formula1>
            <xm:f>'Standard Rate Cards'!$W$8:$W$11</xm:f>
          </x14:formula1>
          <xm:sqref>C19</xm:sqref>
        </x14:dataValidation>
        <x14:dataValidation type="list" allowBlank="1" showInputMessage="1" showErrorMessage="1" xr:uid="{BA4956AA-E9E4-4061-9914-FFB2C5F470FC}">
          <x14:formula1>
            <xm:f>'Standard Rate Cards'!$S$8:$S$12</xm:f>
          </x14:formula1>
          <xm:sqref>C22</xm:sqref>
        </x14:dataValidation>
        <x14:dataValidation type="list" allowBlank="1" showInputMessage="1" showErrorMessage="1" xr:uid="{8A360A14-B582-4C10-B987-94A504313479}">
          <x14:formula1>
            <xm:f>'Standard Rate Cards'!$L$9:$L$17</xm:f>
          </x14:formula1>
          <xm:sqref>C11:D11</xm:sqref>
        </x14:dataValidation>
        <x14:dataValidation type="list" allowBlank="1" showInputMessage="1" showErrorMessage="1" xr:uid="{6874B0B7-A6AA-49F2-B676-223003782091}">
          <x14:formula1>
            <xm:f>'Standard Rate Cards'!$P$8:$P$10</xm:f>
          </x14:formula1>
          <xm:sqref>G13</xm:sqref>
        </x14:dataValidation>
        <x14:dataValidation type="list" allowBlank="1" showInputMessage="1" showErrorMessage="1" xr:uid="{B2B90BD8-4DD8-44D5-99B1-C32F22D9035B}">
          <x14:formula1>
            <xm:f>'Standard Rate Cards'!$T$8:$T$12</xm:f>
          </x14:formula1>
          <xm:sqref>G11</xm:sqref>
        </x14:dataValidation>
        <x14:dataValidation type="list" allowBlank="1" showInputMessage="1" showErrorMessage="1" xr:uid="{E5EA2F03-A9E3-496F-92F2-3098F952953E}">
          <x14:formula1>
            <xm:f>'Standard Rate Cards'!$U$8:$U$10</xm:f>
          </x14:formula1>
          <xm:sqref>G12</xm:sqref>
        </x14:dataValidation>
        <x14:dataValidation type="list" allowBlank="1" showInputMessage="1" showErrorMessage="1" xr:uid="{E3C20C70-4E78-4C94-8A9C-524FE7625761}">
          <x14:formula1>
            <xm:f>IF($E$12="Consulting",'Complexity Factors'!$E$34:$E$35,'Complexity Factors'!$B$66:$B$70)</xm:f>
          </x14:formula1>
          <xm:sqref>G14</xm:sqref>
        </x14:dataValidation>
        <x14:dataValidation type="list" allowBlank="1" showInputMessage="1" showErrorMessage="1" xr:uid="{369E3ECA-09CB-465F-BB68-EED7B30FE1ED}">
          <x14:formula1>
            <xm:f>'Standard Rate Cards'!$R$8:$R$14</xm:f>
          </x14:formula1>
          <xm:sqref>C18</xm:sqref>
        </x14:dataValidation>
        <x14:dataValidation type="list" allowBlank="1" showInputMessage="1" showErrorMessage="1" xr:uid="{F53F9515-1DBC-4D69-A346-5CC3BB4644BC}">
          <x14:formula1>
            <xm:f>'Standard Rate Cards'!$AA$8:$AA$10</xm:f>
          </x14:formula1>
          <xm:sqref>C13</xm:sqref>
        </x14:dataValidation>
        <x14:dataValidation type="list" allowBlank="1" showInputMessage="1" showErrorMessage="1" xr:uid="{502C9BBA-7B82-40E5-98FD-6E45E401A6BD}">
          <x14:formula1>
            <xm:f>'Standard Rate Cards'!$BU$10:$BU$14</xm:f>
          </x14:formula1>
          <xm:sqref>C24</xm:sqref>
        </x14:dataValidation>
        <x14:dataValidation type="list" allowBlank="1" showInputMessage="1" showErrorMessage="1" xr:uid="{AE3FD5E8-1016-4304-B402-1B1203AE41C1}">
          <x14:formula1>
            <xm:f>'Standard Rate Cards'!$BU$8:$BU$9</xm:f>
          </x14:formula1>
          <xm:sqref>C25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P278"/>
  <sheetViews>
    <sheetView showGridLines="0" topLeftCell="A3" zoomScale="70" zoomScaleNormal="51" workbookViewId="0">
      <selection activeCell="E6" sqref="E1:G1048576"/>
    </sheetView>
  </sheetViews>
  <sheetFormatPr defaultColWidth="11.44140625" defaultRowHeight="14.4" outlineLevelRow="3" outlineLevelCol="1" x14ac:dyDescent="0.3"/>
  <cols>
    <col min="1" max="1" width="2.44140625" customWidth="1"/>
    <col min="2" max="2" width="5.77734375" customWidth="1"/>
    <col min="3" max="3" width="70.44140625" customWidth="1"/>
    <col min="4" max="4" width="41.21875" bestFit="1" customWidth="1"/>
    <col min="5" max="5" width="32.21875" customWidth="1"/>
    <col min="6" max="6" width="32.21875" hidden="1" customWidth="1"/>
    <col min="7" max="7" width="32.21875" customWidth="1"/>
    <col min="8" max="8" width="32.21875" hidden="1" customWidth="1"/>
    <col min="9" max="10" width="32.21875" customWidth="1"/>
    <col min="11" max="12" width="40.44140625" customWidth="1"/>
    <col min="13" max="13" width="72.33203125" bestFit="1" customWidth="1"/>
    <col min="14" max="14" width="31.21875" customWidth="1"/>
    <col min="15" max="15" width="55.44140625" hidden="1" customWidth="1"/>
    <col min="16" max="16" width="30.44140625" hidden="1" customWidth="1"/>
    <col min="17" max="17" width="20.21875" customWidth="1"/>
    <col min="18" max="18" width="25.44140625" customWidth="1"/>
    <col min="19" max="19" width="24.21875" bestFit="1" customWidth="1"/>
    <col min="20" max="20" width="21.77734375" customWidth="1" outlineLevel="1"/>
    <col min="21" max="21" width="18.44140625" customWidth="1" outlineLevel="1"/>
    <col min="22" max="22" width="20" customWidth="1" outlineLevel="1"/>
    <col min="23" max="23" width="20.21875" customWidth="1" outlineLevel="1"/>
    <col min="24" max="25" width="28.21875" customWidth="1"/>
    <col min="26" max="26" width="35.88671875" customWidth="1"/>
    <col min="27" max="27" width="11.77734375" customWidth="1"/>
    <col min="28" max="28" width="24.5546875" customWidth="1"/>
    <col min="29" max="29" width="17.21875" customWidth="1"/>
    <col min="30" max="30" width="20.44140625" hidden="1" customWidth="1"/>
    <col min="31" max="31" width="15.44140625" customWidth="1"/>
    <col min="32" max="32" width="23.44140625" customWidth="1" outlineLevel="1"/>
    <col min="33" max="37" width="11.6640625" customWidth="1" outlineLevel="1"/>
    <col min="38" max="38" width="10.44140625" customWidth="1" outlineLevel="1"/>
    <col min="39" max="41" width="11.6640625" customWidth="1" outlineLevel="1"/>
    <col min="42" max="42" width="10.44140625" customWidth="1" outlineLevel="1"/>
    <col min="43" max="46" width="11.6640625" customWidth="1" outlineLevel="1"/>
    <col min="47" max="47" width="10.44140625" customWidth="1" outlineLevel="1"/>
    <col min="48" max="51" width="11.6640625" customWidth="1" outlineLevel="1"/>
    <col min="52" max="54" width="12.88671875" customWidth="1" outlineLevel="1"/>
    <col min="55" max="56" width="11.6640625" customWidth="1" outlineLevel="1"/>
    <col min="57" max="59" width="12.88671875" customWidth="1" outlineLevel="1"/>
    <col min="60" max="60" width="11.6640625" customWidth="1" outlineLevel="1"/>
    <col min="61" max="63" width="12.88671875" customWidth="1" outlineLevel="1"/>
    <col min="64" max="64" width="10.44140625" customWidth="1" outlineLevel="1"/>
    <col min="65" max="67" width="11.6640625" customWidth="1" outlineLevel="1"/>
    <col min="68" max="68" width="10.44140625" customWidth="1" outlineLevel="1"/>
    <col min="69" max="71" width="11.6640625" customWidth="1" outlineLevel="1"/>
    <col min="72" max="72" width="10.44140625" customWidth="1" outlineLevel="1"/>
    <col min="73" max="76" width="11.6640625" customWidth="1" outlineLevel="1"/>
    <col min="77" max="77" width="10.44140625" customWidth="1" outlineLevel="1"/>
    <col min="78" max="80" width="11.6640625" customWidth="1" outlineLevel="1"/>
    <col min="81" max="81" width="10.44140625" customWidth="1" outlineLevel="1"/>
    <col min="82" max="84" width="11.6640625" customWidth="1" outlineLevel="1"/>
    <col min="85" max="85" width="11.44140625" customWidth="1"/>
    <col min="86" max="86" width="18.44140625" customWidth="1"/>
    <col min="87" max="87" width="14.77734375" customWidth="1"/>
    <col min="88" max="88" width="18.77734375" customWidth="1"/>
  </cols>
  <sheetData>
    <row r="1" spans="1:146" x14ac:dyDescent="0.3">
      <c r="S1" s="1078" t="s">
        <v>1853</v>
      </c>
      <c r="Z1" s="1662" t="s">
        <v>1</v>
      </c>
      <c r="AA1" s="1663"/>
      <c r="AB1" s="1664"/>
    </row>
    <row r="2" spans="1:146" ht="22.2" x14ac:dyDescent="0.3">
      <c r="C2" s="930" t="s">
        <v>204</v>
      </c>
      <c r="D2" s="274" t="s">
        <v>63</v>
      </c>
      <c r="E2" s="22"/>
      <c r="F2" s="22"/>
      <c r="G2" s="22"/>
      <c r="H2" s="22"/>
      <c r="I2" s="22"/>
      <c r="J2" s="22"/>
      <c r="K2" s="445"/>
      <c r="L2" s="445"/>
      <c r="Z2" s="944"/>
      <c r="AA2" s="945" t="s">
        <v>2</v>
      </c>
      <c r="AB2" s="946"/>
    </row>
    <row r="3" spans="1:146" x14ac:dyDescent="0.3">
      <c r="Z3" s="947"/>
      <c r="AA3" s="945" t="s">
        <v>4</v>
      </c>
      <c r="AB3" s="946"/>
    </row>
    <row r="4" spans="1:146" s="169" customFormat="1" ht="27" customHeight="1" thickBot="1" x14ac:dyDescent="0.35">
      <c r="A4"/>
      <c r="B4"/>
      <c r="C4" s="1019" t="s">
        <v>205</v>
      </c>
      <c r="D4" s="935"/>
      <c r="E4" s="935"/>
      <c r="F4" s="935"/>
      <c r="G4" s="935"/>
      <c r="H4" s="935"/>
      <c r="I4" s="935"/>
      <c r="J4" s="935"/>
      <c r="K4" s="935"/>
      <c r="L4" s="935"/>
      <c r="M4" s="935"/>
      <c r="N4" s="935"/>
      <c r="O4" s="935"/>
      <c r="P4" s="935" t="s">
        <v>206</v>
      </c>
      <c r="Q4" s="935"/>
      <c r="R4" s="935"/>
      <c r="S4" s="935"/>
      <c r="T4" s="935"/>
      <c r="U4" s="935"/>
      <c r="V4" s="935"/>
      <c r="W4" s="935"/>
      <c r="X4" s="935"/>
      <c r="Y4" s="1089"/>
      <c r="Z4" s="948"/>
      <c r="AA4" s="945" t="s">
        <v>5</v>
      </c>
      <c r="AB4" s="946"/>
      <c r="AC4" s="1020"/>
      <c r="AD4" s="935"/>
      <c r="AE4" s="935"/>
      <c r="AF4" s="935"/>
      <c r="AG4" s="935"/>
      <c r="AH4" s="935"/>
      <c r="AI4" s="935"/>
      <c r="AJ4" s="935"/>
      <c r="AK4" s="935"/>
      <c r="AL4" s="935"/>
      <c r="AM4" s="935"/>
      <c r="AN4" s="935"/>
      <c r="AO4" s="935"/>
      <c r="AP4" s="935"/>
      <c r="AQ4" s="935"/>
      <c r="AR4" s="935"/>
      <c r="AS4" s="935"/>
      <c r="AT4" s="935"/>
      <c r="AU4" s="935"/>
      <c r="AV4" s="935"/>
      <c r="AW4" s="935"/>
      <c r="AX4" s="935"/>
      <c r="AY4" s="935"/>
      <c r="AZ4" s="935"/>
      <c r="BA4" s="935"/>
      <c r="BB4" s="935"/>
      <c r="BC4" s="935"/>
      <c r="BD4" s="935"/>
      <c r="BE4" s="935"/>
      <c r="BF4" s="935"/>
      <c r="BG4" s="935"/>
      <c r="BH4" s="935"/>
      <c r="BI4" s="935"/>
      <c r="BJ4" s="935"/>
      <c r="BK4" s="935"/>
      <c r="BL4" s="935"/>
      <c r="BM4" s="935"/>
      <c r="BN4" s="935"/>
      <c r="BO4" s="935"/>
      <c r="BP4" s="935"/>
      <c r="BQ4" s="935"/>
      <c r="BR4" s="935"/>
      <c r="BS4" s="935"/>
      <c r="BT4" s="935"/>
      <c r="BU4" s="935"/>
      <c r="BV4" s="935"/>
      <c r="BW4" s="935"/>
      <c r="BX4" s="935"/>
      <c r="BY4" s="935"/>
      <c r="BZ4" s="935"/>
      <c r="CA4" s="935"/>
      <c r="CB4" s="935"/>
      <c r="CC4" s="935"/>
      <c r="CD4" s="935"/>
      <c r="CE4" s="935"/>
      <c r="CF4" s="935"/>
      <c r="CG4" s="935"/>
      <c r="CH4" s="935"/>
      <c r="CI4" s="935"/>
      <c r="CJ4" s="935"/>
      <c r="CK4" s="935"/>
      <c r="CL4" s="935"/>
      <c r="CM4" s="935"/>
      <c r="CN4" s="935"/>
      <c r="CO4" s="935"/>
      <c r="CP4" s="935"/>
      <c r="CQ4" s="935"/>
      <c r="CR4" s="935"/>
      <c r="CS4" s="935"/>
      <c r="CT4" s="935"/>
      <c r="CU4" s="935"/>
      <c r="CV4" s="935"/>
      <c r="CW4" s="935"/>
      <c r="CX4" s="935"/>
      <c r="CY4" s="935"/>
      <c r="CZ4" s="935"/>
      <c r="DA4" s="935"/>
      <c r="DB4" s="935"/>
      <c r="DC4" s="935"/>
      <c r="DD4" s="935"/>
      <c r="DE4" s="935"/>
      <c r="DF4" s="935"/>
      <c r="DG4" s="935"/>
      <c r="DH4" s="935"/>
      <c r="DI4" s="935"/>
      <c r="DJ4" s="935"/>
      <c r="DK4" s="935"/>
      <c r="DL4" s="935"/>
      <c r="DM4" s="935"/>
      <c r="DN4" s="935"/>
      <c r="DO4" s="935"/>
      <c r="DP4" s="935"/>
      <c r="DQ4" s="935"/>
      <c r="DR4" s="935"/>
      <c r="DS4" s="935"/>
      <c r="DT4" s="935"/>
      <c r="DU4" s="935"/>
      <c r="DV4" s="935"/>
      <c r="DW4" s="935"/>
      <c r="DX4" s="935"/>
      <c r="DY4" s="935"/>
      <c r="DZ4" s="935"/>
      <c r="EA4" s="935"/>
      <c r="EB4" s="935"/>
      <c r="EC4" s="935"/>
      <c r="ED4" s="935"/>
      <c r="EE4" s="935"/>
      <c r="EF4" s="935"/>
      <c r="EG4" s="935"/>
      <c r="EH4" s="935"/>
      <c r="EI4" s="935"/>
      <c r="EJ4" s="935"/>
      <c r="EK4" s="935"/>
      <c r="EL4" s="935"/>
      <c r="EM4" s="935"/>
      <c r="EN4" s="935"/>
      <c r="EO4" s="935"/>
      <c r="EP4" s="935"/>
    </row>
    <row r="5" spans="1:146" x14ac:dyDescent="0.3">
      <c r="Z5" s="949" t="s">
        <v>7</v>
      </c>
      <c r="AA5" s="945" t="s">
        <v>8</v>
      </c>
      <c r="AB5" s="946"/>
    </row>
    <row r="6" spans="1:146" ht="54" customHeight="1" thickBot="1" x14ac:dyDescent="0.35">
      <c r="C6" s="1027" t="s">
        <v>207</v>
      </c>
      <c r="I6" s="1517" t="s">
        <v>2362</v>
      </c>
      <c r="N6" s="951"/>
      <c r="T6" s="1667" t="s">
        <v>1840</v>
      </c>
      <c r="U6" s="1667"/>
      <c r="V6" s="1667"/>
      <c r="W6" s="1667"/>
      <c r="Z6" s="950" t="s">
        <v>10</v>
      </c>
      <c r="AA6" s="1053" t="s">
        <v>11</v>
      </c>
      <c r="AB6" s="1054"/>
    </row>
    <row r="7" spans="1:146" ht="55.05" customHeight="1" thickBot="1" x14ac:dyDescent="0.35">
      <c r="C7" s="1642" t="s">
        <v>134</v>
      </c>
      <c r="D7" s="1643"/>
      <c r="E7" s="846"/>
      <c r="F7" s="846"/>
      <c r="G7" s="1485" t="str">
        <f>IF(AND(ISBLANK(E9),ISBLANK(E13),ISBLANK(E15),ISBLANK(E16),ISBLANK(E18),ISBLANK(E19),ISBLANK(E20)),"","RPE INCOMPLETE -- WILL NOT UPLOAD")</f>
        <v>RPE INCOMPLETE -- WILL NOT UPLOAD</v>
      </c>
      <c r="H7" s="846"/>
      <c r="I7" s="846"/>
      <c r="J7" s="846"/>
      <c r="K7" s="847"/>
      <c r="L7" s="847"/>
      <c r="M7" s="1668" t="s">
        <v>1839</v>
      </c>
      <c r="N7" s="1668"/>
      <c r="O7" s="177"/>
      <c r="P7" s="177"/>
      <c r="Q7" s="177"/>
      <c r="T7" s="1651" t="s">
        <v>208</v>
      </c>
      <c r="U7" s="1651"/>
      <c r="V7" s="1651"/>
      <c r="W7" s="1651"/>
      <c r="AG7" s="94"/>
      <c r="AH7" s="94"/>
      <c r="AI7" s="94"/>
      <c r="AJ7" s="94"/>
      <c r="AK7" s="696"/>
      <c r="AL7" s="94"/>
      <c r="AM7" s="94"/>
      <c r="AN7" s="94"/>
      <c r="AO7" s="94"/>
      <c r="AP7" s="94"/>
      <c r="AQ7" s="104"/>
      <c r="AR7" s="104"/>
      <c r="AS7" s="104"/>
      <c r="AT7" s="104"/>
      <c r="AU7" s="104"/>
      <c r="AV7" s="104"/>
      <c r="AW7" s="104"/>
      <c r="AX7" s="104"/>
      <c r="AY7" s="104"/>
      <c r="AZ7" s="104"/>
      <c r="BA7" s="104"/>
      <c r="BB7" s="104"/>
      <c r="BC7" s="104"/>
      <c r="BD7" s="104"/>
      <c r="BE7" s="104"/>
      <c r="BF7" s="104"/>
      <c r="BG7" s="104"/>
      <c r="BH7" s="104"/>
      <c r="BI7" s="104"/>
      <c r="BJ7" s="104"/>
      <c r="BK7" s="104"/>
      <c r="BL7" s="104"/>
      <c r="BM7" s="104"/>
      <c r="BN7" s="104"/>
      <c r="BO7" s="104"/>
      <c r="BP7" s="104"/>
      <c r="BQ7" s="104"/>
      <c r="BR7" s="104"/>
      <c r="BS7" s="104"/>
      <c r="BT7" s="104"/>
      <c r="BU7" s="104"/>
      <c r="BV7" s="104"/>
      <c r="BW7" s="104"/>
      <c r="BX7" s="104"/>
      <c r="BY7" s="104"/>
      <c r="BZ7" s="104"/>
      <c r="CA7" s="104"/>
      <c r="CB7" s="104"/>
      <c r="CC7" s="89"/>
      <c r="CD7" s="89"/>
      <c r="CE7" s="89"/>
      <c r="CF7" s="89"/>
      <c r="CG7" s="89"/>
      <c r="CH7" s="89"/>
      <c r="CI7" s="90"/>
      <c r="CJ7" s="89"/>
      <c r="CK7" s="89"/>
      <c r="CL7" s="89"/>
      <c r="CM7" s="89"/>
    </row>
    <row r="8" spans="1:146" ht="24" thickTop="1" thickBot="1" x14ac:dyDescent="0.35">
      <c r="C8" s="697" t="s">
        <v>67</v>
      </c>
      <c r="D8" s="698">
        <f>'1. Project Inputs'!C11</f>
        <v>0</v>
      </c>
      <c r="E8" s="840"/>
      <c r="F8" s="840"/>
      <c r="G8" s="840"/>
      <c r="H8" s="840"/>
      <c r="I8" s="840"/>
      <c r="J8" s="840"/>
      <c r="K8" s="833"/>
      <c r="L8" s="833"/>
      <c r="M8" s="1080" t="s">
        <v>417</v>
      </c>
      <c r="N8" s="94"/>
      <c r="O8" s="94"/>
      <c r="P8" s="94"/>
      <c r="Q8" s="94"/>
      <c r="R8" s="94"/>
      <c r="T8" s="1652"/>
      <c r="U8" s="1652"/>
      <c r="V8" s="1652"/>
      <c r="W8" s="1652"/>
      <c r="AG8" s="94"/>
      <c r="AH8" s="94"/>
      <c r="AI8" s="94"/>
      <c r="AJ8" s="94"/>
      <c r="AK8" s="94"/>
      <c r="AL8" s="94"/>
      <c r="AM8" s="94"/>
      <c r="AN8" s="94"/>
      <c r="AO8" s="94"/>
      <c r="AP8" s="94"/>
      <c r="AQ8" s="92"/>
      <c r="AR8" s="92"/>
      <c r="AS8" s="92"/>
      <c r="AT8" s="92"/>
      <c r="AU8" s="92"/>
      <c r="AV8" s="92"/>
      <c r="AW8" s="92"/>
      <c r="AX8" s="92"/>
      <c r="AY8" s="92"/>
      <c r="AZ8" s="92"/>
      <c r="BA8" s="92"/>
      <c r="BB8" s="92"/>
      <c r="BC8" s="92"/>
      <c r="BD8" s="92"/>
      <c r="BE8" s="92"/>
      <c r="BF8" s="92"/>
      <c r="BG8" s="92"/>
      <c r="BH8" s="92"/>
      <c r="BI8" s="92"/>
      <c r="BJ8" s="92"/>
      <c r="BK8" s="92"/>
      <c r="BL8" s="92"/>
      <c r="BM8" s="92"/>
      <c r="BN8" s="92"/>
      <c r="BO8" s="92"/>
      <c r="BP8" s="92"/>
      <c r="BQ8" s="92"/>
      <c r="BR8" s="92"/>
      <c r="BS8" s="92"/>
      <c r="BT8" s="92"/>
      <c r="BU8" s="92"/>
      <c r="BV8" s="92"/>
      <c r="BW8" s="92"/>
      <c r="BX8" s="92"/>
      <c r="BY8" s="92"/>
      <c r="BZ8" s="92"/>
      <c r="CA8" s="92"/>
      <c r="CB8" s="92"/>
      <c r="CC8" s="91"/>
      <c r="CD8" s="89"/>
      <c r="CE8" s="89"/>
      <c r="CF8" s="89"/>
      <c r="CG8" s="89"/>
      <c r="CH8" s="89"/>
      <c r="CI8" s="90"/>
      <c r="CJ8" s="89"/>
      <c r="CK8" s="89"/>
      <c r="CL8" s="89"/>
      <c r="CM8" s="89"/>
    </row>
    <row r="9" spans="1:146" ht="27.75" customHeight="1" thickBot="1" x14ac:dyDescent="0.35">
      <c r="C9" s="699" t="s">
        <v>69</v>
      </c>
      <c r="D9" s="700" t="str">
        <f>'1. Project Inputs'!C12</f>
        <v>McDonald's</v>
      </c>
      <c r="E9" s="848" t="str">
        <f>IF(D9="Manual Entry","Add Client Name to 1. Project Inputs","")</f>
        <v/>
      </c>
      <c r="F9" s="848"/>
      <c r="G9" s="848"/>
      <c r="H9" s="848"/>
      <c r="I9" s="848"/>
      <c r="J9" s="848"/>
      <c r="K9" s="94"/>
      <c r="L9" s="94"/>
      <c r="M9" s="569" t="s">
        <v>210</v>
      </c>
      <c r="N9" s="1137" t="s">
        <v>211</v>
      </c>
      <c r="O9" s="1138"/>
      <c r="P9" s="1139"/>
      <c r="Q9" s="1140" t="s">
        <v>212</v>
      </c>
      <c r="R9" s="1141" t="s">
        <v>213</v>
      </c>
      <c r="T9" s="711"/>
      <c r="U9" s="712" t="s">
        <v>214</v>
      </c>
      <c r="V9" s="713" t="s">
        <v>215</v>
      </c>
      <c r="W9" s="714" t="s">
        <v>216</v>
      </c>
      <c r="Z9" s="189" t="s">
        <v>86</v>
      </c>
      <c r="AA9" s="1665" t="s">
        <v>87</v>
      </c>
      <c r="AB9" s="1666"/>
      <c r="AC9" s="189" t="s">
        <v>200</v>
      </c>
      <c r="AD9" s="189" t="s">
        <v>1842</v>
      </c>
      <c r="AE9" s="189" t="s">
        <v>217</v>
      </c>
      <c r="AF9" s="934" t="s">
        <v>1843</v>
      </c>
      <c r="AG9" s="94"/>
      <c r="AH9" s="94"/>
      <c r="AI9" s="94"/>
      <c r="AJ9" s="94"/>
      <c r="AK9" s="94"/>
      <c r="AL9" s="94"/>
      <c r="AM9" s="94"/>
      <c r="AN9" s="94"/>
      <c r="AO9" s="94"/>
      <c r="AP9" s="94"/>
      <c r="AQ9" s="93"/>
      <c r="AR9" s="93"/>
      <c r="AS9" s="93"/>
      <c r="AT9" s="93"/>
      <c r="AU9" s="93"/>
      <c r="AV9" s="93"/>
      <c r="AW9" s="93"/>
      <c r="AX9" s="93"/>
      <c r="AY9" s="93"/>
      <c r="AZ9" s="93"/>
      <c r="BA9" s="93"/>
      <c r="BB9" s="93"/>
      <c r="BC9" s="93"/>
      <c r="BD9" s="93"/>
      <c r="BE9" s="93"/>
      <c r="BF9" s="93"/>
      <c r="BG9" s="93"/>
      <c r="BH9" s="93"/>
      <c r="BI9" s="93"/>
      <c r="BJ9" s="93"/>
      <c r="BK9" s="93"/>
      <c r="BL9" s="93"/>
      <c r="BM9" s="93"/>
      <c r="BN9" s="93"/>
      <c r="BO9" s="93"/>
      <c r="BP9" s="93"/>
      <c r="BQ9" s="93"/>
      <c r="BR9" s="93"/>
      <c r="BS9" s="93"/>
      <c r="BT9" s="93"/>
      <c r="BU9" s="93"/>
      <c r="BV9" s="93"/>
      <c r="BW9" s="93"/>
      <c r="BX9" s="93"/>
      <c r="BY9" s="93"/>
      <c r="BZ9" s="93"/>
      <c r="CA9" s="93"/>
      <c r="CB9" s="93"/>
      <c r="CC9" s="85"/>
      <c r="CD9" s="85"/>
      <c r="CE9" s="85"/>
      <c r="CF9" s="85"/>
      <c r="CG9" s="85"/>
      <c r="CH9" s="85"/>
      <c r="CI9" s="86"/>
      <c r="CJ9" s="85"/>
      <c r="CK9" s="85"/>
      <c r="CL9" s="85"/>
      <c r="CM9" s="85"/>
    </row>
    <row r="10" spans="1:146" x14ac:dyDescent="0.3">
      <c r="C10" s="699" t="s">
        <v>2066</v>
      </c>
      <c r="D10" s="700" t="str">
        <f>'1. Project Inputs'!C13</f>
        <v>Credera US</v>
      </c>
      <c r="E10" s="840"/>
      <c r="F10" s="840"/>
      <c r="G10" s="840"/>
      <c r="H10" s="840"/>
      <c r="I10" s="840"/>
      <c r="J10" s="840"/>
      <c r="K10" s="849"/>
      <c r="L10" s="849"/>
      <c r="M10" s="416" t="s">
        <v>1841</v>
      </c>
      <c r="N10" s="916">
        <f>'Optional - Scope Estimation'!D101</f>
        <v>0</v>
      </c>
      <c r="O10" s="917"/>
      <c r="P10" s="918"/>
      <c r="Q10" s="919">
        <f>IF(M10="","",N10*8)</f>
        <v>0</v>
      </c>
      <c r="R10" s="1131">
        <f>Q10-AD20</f>
        <v>0</v>
      </c>
      <c r="T10" s="715" t="s">
        <v>219</v>
      </c>
      <c r="U10" s="1114">
        <f>IFERROR(IF($D$20="T&amp;M",SUMIFS($CH$50:$CH$149,$T50:$T149,"Yes"),(SUMIFS($CH$50:$CH$149,$T50:$T149,"Yes")*(1+$D$25))),"")</f>
        <v>78044218000</v>
      </c>
      <c r="V10" s="1129">
        <f>IFERROR(IF($D$20="T&amp;M",SUMIFS($CH$50:$CH$149,$U50:$U149,"Yes"),(SUMIFS($CH$50:$CH$149,$U50:$U149,"Yes")*(1+$D$25))),"")</f>
        <v>0</v>
      </c>
      <c r="W10" s="1130">
        <f>IFERROR(IF($D$20="T&amp;M",SUMIFS($CH$50:$CH$149,$W50:$W149,"Yes"),(SUMIFS($CH$50:$CH$149,$W50:$W149,"Yes")*(1+$D$25))),"")</f>
        <v>17900050000</v>
      </c>
      <c r="Z10" s="727" t="str">
        <f>IF('1. Project Inputs'!F34="Manual Entry","No Additional Buckets Added",'1. Project Inputs'!F34)</f>
        <v>No Additional Buckets Added</v>
      </c>
      <c r="AA10" s="1660" t="str">
        <f>IF('1. Project Inputs'!G34="Manual Entry %","",'1. Project Inputs'!G34)</f>
        <v/>
      </c>
      <c r="AB10" s="1661"/>
      <c r="AC10" s="728" t="str">
        <f t="shared" ref="AC10:AC19" si="0">IFERROR($D$19*40*AA10,"")</f>
        <v/>
      </c>
      <c r="AD10" s="728">
        <f t="shared" ref="AD10:AD19" si="1">SUMIFS($Y$50:$Y$149,$S$50:$S$149,Z10)</f>
        <v>0</v>
      </c>
      <c r="AE10" s="729" t="str">
        <f t="shared" ref="AE10:AE19" si="2">IFERROR(IF(Z10="No Additional Buckets Added","",SUMIFS($CI$50:$CI$149,$S$50:$S$149,Z10)),"")</f>
        <v/>
      </c>
      <c r="AF10" s="729" t="str">
        <f t="shared" ref="AF10:AF19" si="3">IFERROR(IF(Z10="No Additional Buckets Added","",SUMIFS($CH$50:$CH$149,$S$50:$S$149,Z10)),"")</f>
        <v/>
      </c>
      <c r="AG10" s="94"/>
      <c r="AH10" s="94"/>
      <c r="AI10" s="94"/>
      <c r="AJ10" s="94"/>
      <c r="AK10" s="94"/>
      <c r="AL10" s="94"/>
      <c r="AM10" s="94"/>
      <c r="AN10" s="94"/>
      <c r="AO10" s="94"/>
      <c r="AP10" s="94"/>
      <c r="AQ10" s="93"/>
      <c r="AR10" s="93"/>
      <c r="AS10" s="93"/>
      <c r="AT10" s="93"/>
      <c r="AU10" s="93"/>
      <c r="AV10" s="93"/>
      <c r="AW10" s="93"/>
      <c r="AX10" s="93"/>
      <c r="AY10" s="93"/>
      <c r="AZ10" s="93"/>
      <c r="BA10" s="93"/>
      <c r="BB10" s="93"/>
      <c r="BC10" s="93"/>
      <c r="BD10" s="93"/>
      <c r="BE10" s="93"/>
      <c r="BF10" s="93"/>
      <c r="BG10" s="93"/>
      <c r="BH10" s="93"/>
      <c r="BI10" s="93"/>
      <c r="BJ10" s="93"/>
      <c r="BK10" s="93"/>
      <c r="BL10" s="93"/>
      <c r="BM10" s="93"/>
      <c r="BN10" s="93"/>
      <c r="BO10" s="93"/>
      <c r="BP10" s="93"/>
      <c r="BQ10" s="93"/>
      <c r="BR10" s="93"/>
      <c r="BS10" s="93"/>
      <c r="BT10" s="93"/>
      <c r="BU10" s="93"/>
      <c r="BV10" s="93"/>
      <c r="BW10" s="93"/>
      <c r="BX10" s="93"/>
      <c r="BY10" s="93"/>
      <c r="BZ10" s="93"/>
      <c r="CA10" s="93"/>
      <c r="CB10" s="93"/>
      <c r="CC10" s="85"/>
      <c r="CD10" s="85"/>
      <c r="CE10" s="85"/>
      <c r="CF10" s="85"/>
      <c r="CG10" s="85"/>
      <c r="CH10" s="85"/>
      <c r="CI10" s="86"/>
      <c r="CJ10" s="85"/>
      <c r="CK10" s="85"/>
      <c r="CL10" s="85"/>
      <c r="CM10" s="85"/>
    </row>
    <row r="11" spans="1:146" x14ac:dyDescent="0.3">
      <c r="C11" s="699" t="s">
        <v>140</v>
      </c>
      <c r="D11" s="700" t="str">
        <f>'1. Project Inputs'!C13</f>
        <v>Credera US</v>
      </c>
      <c r="E11" s="840"/>
      <c r="F11" s="840"/>
      <c r="G11" s="840"/>
      <c r="H11" s="840"/>
      <c r="I11" s="840"/>
      <c r="J11" s="840"/>
      <c r="K11" s="849"/>
      <c r="L11" s="849"/>
      <c r="M11" s="416" t="str" cm="1">
        <f t="array" ref="M11">IF(OR($M$8="No Approach Options Used",$M$8="Select Approach Option")=TRUE,'1. Project Inputs'!C34,IFERROR(INDEX('Optional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f>
        <v>UX Design</v>
      </c>
      <c r="N11" s="916">
        <f>IF($M$8="Select Approach Option","",IF($M$8='1. Project Inputs'!$C$58,SUMIFS(TB.ScopeEstimation[Weighted Effort Days],TB.ScopeEstimation[Bucket / Phase],M11,TB.ScopeEstimation[Option 1],"Yes"),IF($M$8='1. Project Inputs'!$C$59,SUMIFS(TB.ScopeEstimation[Weighted Effort Days],TB.ScopeEstimation[Bucket / Phase],M11,TB.ScopeEstimation[Option 2],"Yes"),IF($M$8='1. Project Inputs'!$C$60,SUMIFS(TB.ScopeEstimation[Weighted Effort Days],TB.ScopeEstimation[Bucket / Phase],M11,TB.ScopeEstimation[Option 3],"Yes"),IF($M$8="No Approach Options Used",SUMIFS(TB.ScopeEstimation[Weighted Effort Days],TB.ScopeEstimation[Bucket / Phase],M11))))))</f>
        <v>54</v>
      </c>
      <c r="O11" s="917" t="b">
        <f>IF($M$8='1. Project Inputs'!$C$58,'Optional - Scope Options Review'!#REF!,IF($M$8='1. Project Inputs'!$C$59,'Optional - Scope Options Review'!#REF!,IF($M$8='1. Project Inputs'!$C$60,'Optional - Scope Options Review'!#REF!)))</f>
        <v>0</v>
      </c>
      <c r="P11" s="918" t="b">
        <f>IF($M$8='1. Project Inputs'!$C$58,'Optional - Scope Options Review'!#REF!,IF($M$8='1. Project Inputs'!$C$59,'Optional - Scope Options Review'!#REF!,IF($M$8='1. Project Inputs'!$C$60,'Optional - Scope Options Review'!#REF!)))</f>
        <v>0</v>
      </c>
      <c r="Q11" s="919">
        <f>IF(M11="","",N11*8)</f>
        <v>432</v>
      </c>
      <c r="R11" s="1131">
        <f>IFERROR(IF(ISBLANK($S$50),"No Buckets Used below",($Q11-SUMIF(S$50:S149,$M11,Y$50:Y149))),"")</f>
        <v>332</v>
      </c>
      <c r="T11" s="716" t="s">
        <v>220</v>
      </c>
      <c r="U11" s="1116">
        <f>IF(T50="","",SUMIFS($CI$50:$CI$149,$T$50:$T$149,"Yes"))</f>
        <v>74900</v>
      </c>
      <c r="V11" s="717">
        <f>IF(U50="","",SUMIFS($CI$50:$CI$149,$U$50:$U$149,"Yes"))</f>
        <v>0</v>
      </c>
      <c r="W11" s="718">
        <f>IF(W50="","",SUMIFS($CI$50:$CI$149,$W$50:$W$149,"Yes"))</f>
        <v>7700</v>
      </c>
      <c r="Z11" s="730" t="str">
        <f>IF('1. Project Inputs'!F35="Manual Entry","No Additional Buckets Added",'1. Project Inputs'!F35)</f>
        <v>No Additional Buckets Added</v>
      </c>
      <c r="AA11" s="1660" t="str">
        <f>IF('1. Project Inputs'!G35="Manual Entry %","",'1. Project Inputs'!G35)</f>
        <v/>
      </c>
      <c r="AB11" s="1661"/>
      <c r="AC11" s="728" t="str">
        <f t="shared" si="0"/>
        <v/>
      </c>
      <c r="AD11" s="728">
        <f t="shared" si="1"/>
        <v>0</v>
      </c>
      <c r="AE11" s="729" t="str">
        <f t="shared" si="2"/>
        <v/>
      </c>
      <c r="AF11" s="729" t="str">
        <f t="shared" si="3"/>
        <v/>
      </c>
      <c r="AG11" s="94"/>
      <c r="AH11" s="94"/>
      <c r="AI11" s="94"/>
      <c r="AJ11" s="94"/>
      <c r="AK11" s="94"/>
      <c r="AL11" s="94"/>
      <c r="AM11" s="94"/>
      <c r="AN11" s="94"/>
      <c r="AO11" s="94"/>
      <c r="AP11" s="94"/>
      <c r="AQ11" s="93"/>
      <c r="AR11" s="93"/>
      <c r="AS11" s="93"/>
      <c r="AT11" s="93"/>
      <c r="AU11" s="93"/>
      <c r="AV11" s="93"/>
      <c r="AW11" s="93"/>
      <c r="AX11" s="93"/>
      <c r="AY11" s="93"/>
      <c r="AZ11" s="93"/>
      <c r="BA11" s="93"/>
      <c r="BB11" s="93"/>
      <c r="BC11" s="93"/>
      <c r="BD11" s="93"/>
      <c r="BE11" s="93"/>
      <c r="BF11" s="93"/>
      <c r="BG11" s="93"/>
      <c r="BH11" s="93"/>
      <c r="BI11" s="93"/>
      <c r="BJ11" s="93"/>
      <c r="BK11" s="93"/>
      <c r="BL11" s="93"/>
      <c r="BM11" s="93"/>
      <c r="BN11" s="93"/>
      <c r="BO11" s="93"/>
      <c r="BP11" s="93"/>
      <c r="BQ11" s="93"/>
      <c r="BR11" s="93"/>
      <c r="BS11" s="93"/>
      <c r="BT11" s="93"/>
      <c r="BU11" s="93"/>
      <c r="BV11" s="93"/>
      <c r="BW11" s="93"/>
      <c r="BX11" s="93"/>
      <c r="BY11" s="93"/>
      <c r="BZ11" s="93"/>
      <c r="CA11" s="93"/>
      <c r="CB11" s="93"/>
      <c r="CC11" s="85"/>
      <c r="CD11" s="85"/>
      <c r="CE11" s="85"/>
      <c r="CF11" s="85"/>
      <c r="CG11" s="85"/>
      <c r="CH11" s="85"/>
      <c r="CI11" s="86"/>
      <c r="CJ11" s="85"/>
      <c r="CK11" s="85"/>
      <c r="CL11" s="85"/>
      <c r="CM11" s="85"/>
    </row>
    <row r="12" spans="1:146" x14ac:dyDescent="0.3">
      <c r="C12" s="699" t="s">
        <v>141</v>
      </c>
      <c r="D12" s="700">
        <f>'1. Project Inputs'!C14</f>
        <v>0</v>
      </c>
      <c r="E12" s="840"/>
      <c r="F12" s="840"/>
      <c r="G12" s="840"/>
      <c r="H12" s="840"/>
      <c r="I12" s="840"/>
      <c r="J12" s="840"/>
      <c r="K12" s="849"/>
      <c r="L12" s="849"/>
      <c r="M12" s="416" t="str" cm="1">
        <f t="array" ref="M12">IF(OR($M$8="No Approach Options Used",$M$8="Select Approach Option")=TRUE,'1. Project Inputs'!C35,IFERROR(INDEX('Optional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Estimation'!$G$7)+1)))),ROW(A2))),""))</f>
        <v>Coding</v>
      </c>
      <c r="N12" s="916">
        <f>IF($M$8="Select Approach Option","",IF($M$8='1. Project Inputs'!$C$58,SUMIFS(TB.ScopeEstimation[Weighted Effort Days],TB.ScopeEstimation[Bucket / Phase],M12,TB.ScopeEstimation[Option 1],"Yes"),IF($M$8='1. Project Inputs'!$C$59,SUMIFS(TB.ScopeEstimation[Weighted Effort Days],TB.ScopeEstimation[Bucket / Phase],M12,TB.ScopeEstimation[Option 2],"Yes"),IF($M$8='1. Project Inputs'!$C$60,SUMIFS(TB.ScopeEstimation[Weighted Effort Days],TB.ScopeEstimation[Bucket / Phase],M12,TB.ScopeEstimation[Option 3],"Yes"),IF($M$8="No Approach Options Used",SUMIFS(TB.ScopeEstimation[Weighted Effort Days],TB.ScopeEstimation[Bucket / Phase],M12))))))</f>
        <v>53</v>
      </c>
      <c r="O12" s="920"/>
      <c r="P12" s="921"/>
      <c r="Q12" s="919">
        <f t="shared" ref="Q12:Q30" si="4">IF(M12="","",N12*8)</f>
        <v>424</v>
      </c>
      <c r="R12" s="1131">
        <f>IFERROR(IF(ISBLANK($S$50),"No Buckets Used below",($Q12-SUMIF(S$50:S150,$M12,Y$50:Y150))),"")</f>
        <v>424</v>
      </c>
      <c r="T12" s="716" t="s">
        <v>221</v>
      </c>
      <c r="U12" s="1116">
        <f>IFERROR(U11/SUMIFS($Y$50:$Y$149,T50:T149,"Yes"),"")</f>
        <v>93.625</v>
      </c>
      <c r="V12" s="1128" t="str">
        <f>IFERROR(V11/SUMIFS($Y$50:$Y$149,U50:U149,"Yes"),"")</f>
        <v/>
      </c>
      <c r="W12" s="718">
        <f>IFERROR(W11/SUMIFS($Y$50:$Y$149,W50:W149,"Yes"),"")</f>
        <v>77</v>
      </c>
      <c r="Z12" s="730" t="str">
        <f>IF('1. Project Inputs'!F36="Manual Entry","No Additional Buckets Added",'1. Project Inputs'!F36)</f>
        <v>No Additional Buckets Added</v>
      </c>
      <c r="AA12" s="1660" t="str">
        <f>IF('1. Project Inputs'!G36="Manual Entry %","",'1. Project Inputs'!G36)</f>
        <v/>
      </c>
      <c r="AB12" s="1661"/>
      <c r="AC12" s="728" t="str">
        <f t="shared" si="0"/>
        <v/>
      </c>
      <c r="AD12" s="728">
        <f t="shared" si="1"/>
        <v>0</v>
      </c>
      <c r="AE12" s="729" t="str">
        <f t="shared" si="2"/>
        <v/>
      </c>
      <c r="AF12" s="729" t="str">
        <f t="shared" si="3"/>
        <v/>
      </c>
      <c r="AG12" s="94"/>
      <c r="AH12" s="94"/>
      <c r="AI12" s="94"/>
      <c r="AJ12" s="94"/>
      <c r="AK12" s="94"/>
      <c r="AL12" s="94"/>
      <c r="AM12" s="94"/>
      <c r="AN12" s="94"/>
      <c r="AO12" s="94"/>
      <c r="AP12" s="94"/>
      <c r="AQ12" s="93"/>
      <c r="AR12" s="93"/>
      <c r="AS12" s="93"/>
      <c r="AT12" s="93"/>
      <c r="AU12" s="93"/>
      <c r="AV12" s="93"/>
      <c r="AW12" s="93"/>
      <c r="AX12" s="93"/>
      <c r="AY12" s="93"/>
      <c r="AZ12" s="93"/>
      <c r="BA12" s="93"/>
      <c r="BB12" s="93"/>
      <c r="BC12" s="93"/>
      <c r="BD12" s="93"/>
      <c r="BE12" s="93"/>
      <c r="BF12" s="93"/>
      <c r="BG12" s="93"/>
      <c r="BH12" s="93"/>
      <c r="BI12" s="93"/>
      <c r="BJ12" s="93"/>
      <c r="BK12" s="93"/>
      <c r="BL12" s="93"/>
      <c r="BM12" s="93"/>
      <c r="BN12" s="93"/>
      <c r="BO12" s="93"/>
      <c r="BP12" s="93"/>
      <c r="BQ12" s="93"/>
      <c r="BR12" s="93"/>
      <c r="BS12" s="93"/>
      <c r="BT12" s="93"/>
      <c r="BU12" s="93"/>
      <c r="BV12" s="93"/>
      <c r="BW12" s="93"/>
      <c r="BX12" s="93"/>
      <c r="BY12" s="93"/>
      <c r="BZ12" s="93"/>
      <c r="CA12" s="93"/>
      <c r="CB12" s="93"/>
      <c r="CC12" s="85"/>
      <c r="CD12" s="85"/>
      <c r="CE12" s="85"/>
      <c r="CF12" s="85"/>
      <c r="CG12" s="85"/>
      <c r="CH12" s="85"/>
      <c r="CI12" s="86"/>
      <c r="CJ12" s="85"/>
      <c r="CK12" s="85"/>
      <c r="CL12" s="85"/>
      <c r="CM12" s="85"/>
    </row>
    <row r="13" spans="1:146" ht="15" thickBot="1" x14ac:dyDescent="0.35">
      <c r="C13" s="701" t="s">
        <v>75</v>
      </c>
      <c r="D13" s="702" t="str">
        <f>'1. Project Inputs'!C16</f>
        <v>Manual Entry</v>
      </c>
      <c r="E13" s="840"/>
      <c r="F13" s="840"/>
      <c r="G13" s="840"/>
      <c r="H13" s="840"/>
      <c r="I13" s="840"/>
      <c r="J13" s="840"/>
      <c r="K13" s="849"/>
      <c r="L13" s="849"/>
      <c r="M13" s="416" t="str" cm="1">
        <f t="array" ref="M13">IF(OR($M$8="No Approach Options Used",$M$8="Select Approach Option")=TRUE,'1. Project Inputs'!C36,IFERROR(INDEX('Optional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Estimation'!$G$7)+1)))),ROW(A3))),""))</f>
        <v>delivery stuff</v>
      </c>
      <c r="N13" s="916">
        <f>IF($M$8="Select Approach Option","",IF($M$8='1. Project Inputs'!$C$58,SUMIFS(TB.ScopeEstimation[Weighted Effort Days],TB.ScopeEstimation[Bucket / Phase],M13,TB.ScopeEstimation[Option 1],"Yes"),IF($M$8='1. Project Inputs'!$C$59,SUMIFS(TB.ScopeEstimation[Weighted Effort Days],TB.ScopeEstimation[Bucket / Phase],M13,TB.ScopeEstimation[Option 2],"Yes"),IF($M$8='1. Project Inputs'!$C$60,SUMIFS(TB.ScopeEstimation[Weighted Effort Days],TB.ScopeEstimation[Bucket / Phase],M13,TB.ScopeEstimation[Option 3],"Yes"),IF($M$8="No Approach Options Used",SUMIFS(TB.ScopeEstimation[Weighted Effort Days],TB.ScopeEstimation[Bucket / Phase],M13))))))</f>
        <v>3</v>
      </c>
      <c r="O13" s="920"/>
      <c r="P13" s="921"/>
      <c r="Q13" s="919">
        <f t="shared" si="4"/>
        <v>24</v>
      </c>
      <c r="R13" s="1131">
        <f>IFERROR(IF(ISBLANK($S$50),"No Buckets Used below",($Q13-SUMIF(S$50:S151,$M13,Y$50:Y151))),"")</f>
        <v>24</v>
      </c>
      <c r="T13" s="719" t="s">
        <v>222</v>
      </c>
      <c r="U13" s="1115">
        <f>IFERROR((U10-U11)/U10,"")</f>
        <v>0.99999904028764819</v>
      </c>
      <c r="V13" s="1127" t="str">
        <f t="shared" ref="V13:W13" si="5">IFERROR((V10-V11)/V10,"")</f>
        <v/>
      </c>
      <c r="W13" s="720">
        <f t="shared" si="5"/>
        <v>0.99999956983360383</v>
      </c>
      <c r="Z13" s="730" t="str">
        <f>IF('1. Project Inputs'!F37="Manual Entry","No Additional Buckets Added",'1. Project Inputs'!F37)</f>
        <v>No Additional Buckets Added</v>
      </c>
      <c r="AA13" s="1660" t="str">
        <f>IF('1. Project Inputs'!G37="Manual Entry %","",'1. Project Inputs'!G37)</f>
        <v/>
      </c>
      <c r="AB13" s="1661"/>
      <c r="AC13" s="728" t="str">
        <f t="shared" si="0"/>
        <v/>
      </c>
      <c r="AD13" s="728">
        <f t="shared" si="1"/>
        <v>0</v>
      </c>
      <c r="AE13" s="729" t="str">
        <f t="shared" si="2"/>
        <v/>
      </c>
      <c r="AF13" s="729" t="str">
        <f t="shared" si="3"/>
        <v/>
      </c>
      <c r="AG13" s="94"/>
      <c r="AH13" s="94"/>
      <c r="AI13" s="94"/>
      <c r="AJ13" s="94"/>
      <c r="AK13" s="94"/>
      <c r="AL13" s="94"/>
      <c r="AM13" s="94"/>
      <c r="AN13" s="94"/>
      <c r="AO13" s="94"/>
      <c r="AP13" s="94"/>
      <c r="AQ13" s="93"/>
      <c r="AR13" s="93"/>
      <c r="AS13" s="93"/>
      <c r="AT13" s="93"/>
      <c r="AU13" s="93"/>
      <c r="AV13" s="93"/>
      <c r="AW13" s="93"/>
      <c r="AX13" s="93"/>
      <c r="AY13" s="93"/>
      <c r="AZ13" s="93"/>
      <c r="BA13" s="93"/>
      <c r="BB13" s="93"/>
      <c r="BC13" s="93"/>
      <c r="BD13" s="93"/>
      <c r="BE13" s="93"/>
      <c r="BF13" s="93"/>
      <c r="BG13" s="93"/>
      <c r="BH13" s="93"/>
      <c r="BI13" s="93"/>
      <c r="BJ13" s="93"/>
      <c r="BK13" s="93"/>
      <c r="BL13" s="93"/>
      <c r="BM13" s="93"/>
      <c r="BN13" s="93"/>
      <c r="BO13" s="93"/>
      <c r="BP13" s="93"/>
      <c r="BQ13" s="93"/>
      <c r="BR13" s="93"/>
      <c r="BS13" s="93"/>
      <c r="BT13" s="93"/>
      <c r="BU13" s="93"/>
      <c r="BV13" s="93"/>
      <c r="BW13" s="93"/>
      <c r="BX13" s="93"/>
      <c r="BY13" s="93"/>
      <c r="BZ13" s="93"/>
      <c r="CA13" s="93"/>
      <c r="CB13" s="93"/>
      <c r="CC13" s="85"/>
      <c r="CD13" s="85"/>
      <c r="CE13" s="85"/>
      <c r="CF13" s="85"/>
      <c r="CG13" s="85"/>
      <c r="CH13" s="85"/>
      <c r="CI13" s="86"/>
      <c r="CJ13" s="85"/>
      <c r="CK13" s="85"/>
      <c r="CL13" s="85"/>
      <c r="CM13" s="85"/>
    </row>
    <row r="14" spans="1:146" x14ac:dyDescent="0.3">
      <c r="C14" s="701" t="s">
        <v>76</v>
      </c>
      <c r="D14" s="700" t="str">
        <f>'1. Project Inputs'!C17</f>
        <v>AEM Implementation Soyum Foods</v>
      </c>
      <c r="E14" s="840"/>
      <c r="F14" s="840"/>
      <c r="G14" s="840"/>
      <c r="H14" s="840"/>
      <c r="I14" s="840"/>
      <c r="J14" s="840"/>
      <c r="K14" s="833"/>
      <c r="L14" s="833"/>
      <c r="M14" s="416" t="str" cm="1">
        <f t="array" ref="M14">IF(OR($M$8="No Approach Options Used",$M$8="Select Approach Option")=TRUE,'1. Project Inputs'!C37,IFERROR(INDEX('Optional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Estimation'!$G$7)+1)))),ROW(A4))),""))</f>
        <v>other bucket</v>
      </c>
      <c r="N14" s="916">
        <f>IF($M$8="Select Approach Option","",IF($M$8='1. Project Inputs'!$C$58,SUMIFS(TB.ScopeEstimation[Weighted Effort Days],TB.ScopeEstimation[Bucket / Phase],M14,TB.ScopeEstimation[Option 1],"Yes"),IF($M$8='1. Project Inputs'!$C$59,SUMIFS(TB.ScopeEstimation[Weighted Effort Days],TB.ScopeEstimation[Bucket / Phase],M14,TB.ScopeEstimation[Option 2],"Yes"),IF($M$8='1. Project Inputs'!$C$60,SUMIFS(TB.ScopeEstimation[Weighted Effort Days],TB.ScopeEstimation[Bucket / Phase],M14,TB.ScopeEstimation[Option 3],"Yes"),IF($M$8="No Approach Options Used",SUMIFS(TB.ScopeEstimation[Weighted Effort Days],TB.ScopeEstimation[Bucket / Phase],M14))))))</f>
        <v>0</v>
      </c>
      <c r="O14" s="920" t="b">
        <f>IF($M$8='1. Project Inputs'!$C$58,'Optional - Scope Options Review'!#REF!,IF($M$8='1. Project Inputs'!$C$59,'Optional - Scope Options Review'!#REF!,IF($M$8='1. Project Inputs'!$C$60,'Optional - Scope Options Review'!#REF!)))</f>
        <v>0</v>
      </c>
      <c r="P14" s="921" t="b">
        <f>IF($M$8='1. Project Inputs'!$C$58,'Optional - Scope Options Review'!#REF!,IF($M$8='1. Project Inputs'!$C$59,'Optional - Scope Options Review'!#REF!,IF($M$8='1. Project Inputs'!$C$60,'Optional - Scope Options Review'!#REF!)))</f>
        <v>0</v>
      </c>
      <c r="Q14" s="919">
        <f t="shared" si="4"/>
        <v>0</v>
      </c>
      <c r="R14" s="1131">
        <f>IFERROR(IF(ISBLANK($S$50),"No Buckets Used below",($Q14-SUMIF(S$50:S152,$M14,Y$50:Y152))),"")</f>
        <v>0</v>
      </c>
      <c r="Z14" s="730" t="str">
        <f>IF('1. Project Inputs'!F38="Manual Entry","No Additional Buckets Added",'1. Project Inputs'!F38)</f>
        <v>No Additional Buckets Added</v>
      </c>
      <c r="AA14" s="1660" t="str">
        <f>IF('1. Project Inputs'!G38="Manual Entry %","",'1. Project Inputs'!G38)</f>
        <v/>
      </c>
      <c r="AB14" s="1661"/>
      <c r="AC14" s="728" t="str">
        <f t="shared" si="0"/>
        <v/>
      </c>
      <c r="AD14" s="728">
        <f t="shared" si="1"/>
        <v>0</v>
      </c>
      <c r="AE14" s="729" t="str">
        <f t="shared" si="2"/>
        <v/>
      </c>
      <c r="AF14" s="729" t="str">
        <f t="shared" si="3"/>
        <v/>
      </c>
      <c r="AG14" s="94"/>
      <c r="AH14" s="94"/>
      <c r="AI14" s="94"/>
      <c r="AJ14" s="94"/>
      <c r="AK14" s="94"/>
      <c r="AL14" s="94"/>
      <c r="AM14" s="94"/>
      <c r="AN14" s="94"/>
      <c r="AO14" s="94"/>
      <c r="AP14" s="94"/>
      <c r="AQ14" s="93"/>
      <c r="AR14" s="93"/>
      <c r="AS14" s="93"/>
      <c r="AT14" s="93"/>
      <c r="AU14" s="93"/>
      <c r="AV14" s="93"/>
      <c r="AW14" s="93"/>
      <c r="AX14" s="93"/>
      <c r="AY14" s="93"/>
      <c r="AZ14" s="93"/>
      <c r="BA14" s="93"/>
      <c r="BB14" s="93"/>
      <c r="BC14" s="93"/>
      <c r="BD14" s="93"/>
      <c r="BE14" s="93"/>
      <c r="BF14" s="93"/>
      <c r="BG14" s="93"/>
      <c r="BH14" s="93"/>
      <c r="BI14" s="93"/>
      <c r="BJ14" s="93"/>
      <c r="BK14" s="93"/>
      <c r="BL14" s="93"/>
      <c r="BM14" s="93"/>
      <c r="BN14" s="93"/>
      <c r="BO14" s="93"/>
      <c r="BP14" s="93"/>
      <c r="BQ14" s="93"/>
      <c r="BR14" s="93"/>
      <c r="BS14" s="93"/>
      <c r="BT14" s="93"/>
      <c r="BU14" s="93"/>
      <c r="BV14" s="93"/>
      <c r="BW14" s="93"/>
      <c r="BX14" s="93"/>
      <c r="BY14" s="93"/>
      <c r="BZ14" s="93"/>
      <c r="CA14" s="93"/>
      <c r="CB14" s="93"/>
      <c r="CC14" s="85"/>
      <c r="CD14" s="85"/>
      <c r="CE14" s="85"/>
      <c r="CF14" s="85"/>
      <c r="CG14" s="85"/>
      <c r="CH14" s="85"/>
      <c r="CI14" s="86"/>
      <c r="CJ14" s="85"/>
      <c r="CK14" s="85"/>
      <c r="CL14" s="85"/>
      <c r="CM14" s="85"/>
    </row>
    <row r="15" spans="1:146" ht="19.05" customHeight="1" x14ac:dyDescent="0.3">
      <c r="C15" s="703" t="s">
        <v>77</v>
      </c>
      <c r="D15" s="700" t="str">
        <f>'1. Project Inputs'!C18</f>
        <v>Consulting</v>
      </c>
      <c r="E15" s="840" t="str">
        <f>IF(D15="Select","Select Project Type in 1. Project Inputs","")</f>
        <v/>
      </c>
      <c r="F15" s="840"/>
      <c r="G15" s="840"/>
      <c r="H15" s="840"/>
      <c r="I15" s="840"/>
      <c r="J15" s="840"/>
      <c r="K15" s="94"/>
      <c r="L15" s="94"/>
      <c r="M15" s="416" t="str" cm="1">
        <f t="array" ref="M15">IF(OR($M$8="No Approach Options Used",$M$8="Select Approach Option")=TRUE,'1. Project Inputs'!C38,IFERROR(INDEX('Optional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Estimation'!$G$7)+1)))),ROW(A5))),""))</f>
        <v>qa work</v>
      </c>
      <c r="N15" s="916">
        <f>IF($M$8="Select Approach Option","",IF($M$8='1. Project Inputs'!$C$58,SUMIFS(TB.ScopeEstimation[Weighted Effort Days],TB.ScopeEstimation[Bucket / Phase],M15,TB.ScopeEstimation[Option 1],"Yes"),IF($M$8='1. Project Inputs'!$C$59,SUMIFS(TB.ScopeEstimation[Weighted Effort Days],TB.ScopeEstimation[Bucket / Phase],M15,TB.ScopeEstimation[Option 2],"Yes"),IF($M$8='1. Project Inputs'!$C$60,SUMIFS(TB.ScopeEstimation[Weighted Effort Days],TB.ScopeEstimation[Bucket / Phase],M15,TB.ScopeEstimation[Option 3],"Yes"),IF($M$8="No Approach Options Used",SUMIFS(TB.ScopeEstimation[Weighted Effort Days],TB.ScopeEstimation[Bucket / Phase],M15))))))</f>
        <v>4</v>
      </c>
      <c r="O15" s="920" t="b">
        <f>IF($M$8='1. Project Inputs'!$C$58,'Optional - Scope Options Review'!#REF!,IF($M$8='1. Project Inputs'!$C$59,'Optional - Scope Options Review'!#REF!,IF($M$8='1. Project Inputs'!$C$60,'Optional - Scope Options Review'!#REF!)))</f>
        <v>0</v>
      </c>
      <c r="P15" s="921" t="b">
        <f>IF($M$8='1. Project Inputs'!$C$58,'Optional - Scope Options Review'!#REF!,IF($M$8='1. Project Inputs'!$C$59,'Optional - Scope Options Review'!#REF!,IF($M$8='1. Project Inputs'!$C$60,'Optional - Scope Options Review'!#REF!)))</f>
        <v>0</v>
      </c>
      <c r="Q15" s="919">
        <f t="shared" si="4"/>
        <v>32</v>
      </c>
      <c r="R15" s="1131">
        <f>IFERROR(IF(ISBLANK($S$50),"No Buckets Used below",($Q15-SUMIF(S$50:S153,$M15,Y$50:Y153))),"")</f>
        <v>-668</v>
      </c>
      <c r="T15" s="1632" t="s">
        <v>223</v>
      </c>
      <c r="U15" s="1632"/>
      <c r="V15" s="1632"/>
      <c r="W15" s="1632"/>
      <c r="Z15" s="730" t="str">
        <f>IF('1. Project Inputs'!F39="Manual Entry","No Additional Buckets Added",'1. Project Inputs'!F39)</f>
        <v>No Additional Buckets Added</v>
      </c>
      <c r="AA15" s="1660" t="str">
        <f>IF('1. Project Inputs'!G39="Manual Entry %","",'1. Project Inputs'!G39)</f>
        <v/>
      </c>
      <c r="AB15" s="1661"/>
      <c r="AC15" s="728" t="str">
        <f t="shared" si="0"/>
        <v/>
      </c>
      <c r="AD15" s="728">
        <f t="shared" si="1"/>
        <v>0</v>
      </c>
      <c r="AE15" s="729" t="str">
        <f t="shared" si="2"/>
        <v/>
      </c>
      <c r="AF15" s="729" t="str">
        <f t="shared" si="3"/>
        <v/>
      </c>
      <c r="AG15" s="94"/>
      <c r="AH15" s="94"/>
      <c r="AI15" s="94"/>
      <c r="AJ15" s="94"/>
      <c r="AK15" s="94"/>
      <c r="AL15" s="94"/>
      <c r="AM15" s="94"/>
      <c r="AN15" s="94"/>
      <c r="AO15" s="94"/>
      <c r="AP15" s="94"/>
      <c r="AQ15" s="93"/>
      <c r="AR15" s="93"/>
      <c r="AS15" s="93"/>
      <c r="AT15" s="93"/>
      <c r="AU15" s="93"/>
      <c r="AV15" s="93"/>
      <c r="AW15" s="93"/>
      <c r="AX15" s="93"/>
      <c r="AY15" s="93"/>
      <c r="AZ15" s="93"/>
      <c r="BA15" s="93"/>
      <c r="BB15" s="93"/>
      <c r="BC15" s="93"/>
      <c r="BD15" s="93"/>
      <c r="BE15" s="93"/>
      <c r="BF15" s="93"/>
      <c r="BG15" s="93"/>
      <c r="BH15" s="93"/>
      <c r="BI15" s="93"/>
      <c r="BJ15" s="93"/>
      <c r="BK15" s="93"/>
      <c r="BL15" s="93"/>
      <c r="BM15" s="93"/>
      <c r="BN15" s="93"/>
      <c r="BO15" s="93"/>
      <c r="BP15" s="93"/>
      <c r="BQ15" s="93"/>
      <c r="BR15" s="93"/>
      <c r="BS15" s="93"/>
      <c r="BT15" s="93"/>
      <c r="BU15" s="93"/>
      <c r="BV15" s="93"/>
      <c r="BW15" s="93"/>
      <c r="BX15" s="93"/>
      <c r="BY15" s="93"/>
      <c r="BZ15" s="93"/>
      <c r="CA15" s="93"/>
      <c r="CB15" s="93"/>
      <c r="CC15" s="85"/>
      <c r="CD15" s="85"/>
      <c r="CE15" s="85"/>
      <c r="CF15" s="85"/>
      <c r="CG15" s="85"/>
      <c r="CH15" s="85"/>
      <c r="CI15" s="86"/>
      <c r="CJ15" s="85"/>
      <c r="CK15" s="85"/>
      <c r="CL15" s="85"/>
      <c r="CM15" s="85"/>
    </row>
    <row r="16" spans="1:146" ht="15" customHeight="1" thickBot="1" x14ac:dyDescent="0.35">
      <c r="C16" s="704" t="s">
        <v>142</v>
      </c>
      <c r="D16" s="700" t="str">
        <f>'1. Project Inputs'!C19</f>
        <v>Standard Rates</v>
      </c>
      <c r="E16" s="840" t="str">
        <f>IF(D16="Select Type","Select Margin Class Type in 1. Project Inputs","")</f>
        <v/>
      </c>
      <c r="F16" s="850"/>
      <c r="G16" s="850"/>
      <c r="H16" s="850"/>
      <c r="I16" s="850"/>
      <c r="J16" s="850"/>
      <c r="K16" s="851"/>
      <c r="L16" s="851"/>
      <c r="M16" s="416" t="str" cm="1">
        <f t="array" ref="M16">IF(OR($M$8="No Approach Options Used",$M$8="Select Approach Option")=TRUE,'1. Project Inputs'!C39,IFERROR(INDEX('Optional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Estimation'!$G$7)+1)))),ROW(A6))),""))</f>
        <v>finishing touches</v>
      </c>
      <c r="N16" s="916">
        <f>IF($M$8="Select Approach Option","",IF($M$8='1. Project Inputs'!$C$58,SUMIFS(TB.ScopeEstimation[Weighted Effort Days],TB.ScopeEstimation[Bucket / Phase],M16,TB.ScopeEstimation[Option 1],"Yes"),IF($M$8='1. Project Inputs'!$C$59,SUMIFS(TB.ScopeEstimation[Weighted Effort Days],TB.ScopeEstimation[Bucket / Phase],M16,TB.ScopeEstimation[Option 2],"Yes"),IF($M$8='1. Project Inputs'!$C$60,SUMIFS(TB.ScopeEstimation[Weighted Effort Days],TB.ScopeEstimation[Bucket / Phase],M16,TB.ScopeEstimation[Option 3],"Yes"),IF($M$8="No Approach Options Used",SUMIFS(TB.ScopeEstimation[Weighted Effort Days],TB.ScopeEstimation[Bucket / Phase],M16))))))</f>
        <v>0</v>
      </c>
      <c r="O16" s="920" t="b">
        <f>IF($M$8='1. Project Inputs'!$C$58,'Optional - Scope Options Review'!#REF!,IF($M$8='1. Project Inputs'!$C$59,'Optional - Scope Options Review'!#REF!,IF($M$8='1. Project Inputs'!$C$60,'Optional - Scope Options Review'!#REF!)))</f>
        <v>0</v>
      </c>
      <c r="P16" s="921" t="b">
        <f>IF($M$8='1. Project Inputs'!$C$58,'Optional - Scope Options Review'!#REF!,IF($M$8='1. Project Inputs'!$C$59,'Optional - Scope Options Review'!#REF!,IF($M$8='1. Project Inputs'!$C$60,'Optional - Scope Options Review'!#REF!)))</f>
        <v>0</v>
      </c>
      <c r="Q16" s="919">
        <f t="shared" si="4"/>
        <v>0</v>
      </c>
      <c r="R16" s="1131">
        <f>IFERROR(IF(ISBLANK($S$50),"No Buckets Used below",($Q16-SUMIF(S$50:S154,$M16,Y$50:Y154))),"")</f>
        <v>0</v>
      </c>
      <c r="T16" s="1633"/>
      <c r="U16" s="1633"/>
      <c r="V16" s="1633"/>
      <c r="W16" s="1633"/>
      <c r="Z16" s="730" t="str">
        <f>IF('1. Project Inputs'!F40="Manual Entry","No Additional Buckets Added",'1. Project Inputs'!F40)</f>
        <v>No Additional Buckets Added</v>
      </c>
      <c r="AA16" s="1660" t="str">
        <f>IF('1. Project Inputs'!G40="Manual Entry %","",'1. Project Inputs'!G40)</f>
        <v/>
      </c>
      <c r="AB16" s="1661"/>
      <c r="AC16" s="728" t="str">
        <f t="shared" si="0"/>
        <v/>
      </c>
      <c r="AD16" s="728">
        <f t="shared" si="1"/>
        <v>0</v>
      </c>
      <c r="AE16" s="729" t="str">
        <f t="shared" si="2"/>
        <v/>
      </c>
      <c r="AF16" s="729" t="str">
        <f t="shared" si="3"/>
        <v/>
      </c>
      <c r="AG16" s="94"/>
      <c r="AH16" s="94"/>
      <c r="AI16" s="94"/>
      <c r="AJ16" s="94"/>
      <c r="AK16" s="94"/>
      <c r="AL16" s="94"/>
      <c r="AM16" s="94"/>
      <c r="AN16" s="94"/>
      <c r="AO16" s="94"/>
      <c r="AP16" s="94"/>
      <c r="AQ16" s="93"/>
      <c r="AR16" s="93"/>
      <c r="AS16" s="93"/>
      <c r="AT16" s="93"/>
      <c r="AU16" s="93"/>
      <c r="AV16" s="93"/>
      <c r="AW16" s="93"/>
      <c r="AX16" s="93"/>
      <c r="AY16" s="93"/>
      <c r="AZ16" s="93"/>
      <c r="BA16" s="93"/>
      <c r="BB16" s="93"/>
      <c r="BC16" s="93"/>
      <c r="BD16" s="93"/>
      <c r="BE16" s="93"/>
      <c r="BF16" s="93"/>
      <c r="BG16" s="93"/>
      <c r="BH16" s="93"/>
      <c r="BI16" s="93"/>
      <c r="BJ16" s="93"/>
      <c r="BK16" s="93"/>
      <c r="BL16" s="93"/>
      <c r="BM16" s="93"/>
      <c r="BN16" s="93"/>
      <c r="BO16" s="93"/>
      <c r="BP16" s="93"/>
      <c r="BQ16" s="93"/>
      <c r="BR16" s="93"/>
      <c r="BS16" s="93"/>
      <c r="BT16" s="93"/>
      <c r="BU16" s="93"/>
      <c r="BV16" s="93"/>
      <c r="BW16" s="93"/>
      <c r="BX16" s="93"/>
      <c r="BY16" s="93"/>
      <c r="BZ16" s="93"/>
      <c r="CA16" s="93"/>
      <c r="CB16" s="93"/>
      <c r="CC16" s="85"/>
      <c r="CD16" s="85"/>
      <c r="CE16" s="85"/>
      <c r="CF16" s="85"/>
      <c r="CG16" s="85"/>
      <c r="CH16" s="85"/>
      <c r="CI16" s="86"/>
      <c r="CJ16" s="85"/>
      <c r="CK16" s="85"/>
      <c r="CL16" s="85"/>
      <c r="CM16" s="85"/>
    </row>
    <row r="17" spans="1:146" ht="15" thickBot="1" x14ac:dyDescent="0.35">
      <c r="C17" s="705" t="s">
        <v>224</v>
      </c>
      <c r="D17" s="706" t="str">
        <f>IF(ISBLANK('1. Project Inputs'!C20)," ",'1. Project Inputs'!C20)</f>
        <v xml:space="preserve"> </v>
      </c>
      <c r="E17" s="840" t="str">
        <f>IF(AND(D16="Client Custom",D17=" "),"Must select Client Rate card in 1. Project Inputs",IF(AND(D17&lt;&gt;" ",D16="Select Type"),"Must select Client Custom Margin Class in 1. Project Inputs",""))</f>
        <v/>
      </c>
      <c r="F17" s="840"/>
      <c r="G17" s="840"/>
      <c r="H17" s="840"/>
      <c r="I17" s="840"/>
      <c r="J17" s="840"/>
      <c r="K17" s="851"/>
      <c r="L17" s="851"/>
      <c r="M17" s="416" t="str" cm="1">
        <f t="array" ref="M17">IF(OR($M$8="No Approach Options Used",$M$8="Select Approach Option")=TRUE,'1. Project Inputs'!C40,IFERROR(INDEX('Optional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Estimation'!$G$7)+1)))),ROW(A7))),""))</f>
        <v>[Estimated Bucket 7]</v>
      </c>
      <c r="N17" s="916">
        <f>IF($M$8="Select Approach Option","",IF($M$8='1. Project Inputs'!$C$58,SUMIFS(TB.ScopeEstimation[Weighted Effort Days],TB.ScopeEstimation[Bucket / Phase],M17,TB.ScopeEstimation[Option 1],"Yes"),IF($M$8='1. Project Inputs'!$C$59,SUMIFS(TB.ScopeEstimation[Weighted Effort Days],TB.ScopeEstimation[Bucket / Phase],M17,TB.ScopeEstimation[Option 2],"Yes"),IF($M$8='1. Project Inputs'!$C$60,SUMIFS(TB.ScopeEstimation[Weighted Effort Days],TB.ScopeEstimation[Bucket / Phase],M17,TB.ScopeEstimation[Option 3],"Yes"),IF($M$8="No Approach Options Used",SUMIFS(TB.ScopeEstimation[Weighted Effort Days],TB.ScopeEstimation[Bucket / Phase],M17))))))</f>
        <v>0</v>
      </c>
      <c r="O17" s="920" t="b">
        <f>IF($M$8='1. Project Inputs'!$C$58,'Optional - Scope Options Review'!#REF!,IF($M$8='1. Project Inputs'!$C$59,'Optional - Scope Options Review'!#REF!,IF($M$8='1. Project Inputs'!$C$60,'Optional - Scope Options Review'!#REF!)))</f>
        <v>0</v>
      </c>
      <c r="P17" s="921" t="b">
        <f>IF($M$8='1. Project Inputs'!$C$58,'Optional - Scope Options Review'!#REF!,IF($M$8='1. Project Inputs'!$C$59,'Optional - Scope Options Review'!#REF!,IF($M$8='1. Project Inputs'!$C$60,'Optional - Scope Options Review'!#REF!)))</f>
        <v>0</v>
      </c>
      <c r="Q17" s="919">
        <f t="shared" si="4"/>
        <v>0</v>
      </c>
      <c r="R17" s="1131">
        <f>IFERROR(IF(ISBLANK($S$50),"No Buckets Used below",($Q17-SUMIF(S$50:S155,$M17,Y$50:Y155))),"")</f>
        <v>0</v>
      </c>
      <c r="T17" s="721"/>
      <c r="U17" s="722" t="s">
        <v>214</v>
      </c>
      <c r="V17" s="723" t="s">
        <v>215</v>
      </c>
      <c r="W17" s="724" t="s">
        <v>216</v>
      </c>
      <c r="Z17" s="730" t="str">
        <f>IF('1. Project Inputs'!F41="Manual Entry","No Additional Buckets Added",'1. Project Inputs'!F41)</f>
        <v>No Additional Buckets Added</v>
      </c>
      <c r="AA17" s="1660" t="str">
        <f>IF('1. Project Inputs'!G41="Manual Entry %","",'1. Project Inputs'!G41)</f>
        <v/>
      </c>
      <c r="AB17" s="1661"/>
      <c r="AC17" s="728" t="str">
        <f t="shared" si="0"/>
        <v/>
      </c>
      <c r="AD17" s="728">
        <f t="shared" si="1"/>
        <v>0</v>
      </c>
      <c r="AE17" s="729" t="str">
        <f t="shared" si="2"/>
        <v/>
      </c>
      <c r="AF17" s="729" t="str">
        <f t="shared" si="3"/>
        <v/>
      </c>
      <c r="AG17" s="94"/>
      <c r="AH17" s="94"/>
      <c r="AI17" s="94"/>
      <c r="AJ17" s="94"/>
      <c r="AK17" s="94"/>
      <c r="AL17" s="94"/>
      <c r="AM17" s="94"/>
      <c r="AN17" s="94"/>
      <c r="AO17" s="94"/>
      <c r="AP17" s="94"/>
      <c r="AQ17" s="93"/>
      <c r="AR17" s="93"/>
      <c r="AS17" s="93"/>
      <c r="AT17" s="93"/>
      <c r="AU17" s="93"/>
      <c r="AV17" s="93"/>
      <c r="AW17" s="93"/>
      <c r="AX17" s="93"/>
      <c r="AY17" s="93"/>
      <c r="AZ17" s="93"/>
      <c r="BA17" s="93"/>
      <c r="BB17" s="93"/>
      <c r="BC17" s="93"/>
      <c r="BD17" s="93"/>
      <c r="BE17" s="93"/>
      <c r="BF17" s="93"/>
      <c r="BG17" s="93"/>
      <c r="BH17" s="93"/>
      <c r="BI17" s="93"/>
      <c r="BJ17" s="93"/>
      <c r="BK17" s="93"/>
      <c r="BL17" s="93"/>
      <c r="BM17" s="93"/>
      <c r="BN17" s="93"/>
      <c r="BO17" s="93"/>
      <c r="BP17" s="93"/>
      <c r="BQ17" s="93"/>
      <c r="BR17" s="93"/>
      <c r="BS17" s="93"/>
      <c r="BT17" s="93"/>
      <c r="BU17" s="93"/>
      <c r="BV17" s="93"/>
      <c r="BW17" s="93"/>
      <c r="BX17" s="93"/>
      <c r="BY17" s="93"/>
      <c r="BZ17" s="93"/>
      <c r="CA17" s="93"/>
      <c r="CB17" s="93"/>
      <c r="CC17" s="85"/>
      <c r="CD17" s="85"/>
      <c r="CE17" s="85"/>
      <c r="CF17" s="85"/>
      <c r="CG17" s="85"/>
      <c r="CH17" s="85"/>
      <c r="CI17" s="86"/>
      <c r="CJ17" s="85"/>
      <c r="CK17" s="85"/>
      <c r="CL17" s="85"/>
      <c r="CM17" s="85"/>
    </row>
    <row r="18" spans="1:146" x14ac:dyDescent="0.3">
      <c r="C18" s="699" t="s">
        <v>80</v>
      </c>
      <c r="D18" s="1091">
        <f>'1. Project Inputs'!C21</f>
        <v>45776</v>
      </c>
      <c r="E18" s="840" t="str">
        <f>IF(D18="Manual Entry","Add Start Date in 1. Project Inputs","")</f>
        <v/>
      </c>
      <c r="F18" s="852"/>
      <c r="G18" s="852"/>
      <c r="H18" s="852"/>
      <c r="I18" s="852"/>
      <c r="J18" s="852"/>
      <c r="K18" s="851"/>
      <c r="L18" s="851"/>
      <c r="M18" s="416" t="str" cm="1">
        <f t="array" ref="M18">IF(OR($M$8="No Approach Options Used",$M$8="Select Approach Option")=TRUE,'1. Project Inputs'!C41,IFERROR(INDEX('Optional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Estimation'!$G$7)+1)))),ROW(A8))),""))</f>
        <v>[Estimated Bucket 8]</v>
      </c>
      <c r="N18" s="916">
        <f>IF($M$8="Select Approach Option","",IF($M$8='1. Project Inputs'!$C$58,SUMIFS(TB.ScopeEstimation[Weighted Effort Days],TB.ScopeEstimation[Bucket / Phase],M18,TB.ScopeEstimation[Option 1],"Yes"),IF($M$8='1. Project Inputs'!$C$59,SUMIFS(TB.ScopeEstimation[Weighted Effort Days],TB.ScopeEstimation[Bucket / Phase],M18,TB.ScopeEstimation[Option 2],"Yes"),IF($M$8='1. Project Inputs'!$C$60,SUMIFS(TB.ScopeEstimation[Weighted Effort Days],TB.ScopeEstimation[Bucket / Phase],M18,TB.ScopeEstimation[Option 3],"Yes"),IF($M$8="No Approach Options Used",SUMIFS(TB.ScopeEstimation[Weighted Effort Days],TB.ScopeEstimation[Bucket / Phase],M18))))))</f>
        <v>0</v>
      </c>
      <c r="O18" s="920" t="b">
        <f>IF($M$8='1. Project Inputs'!$C$58,'Optional - Scope Options Review'!#REF!,IF($M$8='1. Project Inputs'!$C$59,'Optional - Scope Options Review'!#REF!,IF($M$8='1. Project Inputs'!$C$60,'Optional - Scope Options Review'!#REF!)))</f>
        <v>0</v>
      </c>
      <c r="P18" s="921" t="b">
        <f>IF($M$8='1. Project Inputs'!$C$58,'Optional - Scope Options Review'!#REF!,IF($M$8='1. Project Inputs'!$C$59,'Optional - Scope Options Review'!#REF!,IF($M$8='1. Project Inputs'!$C$60,'Optional - Scope Options Review'!#REF!)))</f>
        <v>0</v>
      </c>
      <c r="Q18" s="919">
        <f t="shared" si="4"/>
        <v>0</v>
      </c>
      <c r="R18" s="1131">
        <f>IFERROR(IF(ISBLANK($S$50),"No Buckets Used below",($Q18-SUMIF(S$50:S156,$M18,Y$50:Y156))),"")</f>
        <v>0</v>
      </c>
      <c r="T18" s="725" t="s">
        <v>225</v>
      </c>
      <c r="U18" s="1122">
        <f>IFERROR(SUMIFS($Y$50:$Y$149,$O$50:$O$149,1,T$50:T$149,"Yes")/SUMIFS($Y$50:$Y$149,T$50:T$149,"Yes"),"")</f>
        <v>0</v>
      </c>
      <c r="V18" s="1122" t="str">
        <f>IFERROR(SUMIFS($Y$50:$Y$149,$O$50:$O$149,1,U$50:U$149,"Yes")/SUMIFS($Y$50:$Y$149,U$50:U$149,"Yes"),"")</f>
        <v/>
      </c>
      <c r="W18" s="1123">
        <f>IFERROR(SUMIFS($Y$50:$Y$149,$O$50:$O$149,1,W$50:W$149,"Yes")/SUMIFS($Y$50:$Y$149,W$50:W$149,"Yes"),"")</f>
        <v>0</v>
      </c>
      <c r="Z18" s="730" t="str">
        <f>IF('1. Project Inputs'!F42="Manual Entry","No Additional Buckets Added",'1. Project Inputs'!F42)</f>
        <v>No Additional Buckets Added</v>
      </c>
      <c r="AA18" s="1660" t="str">
        <f>IF('1. Project Inputs'!G42="Manual Entry %","",'1. Project Inputs'!G42)</f>
        <v/>
      </c>
      <c r="AB18" s="1661"/>
      <c r="AC18" s="728" t="str">
        <f t="shared" si="0"/>
        <v/>
      </c>
      <c r="AD18" s="728">
        <f t="shared" si="1"/>
        <v>0</v>
      </c>
      <c r="AE18" s="729" t="str">
        <f t="shared" si="2"/>
        <v/>
      </c>
      <c r="AF18" s="729" t="str">
        <f t="shared" si="3"/>
        <v/>
      </c>
      <c r="AG18" s="94"/>
      <c r="AH18" s="94"/>
      <c r="AI18" s="94"/>
      <c r="AJ18" s="94"/>
      <c r="AK18" s="94"/>
      <c r="AL18" s="94"/>
      <c r="AM18" s="94"/>
      <c r="AN18" s="94"/>
      <c r="AO18" s="94"/>
      <c r="AP18" s="94"/>
      <c r="AQ18" s="93"/>
      <c r="AR18" s="93"/>
      <c r="AS18" s="93"/>
      <c r="AT18" s="93"/>
      <c r="AU18" s="93"/>
      <c r="AV18" s="93"/>
      <c r="AW18" s="93"/>
      <c r="AX18" s="93"/>
      <c r="AY18" s="93"/>
      <c r="AZ18" s="93"/>
      <c r="BA18" s="93"/>
      <c r="BB18" s="93"/>
      <c r="BC18" s="93"/>
      <c r="BD18" s="93"/>
      <c r="BE18" s="93"/>
      <c r="BF18" s="93"/>
      <c r="BG18" s="93"/>
      <c r="BH18" s="93"/>
      <c r="BI18" s="93"/>
      <c r="BJ18" s="93"/>
      <c r="BK18" s="93"/>
      <c r="BL18" s="93"/>
      <c r="BM18" s="93"/>
      <c r="BN18" s="93"/>
      <c r="BO18" s="93"/>
      <c r="BP18" s="93"/>
      <c r="BQ18" s="93"/>
      <c r="BR18" s="93"/>
      <c r="BS18" s="93"/>
      <c r="BT18" s="93"/>
      <c r="BU18" s="93"/>
      <c r="BV18" s="93"/>
      <c r="BW18" s="93"/>
      <c r="BX18" s="93"/>
      <c r="BY18" s="93"/>
      <c r="BZ18" s="93"/>
      <c r="CA18" s="93"/>
      <c r="CB18" s="93"/>
      <c r="CC18" s="85"/>
      <c r="CD18" s="85"/>
      <c r="CE18" s="85"/>
      <c r="CF18" s="85"/>
      <c r="CG18" s="85"/>
      <c r="CH18" s="85"/>
      <c r="CI18" s="86"/>
      <c r="CJ18" s="85"/>
      <c r="CK18" s="85"/>
      <c r="CL18" s="85"/>
      <c r="CM18" s="85"/>
    </row>
    <row r="19" spans="1:146" x14ac:dyDescent="0.3">
      <c r="C19" s="707" t="s">
        <v>143</v>
      </c>
      <c r="D19" s="708">
        <f>IF($AA$49&lt;&gt;"WEEKS",$AA$49,'Optional - Scope Estimation'!$D$114/5)</f>
        <v>20</v>
      </c>
      <c r="E19" s="840" t="str">
        <f>IF(D19="WEEKS","Enter Duration in Z36 in 1. Project Inputs","")</f>
        <v/>
      </c>
      <c r="F19" s="840"/>
      <c r="G19" s="840"/>
      <c r="H19" s="840"/>
      <c r="I19" s="840"/>
      <c r="J19" s="840"/>
      <c r="K19" s="851"/>
      <c r="L19" s="851"/>
      <c r="M19" s="416" t="str" cm="1">
        <f t="array" ref="M19">IF(OR($M$8="No Approach Options Used",$M$8="Select Approach Option")=TRUE,'1. Project Inputs'!C42,IFERROR(INDEX('Optional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Estimation'!$G$7)+1)))),ROW(A9))),""))</f>
        <v>[Estimated Bucket 9]</v>
      </c>
      <c r="N19" s="916">
        <f>IF($M$8="Select Approach Option","",IF($M$8='1. Project Inputs'!$C$58,SUMIFS(TB.ScopeEstimation[Weighted Effort Days],TB.ScopeEstimation[Bucket / Phase],M19,TB.ScopeEstimation[Option 1],"Yes"),IF($M$8='1. Project Inputs'!$C$59,SUMIFS(TB.ScopeEstimation[Weighted Effort Days],TB.ScopeEstimation[Bucket / Phase],M19,TB.ScopeEstimation[Option 2],"Yes"),IF($M$8='1. Project Inputs'!$C$60,SUMIFS(TB.ScopeEstimation[Weighted Effort Days],TB.ScopeEstimation[Bucket / Phase],M19,TB.ScopeEstimation[Option 3],"Yes"),IF($M$8="No Approach Options Used",SUMIFS(TB.ScopeEstimation[Weighted Effort Days],TB.ScopeEstimation[Bucket / Phase],M19))))))</f>
        <v>0</v>
      </c>
      <c r="O19" s="920" t="b">
        <f>IF($M$8='1. Project Inputs'!$C$58,'Optional - Scope Options Review'!#REF!,IF($M$8='1. Project Inputs'!$C$59,'Optional - Scope Options Review'!#REF!,IF($M$8='1. Project Inputs'!$C$60,'Optional - Scope Options Review'!#REF!)))</f>
        <v>0</v>
      </c>
      <c r="P19" s="921" t="b">
        <f>IF($M$8='1. Project Inputs'!$C$58,'Optional - Scope Options Review'!#REF!,IF($M$8='1. Project Inputs'!$C$59,'Optional - Scope Options Review'!#REF!,IF($M$8='1. Project Inputs'!$C$60,'Optional - Scope Options Review'!#REF!)))</f>
        <v>0</v>
      </c>
      <c r="Q19" s="919">
        <f t="shared" si="4"/>
        <v>0</v>
      </c>
      <c r="R19" s="1131">
        <f>IFERROR(IF(ISBLANK($S$50),"No Buckets Used below",($Q19-SUMIF(S$50:S157,$M19,Y$50:Y157))),"")</f>
        <v>0</v>
      </c>
      <c r="T19" s="726" t="s">
        <v>226</v>
      </c>
      <c r="U19" s="1122">
        <f>IFERROR(SUMIFS($Y$50:$Y$149,$O$50:$O$149,2,T$50:T$149,"Yes")/SUMIFS($Y$50:$Y$149,T$50:T$149,"Yes"),"")</f>
        <v>1</v>
      </c>
      <c r="V19" s="1122" t="str">
        <f>IFERROR(SUMIFS($Y$50:$Y$149,$O$50:$O$149,2,U$50:U$149,"Yes")/SUMIFS($Y$50:$Y$149,U$50:U$149,"Yes"),"")</f>
        <v/>
      </c>
      <c r="W19" s="1123">
        <f>IFERROR(SUMIFS($Y$50:$Y$149,$O$50:$O$149,2,W$50:W$149,"Yes")/SUMIFS($Y$50:$Y$149,W$50:W$149,"Yes"),"")</f>
        <v>1</v>
      </c>
      <c r="Z19" s="730" t="str">
        <f>IF('1. Project Inputs'!F43="Manual Entry","No Additional Buckets Added",'1. Project Inputs'!F43)</f>
        <v>No Additional Buckets Added</v>
      </c>
      <c r="AA19" s="1660" t="str">
        <f>IF('1. Project Inputs'!G43="Manual Entry %","",'1. Project Inputs'!G43)</f>
        <v/>
      </c>
      <c r="AB19" s="1661"/>
      <c r="AC19" s="728" t="str">
        <f t="shared" si="0"/>
        <v/>
      </c>
      <c r="AD19" s="728">
        <f t="shared" si="1"/>
        <v>0</v>
      </c>
      <c r="AE19" s="729" t="str">
        <f t="shared" si="2"/>
        <v/>
      </c>
      <c r="AF19" s="729" t="str">
        <f t="shared" si="3"/>
        <v/>
      </c>
      <c r="AG19" s="94"/>
      <c r="AH19" s="94"/>
      <c r="AI19" s="94"/>
      <c r="AJ19" s="94"/>
      <c r="AK19" s="94"/>
      <c r="AL19" s="94"/>
      <c r="AM19" s="94"/>
      <c r="AN19" s="94"/>
      <c r="AO19" s="94"/>
      <c r="AP19" s="94"/>
      <c r="AQ19" s="93"/>
      <c r="AR19" s="93"/>
      <c r="AS19" s="93"/>
      <c r="AT19" s="93"/>
      <c r="AU19" s="93"/>
      <c r="AV19" s="93"/>
      <c r="AW19" s="93"/>
      <c r="AX19" s="93"/>
      <c r="AY19" s="93"/>
      <c r="AZ19" s="93"/>
      <c r="BA19" s="93"/>
      <c r="BB19" s="93"/>
      <c r="BC19" s="93"/>
      <c r="BD19" s="93"/>
      <c r="BE19" s="93"/>
      <c r="BF19" s="93"/>
      <c r="BG19" s="93"/>
      <c r="BH19" s="93"/>
      <c r="BI19" s="93"/>
      <c r="BJ19" s="93"/>
      <c r="BK19" s="93"/>
      <c r="BL19" s="93"/>
      <c r="BM19" s="93"/>
      <c r="BN19" s="93"/>
      <c r="BO19" s="93"/>
      <c r="BP19" s="93"/>
      <c r="BQ19" s="93"/>
      <c r="BR19" s="93"/>
      <c r="BS19" s="93"/>
      <c r="BT19" s="93"/>
      <c r="BU19" s="93"/>
      <c r="BV19" s="93"/>
      <c r="BW19" s="93"/>
      <c r="BX19" s="93"/>
      <c r="BY19" s="93"/>
      <c r="BZ19" s="93"/>
      <c r="CA19" s="93"/>
      <c r="CB19" s="93"/>
      <c r="CC19" s="85"/>
      <c r="CD19" s="85"/>
      <c r="CE19" s="85"/>
      <c r="CF19" s="85"/>
      <c r="CG19" s="85"/>
      <c r="CH19" s="85"/>
      <c r="CI19" s="86"/>
      <c r="CJ19" s="85"/>
      <c r="CK19" s="85"/>
      <c r="CL19" s="85"/>
      <c r="CM19" s="85"/>
    </row>
    <row r="20" spans="1:146" ht="15" thickBot="1" x14ac:dyDescent="0.35">
      <c r="C20" s="709" t="s">
        <v>81</v>
      </c>
      <c r="D20" s="710" t="str">
        <f>'1. Project Inputs'!C22</f>
        <v>Fixed Fee</v>
      </c>
      <c r="E20" s="840" t="str">
        <f>IF(D20="Select Type","Select Billing Type in 1. Project Inputs","")</f>
        <v/>
      </c>
      <c r="F20" s="94"/>
      <c r="G20" s="94"/>
      <c r="H20" s="94"/>
      <c r="I20" s="94"/>
      <c r="J20" s="94"/>
      <c r="K20" s="853"/>
      <c r="L20" s="853"/>
      <c r="M20" s="416" t="str" cm="1">
        <f t="array" ref="M20">IF(OR($M$8="No Approach Options Used",$M$8="Select Approach Option")=TRUE,'1. Project Inputs'!C43,IFERROR(INDEX('Optional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Estimation'!$G$7)+1)))),ROW(A10))),""))</f>
        <v>[Estimated Bucket 10]</v>
      </c>
      <c r="N20" s="916">
        <f>IF($M$8="Select Approach Option","",IF($M$8='1. Project Inputs'!$C$58,SUMIFS(TB.ScopeEstimation[Weighted Effort Days],TB.ScopeEstimation[Bucket / Phase],M20,TB.ScopeEstimation[Option 1],"Yes"),IF($M$8='1. Project Inputs'!$C$59,SUMIFS(TB.ScopeEstimation[Weighted Effort Days],TB.ScopeEstimation[Bucket / Phase],M20,TB.ScopeEstimation[Option 2],"Yes"),IF($M$8='1. Project Inputs'!$C$60,SUMIFS(TB.ScopeEstimation[Weighted Effort Days],TB.ScopeEstimation[Bucket / Phase],M20,TB.ScopeEstimation[Option 3],"Yes"),IF($M$8="No Approach Options Used",SUMIFS(TB.ScopeEstimation[Weighted Effort Days],TB.ScopeEstimation[Bucket / Phase],M20))))))</f>
        <v>0</v>
      </c>
      <c r="O20" s="920" t="b">
        <f>IF($M$8='1. Project Inputs'!$C$58,'Optional - Scope Options Review'!#REF!,IF($M$8='1. Project Inputs'!$C$59,'Optional - Scope Options Review'!#REF!,IF($M$8='1. Project Inputs'!$C$60,'Optional - Scope Options Review'!#REF!)))</f>
        <v>0</v>
      </c>
      <c r="P20" s="921" t="b">
        <f>IF($M$8='1. Project Inputs'!$C$58,'Optional - Scope Options Review'!#REF!,IF($M$8='1. Project Inputs'!$C$59,'Optional - Scope Options Review'!#REF!,IF($M$8='1. Project Inputs'!$C$60,'Optional - Scope Options Review'!#REF!)))</f>
        <v>0</v>
      </c>
      <c r="Q20" s="919">
        <f t="shared" si="4"/>
        <v>0</v>
      </c>
      <c r="R20" s="1131">
        <f>IFERROR(IF(ISBLANK($S$50),"No Buckets Used below",($Q20-SUMIF(S$50:S158,$M20,Y$50:Y158))),"")</f>
        <v>0</v>
      </c>
      <c r="T20" s="726" t="s">
        <v>227</v>
      </c>
      <c r="U20" s="1122">
        <f>IFERROR(SUMIFS($Y$50:$Y$149,$O$50:$O$149,3,T$50:T$149,"Yes")/SUMIFS($Y$50:$Y$149,T$50:T$149,"Yes"),"")</f>
        <v>0</v>
      </c>
      <c r="V20" s="1122" t="str">
        <f>IFERROR(SUMIFS($Y$50:$Y$149,$O$50:$O$149,3,U$50:U$149,"Yes")/SUMIFS($Y$50:$Y$149,U$50:U$149,"Yes"),"")</f>
        <v/>
      </c>
      <c r="W20" s="1123">
        <f>IFERROR(SUMIFS($Y$50:$Y$149,$O$50:$O$149,3,W$50:W$149,"Yes")/SUMIFS($Y$50:$Y$149,W$50:W$149,"Yes"),"")</f>
        <v>0</v>
      </c>
      <c r="Z20" s="188" t="s">
        <v>183</v>
      </c>
      <c r="AA20" s="1660"/>
      <c r="AB20" s="1661"/>
      <c r="AC20" s="731">
        <f>SUM(AC10:AC19)</f>
        <v>0</v>
      </c>
      <c r="AD20" s="731">
        <f>SUM(AD10:AD19)</f>
        <v>0</v>
      </c>
      <c r="AE20" s="731">
        <f>SUM(AE10:AE19)</f>
        <v>0</v>
      </c>
      <c r="AF20" s="732">
        <f>SUM(AF10:AF19)</f>
        <v>0</v>
      </c>
      <c r="AG20" s="94"/>
      <c r="AH20" s="94"/>
      <c r="AI20" s="94"/>
      <c r="AJ20" s="94"/>
      <c r="AK20" s="94"/>
      <c r="AL20" s="94"/>
      <c r="AM20" s="94"/>
      <c r="AN20" s="94"/>
      <c r="AO20" s="94"/>
      <c r="AP20" s="94"/>
      <c r="AQ20" s="93"/>
      <c r="AR20" s="93"/>
      <c r="AS20" s="93"/>
      <c r="AT20" s="93"/>
      <c r="AU20" s="93"/>
      <c r="AV20" s="93"/>
      <c r="AW20" s="93"/>
      <c r="AX20" s="93"/>
      <c r="AY20" s="93"/>
      <c r="AZ20" s="93"/>
      <c r="BA20" s="93"/>
      <c r="BB20" s="93"/>
      <c r="BC20" s="93"/>
      <c r="BD20" s="93"/>
      <c r="BE20" s="93"/>
      <c r="BF20" s="93"/>
      <c r="BG20" s="93"/>
      <c r="BH20" s="93"/>
      <c r="BI20" s="93"/>
      <c r="BJ20" s="93"/>
      <c r="BK20" s="93"/>
      <c r="BL20" s="93"/>
      <c r="BM20" s="93"/>
      <c r="BN20" s="93"/>
      <c r="BO20" s="93"/>
      <c r="BP20" s="93"/>
      <c r="BQ20" s="93"/>
      <c r="BR20" s="93"/>
      <c r="BS20" s="93"/>
      <c r="BT20" s="93"/>
      <c r="BU20" s="93"/>
      <c r="BV20" s="93"/>
      <c r="BW20" s="93"/>
      <c r="BX20" s="93"/>
      <c r="BY20" s="93"/>
      <c r="BZ20" s="93"/>
      <c r="CA20" s="93"/>
      <c r="CB20" s="93"/>
      <c r="CC20" s="85"/>
      <c r="CD20" s="85"/>
      <c r="CE20" s="85"/>
      <c r="CF20" s="85"/>
      <c r="CG20" s="85"/>
      <c r="CH20" s="85"/>
      <c r="CI20" s="86"/>
      <c r="CJ20" s="85"/>
      <c r="CK20" s="85"/>
      <c r="CL20" s="85"/>
      <c r="CM20" s="85"/>
    </row>
    <row r="21" spans="1:146" ht="17.25" customHeight="1" x14ac:dyDescent="0.3">
      <c r="C21" s="94"/>
      <c r="D21" s="94"/>
      <c r="E21" s="94"/>
      <c r="F21" s="94"/>
      <c r="G21" s="94"/>
      <c r="H21" s="94"/>
      <c r="I21" s="94"/>
      <c r="J21" s="94"/>
      <c r="K21" s="854"/>
      <c r="L21" s="854"/>
      <c r="M21" s="416" t="str" cm="1">
        <f t="array" ref="M21">IF(OR($M$8="No Approach Options Used",$M$8="Select Approach Option")=TRUE,'1. Project Inputs'!C44,IFERROR(INDEX('Optional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Estimation'!$G$7)+1)))),ROW(A11))),""))</f>
        <v>[Estimated Bucket 11]</v>
      </c>
      <c r="N21" s="916">
        <f>IF($M$8="Select Approach Option","",IF($M$8='1. Project Inputs'!$C$58,SUMIFS(TB.ScopeEstimation[Weighted Effort Days],TB.ScopeEstimation[Bucket / Phase],M21,TB.ScopeEstimation[Option 1],"Yes"),IF($M$8='1. Project Inputs'!$C$59,SUMIFS(TB.ScopeEstimation[Weighted Effort Days],TB.ScopeEstimation[Bucket / Phase],M21,TB.ScopeEstimation[Option 2],"Yes"),IF($M$8='1. Project Inputs'!$C$60,SUMIFS(TB.ScopeEstimation[Weighted Effort Days],TB.ScopeEstimation[Bucket / Phase],M21,TB.ScopeEstimation[Option 3],"Yes"),IF($M$8="No Approach Options Used",SUMIFS(TB.ScopeEstimation[Weighted Effort Days],TB.ScopeEstimation[Bucket / Phase],M21))))))</f>
        <v>0</v>
      </c>
      <c r="O21" s="920" t="b">
        <f>IF($M$8='1. Project Inputs'!$C$58,'Optional - Scope Options Review'!#REF!,IF($M$8='1. Project Inputs'!$C$59,'Optional - Scope Options Review'!#REF!,IF($M$8='1. Project Inputs'!$C$60,'Optional - Scope Options Review'!#REF!)))</f>
        <v>0</v>
      </c>
      <c r="P21" s="921" t="b">
        <f>IF($M$8='1. Project Inputs'!$C$58,'Optional - Scope Options Review'!#REF!,IF($M$8='1. Project Inputs'!$C$59,'Optional - Scope Options Review'!#REF!,IF($M$8='1. Project Inputs'!$C$60,'Optional - Scope Options Review'!#REF!)))</f>
        <v>0</v>
      </c>
      <c r="Q21" s="919">
        <f t="shared" si="4"/>
        <v>0</v>
      </c>
      <c r="R21" s="1131">
        <f>IFERROR(IF(ISBLANK($S$50),"No Buckets Used below",($Q21-SUMIF(S$50:S159,$M21,Y$50:Y159))),"")</f>
        <v>0</v>
      </c>
      <c r="T21" s="726" t="s">
        <v>228</v>
      </c>
      <c r="U21" s="1122">
        <f>IFERROR(SUMIFS($Y$50:$Y$149,$O$50:$O$149,4,T$50:T$149,"Yes")/SUMIFS($Y$50:$Y$149,T$50:T$149,"Yes"),"")</f>
        <v>0</v>
      </c>
      <c r="V21" s="1122" t="str">
        <f>IFERROR(SUMIFS($Y$50:$Y$149,$O$50:$O$149,4,U$50:U$149,"Yes")/SUMIFS($Y$50:$Y$149,U$50:U$149,"Yes"),"")</f>
        <v/>
      </c>
      <c r="W21" s="1123">
        <f>IFERROR(SUMIFS($Y$50:$Y$149,$O$50:$O$149,4,W$50:W$149,"Yes")/SUMIFS($Y$50:$Y$149,W$50:W$149,"Yes"),"")</f>
        <v>0</v>
      </c>
      <c r="AG21" s="94"/>
      <c r="AH21" s="94"/>
      <c r="AI21" s="94"/>
      <c r="AJ21" s="94"/>
      <c r="AK21" s="94"/>
      <c r="AL21" s="94"/>
      <c r="AM21" s="94"/>
      <c r="AN21" s="94"/>
      <c r="AO21" s="94"/>
      <c r="AP21" s="94"/>
      <c r="AQ21" s="93"/>
      <c r="AR21" s="93"/>
      <c r="AS21" s="93"/>
      <c r="AT21" s="93"/>
      <c r="AU21" s="93"/>
      <c r="AV21" s="93"/>
      <c r="AW21" s="93"/>
      <c r="AX21" s="93"/>
      <c r="AY21" s="93"/>
      <c r="AZ21" s="93"/>
      <c r="BA21" s="93"/>
      <c r="BB21" s="93"/>
      <c r="BC21" s="93"/>
      <c r="BD21" s="93"/>
      <c r="BE21" s="93"/>
      <c r="BF21" s="93"/>
      <c r="BG21" s="93"/>
      <c r="BH21" s="93"/>
      <c r="BI21" s="93"/>
      <c r="BJ21" s="93"/>
      <c r="BK21" s="93"/>
      <c r="BL21" s="93"/>
      <c r="BM21" s="93"/>
      <c r="BN21" s="93"/>
      <c r="BO21" s="93"/>
      <c r="BP21" s="93"/>
      <c r="BQ21" s="93"/>
      <c r="BR21" s="93"/>
      <c r="BS21" s="93"/>
      <c r="BT21" s="93"/>
      <c r="BU21" s="93"/>
      <c r="BV21" s="93"/>
      <c r="BW21" s="93"/>
      <c r="BX21" s="93"/>
      <c r="BY21" s="93"/>
      <c r="BZ21" s="93"/>
      <c r="CA21" s="93"/>
      <c r="CB21" s="93"/>
      <c r="CC21" s="85"/>
      <c r="CD21" s="85"/>
      <c r="CE21" s="85"/>
      <c r="CF21" s="85"/>
      <c r="CG21" s="85"/>
      <c r="CH21" s="85"/>
      <c r="CI21" s="86"/>
      <c r="CJ21" s="85"/>
      <c r="CK21" s="85"/>
      <c r="CL21" s="85"/>
      <c r="CM21" s="85"/>
    </row>
    <row r="22" spans="1:146" ht="23.25" customHeight="1" x14ac:dyDescent="0.3">
      <c r="D22" s="94"/>
      <c r="E22" s="94"/>
      <c r="F22" s="94"/>
      <c r="G22" s="94"/>
      <c r="H22" s="94"/>
      <c r="I22" s="94"/>
      <c r="J22" s="94"/>
      <c r="K22" s="855"/>
      <c r="L22" s="855"/>
      <c r="M22" s="416" t="str" cm="1">
        <f t="array" ref="M22">IF(OR($M$8="No Approach Options Used",$M$8="Select Approach Option")=TRUE,'1. Project Inputs'!C45,IFERROR(INDEX('Optional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Estimation'!$G$7)+1)))),ROW(A12))),""))</f>
        <v>[Estimated Bucket 12]</v>
      </c>
      <c r="N22" s="916">
        <f>IF($M$8="Select Approach Option","",IF($M$8='1. Project Inputs'!$C$58,SUMIFS(TB.ScopeEstimation[Weighted Effort Days],TB.ScopeEstimation[Bucket / Phase],M22,TB.ScopeEstimation[Option 1],"Yes"),IF($M$8='1. Project Inputs'!$C$59,SUMIFS(TB.ScopeEstimation[Weighted Effort Days],TB.ScopeEstimation[Bucket / Phase],M22,TB.ScopeEstimation[Option 2],"Yes"),IF($M$8='1. Project Inputs'!$C$60,SUMIFS(TB.ScopeEstimation[Weighted Effort Days],TB.ScopeEstimation[Bucket / Phase],M22,TB.ScopeEstimation[Option 3],"Yes"),IF($M$8="No Approach Options Used",SUMIFS(TB.ScopeEstimation[Weighted Effort Days],TB.ScopeEstimation[Bucket / Phase],M22))))))</f>
        <v>0</v>
      </c>
      <c r="O22" s="920" t="b">
        <f>IF($M$8='1. Project Inputs'!$C$58,'Optional - Scope Options Review'!#REF!,IF($M$8='1. Project Inputs'!$C$59,'Optional - Scope Options Review'!#REF!,IF($M$8='1. Project Inputs'!$C$60,'Optional - Scope Options Review'!#REF!)))</f>
        <v>0</v>
      </c>
      <c r="P22" s="921" t="b">
        <f>IF($M$8='1. Project Inputs'!$C$58,'Optional - Scope Options Review'!#REF!,IF($M$8='1. Project Inputs'!$C$59,'Optional - Scope Options Review'!#REF!,IF($M$8='1. Project Inputs'!$C$60,'Optional - Scope Options Review'!#REF!)))</f>
        <v>0</v>
      </c>
      <c r="Q22" s="919">
        <f t="shared" si="4"/>
        <v>0</v>
      </c>
      <c r="R22" s="1131">
        <f>IFERROR(IF(ISBLANK($S$50),"No Buckets Used below",($Q22-SUMIF(S$50:S160,$M22,Y$50:Y160))),"")</f>
        <v>0</v>
      </c>
      <c r="T22" s="726" t="s">
        <v>229</v>
      </c>
      <c r="U22" s="1143">
        <f>IFERROR(SUMIFS($Y$50:$Y$149,$O$50:$O$149,5,T$50:T$149,"Yes")/SUMIFS($Y$50:$Y$149,T$50:T$149,"Yes"),"")</f>
        <v>0</v>
      </c>
      <c r="V22" s="1143" t="str">
        <f>IFERROR(SUMIFS($Y$50:$Y$149,$O$50:$O$149,5,U$50:U$149,"Yes")/SUMIFS($Y$50:$Y$149,U$50:U$149,"Yes"),"")</f>
        <v/>
      </c>
      <c r="W22" s="1144">
        <f>IFERROR(SUMIFS($Y$50:$Y$149,$O$50:$O$149,5,W$50:W$149,"Yes")/SUMIFS($Y$50:$Y$149,W$50:W$149,"Yes"),"")</f>
        <v>0</v>
      </c>
      <c r="AG22" s="94"/>
      <c r="AH22" s="94"/>
      <c r="AI22" s="94"/>
      <c r="AJ22" s="94"/>
      <c r="AK22" s="94"/>
      <c r="AL22" s="94"/>
      <c r="AM22" s="94"/>
      <c r="AN22" s="94"/>
      <c r="AO22" s="94"/>
      <c r="AP22" s="94"/>
      <c r="AQ22" s="93"/>
      <c r="AR22" s="93"/>
      <c r="AS22" s="93"/>
      <c r="AT22" s="93"/>
      <c r="AU22" s="93"/>
      <c r="AV22" s="93"/>
      <c r="AW22" s="93"/>
      <c r="AX22" s="93"/>
      <c r="AY22" s="93"/>
      <c r="AZ22" s="93"/>
      <c r="BA22" s="93"/>
      <c r="BB22" s="93"/>
      <c r="BC22" s="93"/>
      <c r="BD22" s="93"/>
      <c r="BE22" s="93"/>
      <c r="BF22" s="93"/>
      <c r="BG22" s="93"/>
      <c r="BH22" s="93"/>
      <c r="BI22" s="93"/>
      <c r="BJ22" s="93"/>
      <c r="BK22" s="93"/>
      <c r="BL22" s="93"/>
      <c r="BM22" s="93"/>
      <c r="BN22" s="93"/>
      <c r="BO22" s="93"/>
      <c r="BP22" s="93"/>
      <c r="BQ22" s="93"/>
      <c r="BR22" s="93"/>
      <c r="BS22" s="93"/>
      <c r="BT22" s="93"/>
      <c r="BU22" s="93"/>
      <c r="BV22" s="93"/>
      <c r="BW22" s="93"/>
      <c r="BX22" s="93"/>
      <c r="BY22" s="93"/>
      <c r="BZ22" s="93"/>
      <c r="CA22" s="93"/>
      <c r="CB22" s="93"/>
      <c r="CC22" s="85"/>
      <c r="CD22" s="85"/>
      <c r="CE22" s="85"/>
      <c r="CF22" s="85"/>
      <c r="CG22" s="85"/>
      <c r="CH22" s="85"/>
      <c r="CI22" s="86"/>
      <c r="CJ22" s="85"/>
      <c r="CK22" s="85"/>
      <c r="CL22" s="85"/>
      <c r="CM22" s="85"/>
    </row>
    <row r="23" spans="1:146" ht="15" thickBot="1" x14ac:dyDescent="0.35">
      <c r="C23" s="1028" t="s">
        <v>230</v>
      </c>
      <c r="D23" s="94"/>
      <c r="E23" s="94"/>
      <c r="F23" s="94"/>
      <c r="G23" s="94"/>
      <c r="H23" s="94"/>
      <c r="I23" s="94"/>
      <c r="J23" s="94"/>
      <c r="K23" s="94"/>
      <c r="L23" s="94"/>
      <c r="M23" s="416" t="str" cm="1">
        <f t="array" ref="M23">IF(OR($M$8="No Approach Options Used",$M$8="Select Approach Option")=TRUE,'1. Project Inputs'!C46,IFERROR(INDEX('Optional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Estimation'!$G$7)+1)))),ROW(A13))),""))</f>
        <v>[Estimated Bucket 13]</v>
      </c>
      <c r="N23" s="916">
        <f>IF($M$8="Select Approach Option","",IF($M$8='1. Project Inputs'!$C$58,SUMIFS(TB.ScopeEstimation[Weighted Effort Days],TB.ScopeEstimation[Bucket / Phase],M23,TB.ScopeEstimation[Option 1],"Yes"),IF($M$8='1. Project Inputs'!$C$59,SUMIFS(TB.ScopeEstimation[Weighted Effort Days],TB.ScopeEstimation[Bucket / Phase],M23,TB.ScopeEstimation[Option 2],"Yes"),IF($M$8='1. Project Inputs'!$C$60,SUMIFS(TB.ScopeEstimation[Weighted Effort Days],TB.ScopeEstimation[Bucket / Phase],M23,TB.ScopeEstimation[Option 3],"Yes"),IF($M$8="No Approach Options Used",SUMIFS(TB.ScopeEstimation[Weighted Effort Days],TB.ScopeEstimation[Bucket / Phase],M23))))))</f>
        <v>0</v>
      </c>
      <c r="O23" s="922">
        <f>SUM(O11:O22)</f>
        <v>0</v>
      </c>
      <c r="P23" s="922">
        <f>SUM(P11:P22)</f>
        <v>0</v>
      </c>
      <c r="Q23" s="919">
        <f t="shared" si="4"/>
        <v>0</v>
      </c>
      <c r="R23" s="1131">
        <f>IFERROR(IF(ISBLANK($S$50),"No Buckets Used below",($Q23-SUMIF(S$50:S161,$M23,Y$50:Y161))),"")</f>
        <v>0</v>
      </c>
      <c r="T23" s="726" t="s">
        <v>231</v>
      </c>
      <c r="U23" s="1122">
        <f>IFERROR(SUMIFS($Y$50:$Y$149,$O$50:$O$149,6,T$50:T$149,"Yes")/SUMIFS($Y$50:$Y$149,T$50:T$149,"Yes"),"")</f>
        <v>0</v>
      </c>
      <c r="V23" s="1122" t="str">
        <f>IFERROR(SUMIFS($Y$50:$Y$149,$O$50:$O$149,6,U$50:U$149,"Yes")/SUMIFS($Y$50:$Y$149,U$50:U$149,"Yes"),"")</f>
        <v/>
      </c>
      <c r="W23" s="1123">
        <f>IFERROR(SUMIFS($Y$50:$Y$149,$O$50:$O$149,6,W$50:W$149,"Yes")/SUMIFS($Y$50:$Y$149,W$50:W$149,"Yes"),"")</f>
        <v>0</v>
      </c>
      <c r="AQ23" s="93"/>
      <c r="AR23" s="93"/>
      <c r="AS23" s="93"/>
      <c r="AT23" s="93"/>
      <c r="AU23" s="93"/>
      <c r="AV23" s="93"/>
      <c r="AW23" s="93"/>
      <c r="AX23" s="93"/>
      <c r="AY23" s="93"/>
      <c r="AZ23" s="93"/>
      <c r="BA23" s="93"/>
      <c r="BB23" s="93"/>
      <c r="BC23" s="93"/>
      <c r="BD23" s="93"/>
      <c r="BE23" s="93"/>
      <c r="BF23" s="93"/>
      <c r="BG23" s="93"/>
      <c r="BH23" s="93"/>
      <c r="BI23" s="93"/>
      <c r="BJ23" s="93"/>
      <c r="BK23" s="93"/>
      <c r="BL23" s="93"/>
      <c r="BM23" s="93"/>
      <c r="BN23" s="93"/>
      <c r="BO23" s="93"/>
      <c r="BP23" s="93"/>
      <c r="BQ23" s="93"/>
      <c r="BR23" s="93"/>
      <c r="BS23" s="93"/>
      <c r="BT23" s="93"/>
      <c r="BU23" s="93"/>
      <c r="BV23" s="93"/>
      <c r="BW23" s="93"/>
      <c r="BX23" s="93"/>
      <c r="BY23" s="93"/>
      <c r="BZ23" s="93"/>
      <c r="CA23" s="93"/>
      <c r="CB23" s="93"/>
      <c r="CC23" s="85"/>
      <c r="CD23" s="85"/>
      <c r="CE23" s="85"/>
      <c r="CF23" s="85"/>
      <c r="CG23" s="85"/>
      <c r="CH23" s="85"/>
      <c r="CI23" s="86"/>
      <c r="CJ23" s="85"/>
      <c r="CK23" s="85"/>
      <c r="CL23" s="85"/>
      <c r="CM23" s="85"/>
    </row>
    <row r="24" spans="1:146" ht="18" customHeight="1" thickBot="1" x14ac:dyDescent="0.35">
      <c r="C24" s="1642" t="s">
        <v>232</v>
      </c>
      <c r="D24" s="1643"/>
      <c r="E24" s="846"/>
      <c r="F24" s="846"/>
      <c r="G24" s="846"/>
      <c r="H24" s="846"/>
      <c r="I24" s="846"/>
      <c r="J24" s="846"/>
      <c r="K24" s="94"/>
      <c r="L24" s="94"/>
      <c r="M24" s="416" t="str" cm="1">
        <f t="array" ref="M24">IF(OR($M$8="No Approach Options Used",$M$8="Select Approach Option")=TRUE,'1. Project Inputs'!C47,IFERROR(INDEX('Optional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Estimation'!$G$7)+1)))),ROW(A14))),""))</f>
        <v>[Estimated Bucket 14]</v>
      </c>
      <c r="N24" s="916">
        <f>IF($M$8="Select Approach Option","",IF($M$8='1. Project Inputs'!$C$58,SUMIFS(TB.ScopeEstimation[Weighted Effort Days],TB.ScopeEstimation[Bucket / Phase],M24,TB.ScopeEstimation[Option 1],"Yes"),IF($M$8='1. Project Inputs'!$C$59,SUMIFS(TB.ScopeEstimation[Weighted Effort Days],TB.ScopeEstimation[Bucket / Phase],M24,TB.ScopeEstimation[Option 2],"Yes"),IF($M$8='1. Project Inputs'!$C$60,SUMIFS(TB.ScopeEstimation[Weighted Effort Days],TB.ScopeEstimation[Bucket / Phase],M24,TB.ScopeEstimation[Option 3],"Yes"),IF($M$8="No Approach Options Used",SUMIFS(TB.ScopeEstimation[Weighted Effort Days],TB.ScopeEstimation[Bucket / Phase],M24))))))</f>
        <v>0</v>
      </c>
      <c r="O24" s="897"/>
      <c r="P24" s="1132"/>
      <c r="Q24" s="919">
        <f t="shared" si="4"/>
        <v>0</v>
      </c>
      <c r="R24" s="1131">
        <f>IFERROR(IF(ISBLANK($S$50),"No Buckets Used below",($Q24-SUMIF(S$50:S162,$M24,Y$50:Y162))),"")</f>
        <v>0</v>
      </c>
      <c r="T24" s="726" t="s">
        <v>233</v>
      </c>
      <c r="U24" s="1122">
        <f>IFERROR(SUMIFS($Y$50:$Y$149,$O$50:$O$149,7,T$50:T$149,"Yes")/SUMIFS($Y$50:$Y$149,T$50:T$149,"Yes"),"")</f>
        <v>0</v>
      </c>
      <c r="V24" s="1122" t="str">
        <f>IFERROR(SUMIFS($Y$50:$Y$149,$O$50:$O$149,7,U$50:U$149,"Yes")/SUMIFS($Y$50:$Y$149,U$50:U$149,"Yes"),"")</f>
        <v/>
      </c>
      <c r="W24" s="1123">
        <f>IFERROR(SUMIFS($Y$50:$Y$149,$O$50:$O$149,7,W$50:W$149,"Yes")/SUMIFS($Y$50:$Y$149,W$50:W$149,"Yes"),"")</f>
        <v>0</v>
      </c>
      <c r="AQ24" s="93"/>
      <c r="AR24" s="93"/>
      <c r="AS24" s="93"/>
      <c r="AT24" s="93"/>
      <c r="AU24" s="93"/>
      <c r="AV24" s="93"/>
      <c r="AW24" s="93"/>
      <c r="AX24" s="93"/>
      <c r="AY24" s="93"/>
      <c r="AZ24" s="93"/>
      <c r="BA24" s="93"/>
      <c r="BB24" s="93"/>
      <c r="BC24" s="93"/>
      <c r="BD24" s="93"/>
      <c r="BE24" s="93"/>
      <c r="BF24" s="93"/>
      <c r="BG24" s="93"/>
      <c r="BH24" s="93"/>
      <c r="BI24" s="93"/>
      <c r="BJ24" s="93"/>
      <c r="BK24" s="93"/>
      <c r="BL24" s="93"/>
      <c r="BM24" s="93"/>
      <c r="BN24" s="93"/>
      <c r="BO24" s="93"/>
      <c r="BP24" s="93"/>
      <c r="BQ24" s="93"/>
      <c r="BR24" s="93"/>
      <c r="BS24" s="93"/>
      <c r="BT24" s="93"/>
      <c r="BU24" s="93"/>
      <c r="BV24" s="93"/>
      <c r="BW24" s="93"/>
      <c r="BX24" s="93"/>
      <c r="BY24" s="93"/>
      <c r="BZ24" s="93"/>
      <c r="CA24" s="93"/>
      <c r="CB24" s="93"/>
      <c r="CC24" s="85"/>
      <c r="CD24" s="85"/>
      <c r="CE24" s="85"/>
      <c r="CF24" s="85"/>
      <c r="CG24" s="85"/>
      <c r="CH24" s="85"/>
      <c r="CI24" s="86"/>
      <c r="CJ24" s="85"/>
      <c r="CK24" s="85"/>
      <c r="CL24" s="85"/>
      <c r="CM24" s="85"/>
    </row>
    <row r="25" spans="1:146" ht="15.6" thickTop="1" thickBot="1" x14ac:dyDescent="0.35">
      <c r="C25" s="1061" t="s">
        <v>219</v>
      </c>
      <c r="D25" s="1077">
        <f>SUM($CH$50:$CH$149)</f>
        <v>358000</v>
      </c>
      <c r="E25" s="856"/>
      <c r="F25" s="856"/>
      <c r="G25" s="856"/>
      <c r="H25" s="856"/>
      <c r="I25" s="856"/>
      <c r="J25" s="856"/>
      <c r="K25" s="211"/>
      <c r="L25" s="211"/>
      <c r="M25" s="416" t="str" cm="1">
        <f t="array" ref="M25">IF(OR($M$8="No Approach Options Used",$M$8="Select Approach Option")=TRUE,'1. Project Inputs'!C48,IFERROR(INDEX('Optional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Estimation'!$G$7)+1)))),ROW(A15))),""))</f>
        <v>[Estimated Bucket 15]</v>
      </c>
      <c r="N25" s="916">
        <f>IF($M$8="Select Approach Option","",IF($M$8='1. Project Inputs'!$C$58,SUMIFS(TB.ScopeEstimation[Weighted Effort Days],TB.ScopeEstimation[Bucket / Phase],M25,TB.ScopeEstimation[Option 1],"Yes"),IF($M$8='1. Project Inputs'!$C$59,SUMIFS(TB.ScopeEstimation[Weighted Effort Days],TB.ScopeEstimation[Bucket / Phase],M25,TB.ScopeEstimation[Option 2],"Yes"),IF($M$8='1. Project Inputs'!$C$60,SUMIFS(TB.ScopeEstimation[Weighted Effort Days],TB.ScopeEstimation[Bucket / Phase],M25,TB.ScopeEstimation[Option 3],"Yes"),IF($M$8="No Approach Options Used",SUMIFS(TB.ScopeEstimation[Weighted Effort Days],TB.ScopeEstimation[Bucket / Phase],M25))))))</f>
        <v>0</v>
      </c>
      <c r="O25" s="923"/>
      <c r="P25" s="1133"/>
      <c r="Q25" s="919">
        <f t="shared" si="4"/>
        <v>0</v>
      </c>
      <c r="R25" s="1131">
        <f>IFERROR(IF(ISBLANK($S$50),"No Buckets Used below",($Q25-SUMIF(S$50:S163,$M25,Y$50:Y163))),"")</f>
        <v>0</v>
      </c>
      <c r="T25" s="926" t="s">
        <v>234</v>
      </c>
      <c r="U25" s="1117">
        <f>IFERROR(SUMIFS($Y$50:$Y149,$P$50:$P$149,"Onshore",T$50:T$149,"Yes")/SUMIFS($Y50:$Y$149,T$50:T$149,"Yes"),"")</f>
        <v>1</v>
      </c>
      <c r="V25" s="1118" t="str">
        <f>IFERROR(SUMIFS($Y$50:$Y149,$P$50:$P$149,"Onshore",U$50:U$149,"Yes")/SUMIFS($Y50:$Y$149,U$50:U$149,"Yes"),"")</f>
        <v/>
      </c>
      <c r="W25" s="1119">
        <f>IFERROR(SUMIFS($Y$50:$Y149,$P$50:$P$149,"Onshore",W$50:W$149,"Yes")/SUMIFS($Y50:$Y$149,W$50:W$149,"Yes"),"")</f>
        <v>1</v>
      </c>
      <c r="AN25" s="93"/>
      <c r="AO25" s="93"/>
      <c r="AP25" s="1021"/>
      <c r="AQ25" s="93"/>
      <c r="AR25" s="93"/>
      <c r="AS25" s="93"/>
      <c r="AT25" s="93"/>
      <c r="AU25" s="93"/>
      <c r="AV25" s="93"/>
      <c r="AW25" s="93"/>
      <c r="AX25" s="93"/>
      <c r="AY25" s="93"/>
      <c r="AZ25" s="93"/>
      <c r="BA25" s="93"/>
      <c r="BB25" s="93"/>
      <c r="BC25" s="93"/>
      <c r="BD25" s="93"/>
      <c r="BE25" s="93"/>
      <c r="BF25" s="93"/>
      <c r="BG25" s="93"/>
      <c r="BH25" s="93"/>
      <c r="BI25" s="93"/>
      <c r="BJ25" s="93"/>
      <c r="BK25" s="93"/>
      <c r="BL25" s="93"/>
      <c r="BM25" s="93"/>
      <c r="BN25" s="93"/>
      <c r="BO25" s="93"/>
      <c r="BP25" s="93"/>
      <c r="BQ25" s="93"/>
      <c r="BR25" s="93"/>
      <c r="BS25" s="93"/>
      <c r="BT25" s="93"/>
      <c r="BU25" s="93"/>
      <c r="BV25" s="93"/>
      <c r="BW25" s="93"/>
      <c r="BX25" s="93"/>
      <c r="BY25" s="93"/>
      <c r="BZ25" s="93"/>
      <c r="CA25" s="93"/>
      <c r="CB25" s="93"/>
      <c r="CC25" s="85"/>
      <c r="CD25" s="85"/>
      <c r="CE25" s="85"/>
      <c r="CF25" s="85"/>
      <c r="CG25" s="85"/>
      <c r="CH25" s="85"/>
      <c r="CI25" s="86"/>
      <c r="CJ25" s="85"/>
      <c r="CK25" s="85"/>
      <c r="CL25" s="85"/>
      <c r="CM25" s="85"/>
    </row>
    <row r="26" spans="1:146" ht="27.6" x14ac:dyDescent="0.3">
      <c r="C26" s="1061" t="s">
        <v>1629</v>
      </c>
      <c r="D26" s="1060">
        <v>0.05</v>
      </c>
      <c r="E26" s="814"/>
      <c r="F26" s="814"/>
      <c r="G26" s="814"/>
      <c r="H26" s="814"/>
      <c r="I26" s="814"/>
      <c r="J26" s="814"/>
      <c r="K26" s="94"/>
      <c r="L26" s="94"/>
      <c r="M26" s="416" t="str" cm="1">
        <f t="array" ref="M26">IF(OR($M$8="No Approach Options Used",$M$8="Select Approach Option")=TRUE,'1. Project Inputs'!C49,IFERROR(INDEX('Optional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Estimation'!$G$7)+1)))),ROW(A16))),""))</f>
        <v>[Estimated Bucket 16]</v>
      </c>
      <c r="N26" s="916">
        <f>IF($M$8="Select Approach Option","",IF($M$8='1. Project Inputs'!$C$58,SUMIFS(TB.ScopeEstimation[Weighted Effort Days],TB.ScopeEstimation[Bucket / Phase],M26,TB.ScopeEstimation[Option 1],"Yes"),IF($M$8='1. Project Inputs'!$C$59,SUMIFS(TB.ScopeEstimation[Weighted Effort Days],TB.ScopeEstimation[Bucket / Phase],M26,TB.ScopeEstimation[Option 2],"Yes"),IF($M$8='1. Project Inputs'!$C$60,SUMIFS(TB.ScopeEstimation[Weighted Effort Days],TB.ScopeEstimation[Bucket / Phase],M26,TB.ScopeEstimation[Option 3],"Yes"),IF($M$8="No Approach Options Used",SUMIFS(TB.ScopeEstimation[Weighted Effort Days],TB.ScopeEstimation[Bucket / Phase],M26))))))</f>
        <v>0</v>
      </c>
      <c r="O26" s="107"/>
      <c r="P26" s="107"/>
      <c r="Q26" s="919">
        <f t="shared" si="4"/>
        <v>0</v>
      </c>
      <c r="R26" s="1131">
        <f>IFERROR(IF(ISBLANK($S$50),"No Buckets Used below",($Q26-SUMIF(S$50:S164,$M26,Y$50:Y164))),"")</f>
        <v>0</v>
      </c>
      <c r="S26" s="126"/>
      <c r="T26" s="926" t="s">
        <v>235</v>
      </c>
      <c r="U26" s="1142">
        <f>IFERROR(SUMIFS($Y$50:Y149,$P$50:$P$149,"Offshore",T$50:T$149,"Yes")/SUMIFS($Y$50:$Y$149,T$50:T$149,"Yes"),"")</f>
        <v>0</v>
      </c>
      <c r="V26" s="1120" t="str">
        <f>IFERROR(SUMIFS($Y$50:Z149,$P$50:$P$149,"Offshore",U$50:U$149,"Yes")/SUMIFS($Y$50:$Y$149,U$50:U$149,"Yes"),"")</f>
        <v/>
      </c>
      <c r="W26" s="1121" t="str">
        <f>IFERROR(SUMIFS($Y$50:AA149,$P$50:$P$149,"Offshore",W$50:W$149,"Yes")/SUMIFS($Y$50:$Y$149,W$50:W$149,"Yes"),"")</f>
        <v/>
      </c>
      <c r="AN26" s="93"/>
      <c r="AO26" s="93"/>
      <c r="AP26" s="93"/>
      <c r="AQ26" s="93"/>
      <c r="AR26" s="93"/>
      <c r="AS26" s="93"/>
      <c r="AT26" s="93"/>
      <c r="AU26" s="93"/>
      <c r="AV26" s="93"/>
      <c r="AW26" s="93"/>
      <c r="AX26" s="93"/>
      <c r="AY26" s="93"/>
      <c r="AZ26" s="93"/>
      <c r="BA26" s="93"/>
      <c r="BB26" s="93"/>
      <c r="BC26" s="93"/>
      <c r="BD26" s="93"/>
      <c r="BE26" s="93"/>
      <c r="BF26" s="93"/>
      <c r="BG26" s="93"/>
      <c r="BH26" s="93"/>
      <c r="BI26" s="93"/>
      <c r="BJ26" s="93"/>
      <c r="BK26" s="93"/>
      <c r="BL26" s="93"/>
      <c r="BM26" s="93"/>
      <c r="BN26" s="93"/>
      <c r="BO26" s="93"/>
      <c r="BP26" s="93"/>
      <c r="BQ26" s="93"/>
      <c r="BR26" s="93"/>
      <c r="BS26" s="93"/>
      <c r="BT26" s="93"/>
      <c r="BU26" s="93"/>
      <c r="BV26" s="93"/>
      <c r="BW26" s="93"/>
      <c r="BX26" s="93"/>
      <c r="BY26" s="93"/>
      <c r="BZ26" s="93"/>
      <c r="CA26" s="93"/>
      <c r="CB26" s="93"/>
      <c r="CC26" s="85"/>
      <c r="CD26" s="85"/>
      <c r="CE26" s="85"/>
      <c r="CF26" s="1022"/>
      <c r="CG26" s="85"/>
      <c r="CH26" s="85"/>
      <c r="CI26" s="86"/>
      <c r="CJ26" s="85"/>
      <c r="CK26" s="85"/>
      <c r="CL26" s="85"/>
      <c r="CM26" s="85"/>
    </row>
    <row r="27" spans="1:146" ht="16.2" thickBot="1" x14ac:dyDescent="0.35">
      <c r="C27" s="663" t="s">
        <v>1849</v>
      </c>
      <c r="D27" s="1181">
        <f>IFERROR(D25*D26,"Enter Contigency % Above")</f>
        <v>17900</v>
      </c>
      <c r="E27" s="857"/>
      <c r="F27" s="857"/>
      <c r="G27" s="857"/>
      <c r="H27" s="857"/>
      <c r="I27" s="857"/>
      <c r="J27" s="857"/>
      <c r="K27" s="94"/>
      <c r="L27" s="94"/>
      <c r="M27" s="416" t="str" cm="1">
        <f t="array" ref="M27">IF(OR($M$8="No Approach Options Used",$M$8="Select Approach Option")=TRUE,'1. Project Inputs'!C50,IFERROR(INDEX('Optional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Estimation'!$G$7)+1)))),ROW(A17))),""))</f>
        <v>[Estimated Bucket 17]</v>
      </c>
      <c r="N27" s="916">
        <f>IF($M$8="Select Approach Option","",IF($M$8='1. Project Inputs'!$C$58,SUMIFS(TB.ScopeEstimation[Weighted Effort Days],TB.ScopeEstimation[Bucket / Phase],M27,TB.ScopeEstimation[Option 1],"Yes"),IF($M$8='1. Project Inputs'!$C$59,SUMIFS(TB.ScopeEstimation[Weighted Effort Days],TB.ScopeEstimation[Bucket / Phase],M27,TB.ScopeEstimation[Option 2],"Yes"),IF($M$8='1. Project Inputs'!$C$60,SUMIFS(TB.ScopeEstimation[Weighted Effort Days],TB.ScopeEstimation[Bucket / Phase],M27,TB.ScopeEstimation[Option 3],"Yes"),IF($M$8="No Approach Options Used",SUMIFS(TB.ScopeEstimation[Weighted Effort Days],TB.ScopeEstimation[Bucket / Phase],M27))))))</f>
        <v>0</v>
      </c>
      <c r="O27" s="1133"/>
      <c r="P27" s="107"/>
      <c r="Q27" s="919">
        <f t="shared" si="4"/>
        <v>0</v>
      </c>
      <c r="R27" s="1131">
        <f>IFERROR(IF(ISBLANK($S$50),"No Buckets Used below",($Q27-SUMIF(S$50:S165,$M27,Y$50:Y165))),"")</f>
        <v>0</v>
      </c>
      <c r="T27" s="927" t="s">
        <v>236</v>
      </c>
      <c r="U27" s="1124">
        <f>IFERROR(IF(COUNTIF($T$50:$T$149,"yes")=0,"",COUNTIF($T$50:$T$149,"yes")),"")</f>
        <v>2</v>
      </c>
      <c r="V27" s="1125" t="str">
        <f>IFERROR(IF(COUNTIF($U$50:$U$149,"yes")=0,"",COUNTIF($U$50:$U$149,"yes")),"")</f>
        <v/>
      </c>
      <c r="W27" s="1126">
        <f>IFERROR(IF(COUNTIF($W$50:$W$149,"yes")=0,"",COUNTIF($W$50:$W$149,"yes")),"")</f>
        <v>1</v>
      </c>
      <c r="AN27" s="93"/>
      <c r="AO27" s="93"/>
      <c r="AP27" s="93"/>
      <c r="AQ27" s="93"/>
      <c r="AR27" s="93"/>
      <c r="AS27" s="93"/>
      <c r="AT27" s="93"/>
      <c r="AU27" s="93"/>
      <c r="AV27" s="93"/>
      <c r="AW27" s="93"/>
      <c r="AX27" s="93"/>
      <c r="AY27" s="93"/>
      <c r="AZ27" s="93"/>
      <c r="BA27" s="93"/>
      <c r="BB27" s="93"/>
      <c r="BC27" s="93"/>
      <c r="BD27" s="93"/>
      <c r="BE27" s="93"/>
      <c r="BF27" s="93"/>
      <c r="BG27" s="93"/>
      <c r="BH27" s="93"/>
      <c r="BI27" s="93"/>
      <c r="BJ27" s="93"/>
      <c r="BK27" s="93"/>
      <c r="BL27" s="93"/>
      <c r="BM27" s="93"/>
      <c r="BN27" s="93"/>
      <c r="BO27" s="93"/>
      <c r="BP27" s="93"/>
      <c r="BQ27" s="93"/>
      <c r="BR27" s="93"/>
      <c r="BS27" s="93"/>
      <c r="BT27" s="93"/>
      <c r="BU27" s="93"/>
      <c r="BV27" s="93"/>
      <c r="BW27" s="93"/>
      <c r="BX27" s="93"/>
      <c r="BY27" s="93"/>
      <c r="BZ27" s="93"/>
      <c r="CA27" s="93"/>
      <c r="CB27" s="93"/>
      <c r="CC27" s="85"/>
      <c r="CD27" s="85"/>
      <c r="CE27" s="85"/>
      <c r="CF27" s="85"/>
      <c r="CG27" s="85"/>
      <c r="CH27" s="85"/>
      <c r="CI27" s="86"/>
      <c r="CJ27" s="85"/>
      <c r="CK27" s="85"/>
      <c r="CL27" s="85"/>
      <c r="CM27" s="85"/>
    </row>
    <row r="28" spans="1:146" ht="15.6" x14ac:dyDescent="0.3">
      <c r="C28" s="663" t="s">
        <v>220</v>
      </c>
      <c r="D28" s="664">
        <f>IF(D15="Manual Entry","",SUM($CI$50:$CI$149))</f>
        <v>194100</v>
      </c>
      <c r="E28" s="858"/>
      <c r="F28" s="858"/>
      <c r="G28" s="858"/>
      <c r="H28" s="858"/>
      <c r="I28" s="858"/>
      <c r="J28" s="858"/>
      <c r="K28" s="94"/>
      <c r="L28" s="94"/>
      <c r="M28" s="416" t="str" cm="1">
        <f t="array" ref="M28">IF(OR($M$8="No Approach Options Used",$M$8="Select Approach Option")=TRUE,'1. Project Inputs'!C51,IFERROR(INDEX('Optional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Estimation'!$G$7)+1)))),ROW(A18))),""))</f>
        <v>[Estimated Bucket 18]</v>
      </c>
      <c r="N28" s="916">
        <f>IF($M$8="Select Approach Option","",IF($M$8='1. Project Inputs'!$C$58,SUMIFS(TB.ScopeEstimation[Weighted Effort Days],TB.ScopeEstimation[Bucket / Phase],M28,TB.ScopeEstimation[Option 1],"Yes"),IF($M$8='1. Project Inputs'!$C$59,SUMIFS(TB.ScopeEstimation[Weighted Effort Days],TB.ScopeEstimation[Bucket / Phase],M28,TB.ScopeEstimation[Option 2],"Yes"),IF($M$8='1. Project Inputs'!$C$60,SUMIFS(TB.ScopeEstimation[Weighted Effort Days],TB.ScopeEstimation[Bucket / Phase],M28,TB.ScopeEstimation[Option 3],"Yes"),IF($M$8="No Approach Options Used",SUMIFS(TB.ScopeEstimation[Weighted Effort Days],TB.ScopeEstimation[Bucket / Phase],M28))))))</f>
        <v>0</v>
      </c>
      <c r="O28" s="1133" t="b">
        <f>IF($M$8='1. Project Inputs'!$C$58,'Optional - Scope Options Review'!#REF!,IF($M$8='1. Project Inputs'!$C$59,'Optional - Scope Options Review'!#REF!,IF($M$8='1. Project Inputs'!$C$60,'Optional - Scope Options Review'!#REF!)))</f>
        <v>0</v>
      </c>
      <c r="P28" s="107" t="b">
        <f>IF($M$8='1. Project Inputs'!$C$58,'Optional - Scope Options Review'!#REF!,IF($M$8='1. Project Inputs'!$C$59,'Optional - Scope Options Review'!#REF!,IF($M$8='1. Project Inputs'!$C$60,'Optional - Scope Options Review'!#REF!)))</f>
        <v>0</v>
      </c>
      <c r="Q28" s="919">
        <f t="shared" si="4"/>
        <v>0</v>
      </c>
      <c r="R28" s="1131">
        <f>IFERROR(IF(ISBLANK($S$50),"No Buckets Used below",($Q28-SUMIF(S$50:S166,$M28,Y$50:Y166))),"")</f>
        <v>0</v>
      </c>
      <c r="S28" s="126"/>
      <c r="T28" s="126"/>
      <c r="U28" s="126"/>
      <c r="V28" s="126"/>
      <c r="W28" s="126"/>
      <c r="AI28" t="s">
        <v>2459</v>
      </c>
      <c r="AN28" s="93"/>
      <c r="AO28" s="93"/>
      <c r="AP28" s="93"/>
      <c r="AQ28" s="93"/>
      <c r="AR28" s="93"/>
      <c r="AS28" s="93"/>
      <c r="AT28" s="93"/>
      <c r="AU28" s="93"/>
      <c r="AV28" s="93"/>
      <c r="AW28" s="93"/>
      <c r="AX28" s="93"/>
      <c r="AY28" s="93"/>
      <c r="AZ28" s="93"/>
      <c r="BA28" s="93"/>
      <c r="BB28" s="93"/>
      <c r="BC28" s="93"/>
      <c r="BD28" s="93"/>
      <c r="BE28" s="93"/>
      <c r="BF28" s="93"/>
      <c r="BG28" s="93"/>
      <c r="BH28" s="93"/>
      <c r="BI28" s="93"/>
      <c r="BJ28" s="93"/>
      <c r="BK28" s="93"/>
      <c r="BL28" s="93"/>
      <c r="BM28" s="93"/>
      <c r="BN28" s="93"/>
      <c r="BO28" s="93"/>
      <c r="BP28" s="93"/>
      <c r="BQ28" s="93"/>
      <c r="BR28" s="93"/>
      <c r="BS28" s="93"/>
      <c r="BT28" s="93"/>
      <c r="BU28" s="93"/>
      <c r="BV28" s="93"/>
      <c r="BW28" s="93"/>
      <c r="BX28" s="93"/>
      <c r="BY28" s="93"/>
      <c r="BZ28" s="93"/>
      <c r="CA28" s="93"/>
      <c r="CB28" s="93"/>
      <c r="CC28" s="85"/>
      <c r="CD28" s="85"/>
      <c r="CE28" s="85"/>
      <c r="CF28" s="85"/>
      <c r="CG28" s="85"/>
      <c r="CH28" s="85"/>
      <c r="CI28" s="86"/>
      <c r="CJ28" s="85"/>
      <c r="CK28" s="85"/>
      <c r="CL28" s="85"/>
      <c r="CM28" s="85"/>
    </row>
    <row r="29" spans="1:146" ht="15.6" x14ac:dyDescent="0.3">
      <c r="C29" s="663" t="s">
        <v>221</v>
      </c>
      <c r="D29" s="664">
        <f>'4. Financial Summary &amp; Totals'!$D$31</f>
        <v>159.82142857142858</v>
      </c>
      <c r="E29" s="94"/>
      <c r="F29" s="94"/>
      <c r="G29" s="94"/>
      <c r="H29" s="94"/>
      <c r="I29" s="94"/>
      <c r="J29" s="94"/>
      <c r="K29" s="94"/>
      <c r="L29" s="94"/>
      <c r="M29" s="416" t="str" cm="1">
        <f t="array" ref="M29">IF(OR($M$8="No Approach Options Used",$M$8="Select Approach Option")=TRUE,'1. Project Inputs'!C52,IFERROR(INDEX('Optional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Estimation'!$G$7)+1)))),ROW(A19))),""))</f>
        <v>[Estimated Bucket 19]</v>
      </c>
      <c r="N29" s="916">
        <f>IF($M$8="Select Approach Option","",IF($M$8='1. Project Inputs'!$C$58,SUMIFS(TB.ScopeEstimation[Weighted Effort Days],TB.ScopeEstimation[Bucket / Phase],M29,TB.ScopeEstimation[Option 1],"Yes"),IF($M$8='1. Project Inputs'!$C$59,SUMIFS(TB.ScopeEstimation[Weighted Effort Days],TB.ScopeEstimation[Bucket / Phase],M29,TB.ScopeEstimation[Option 2],"Yes"),IF($M$8='1. Project Inputs'!$C$60,SUMIFS(TB.ScopeEstimation[Weighted Effort Days],TB.ScopeEstimation[Bucket / Phase],M29,TB.ScopeEstimation[Option 3],"Yes"),IF($M$8="No Approach Options Used",SUMIFS(TB.ScopeEstimation[Weighted Effort Days],TB.ScopeEstimation[Bucket / Phase],M29))))))</f>
        <v>0</v>
      </c>
      <c r="O29" s="1133">
        <f>SUM(O17:O28)</f>
        <v>0</v>
      </c>
      <c r="P29" s="107">
        <f>SUM(P17:P28)</f>
        <v>0</v>
      </c>
      <c r="Q29" s="919">
        <f t="shared" si="4"/>
        <v>0</v>
      </c>
      <c r="R29" s="1131">
        <f>IFERROR(IF(ISBLANK($S$50),"No Buckets Used below",($Q29-SUMIF(S$50:S167,$M29,Y$50:Y167))),"")</f>
        <v>0</v>
      </c>
      <c r="S29" s="62"/>
      <c r="T29" s="62"/>
      <c r="U29" s="62"/>
      <c r="V29" s="62"/>
      <c r="W29" s="62"/>
      <c r="AI29" t="s">
        <v>2460</v>
      </c>
      <c r="AM29" s="93"/>
      <c r="AN29" s="93"/>
      <c r="AO29" s="93"/>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N29" s="93"/>
      <c r="BO29" s="93"/>
      <c r="BP29" s="93"/>
      <c r="BQ29" s="93"/>
      <c r="BR29" s="93"/>
      <c r="BS29" s="93"/>
      <c r="BT29" s="93"/>
      <c r="BU29" s="93"/>
      <c r="BV29" s="93"/>
      <c r="BW29" s="93"/>
      <c r="BX29" s="93"/>
      <c r="BY29" s="93"/>
      <c r="BZ29" s="93"/>
      <c r="CA29" s="93"/>
      <c r="CB29" s="93"/>
      <c r="CC29" s="85"/>
      <c r="CD29" s="85"/>
      <c r="CE29" s="85"/>
      <c r="CF29" s="85"/>
      <c r="CG29" s="85"/>
      <c r="CH29" s="85"/>
      <c r="CI29" s="86"/>
      <c r="CJ29" s="85"/>
      <c r="CK29" s="85"/>
      <c r="CL29" s="85"/>
      <c r="CM29" s="85"/>
    </row>
    <row r="30" spans="1:146" ht="16.2" thickBot="1" x14ac:dyDescent="0.35">
      <c r="C30" s="665" t="s">
        <v>222</v>
      </c>
      <c r="D30" s="666">
        <f>'4. Financial Summary &amp; Totals'!$D$30</f>
        <v>0.45782122905027933</v>
      </c>
      <c r="L30" s="126"/>
      <c r="M30" s="915" t="str" cm="1">
        <f t="array" ref="M30">IF(OR($M$8="No Approach Options Used",$M$8="Select Approach Option")=TRUE,'1. Project Inputs'!C53,IFERROR(INDEX('Optional - Scope Estimation'!$G$7:$G$18,SMALL(IF('2. Pricing &amp; Import'!$M$8='1. Project Inputs'!$C$58,IF('Optional - Scope Estimation'!$H$7:$H$18="Yes",ROW('Optional - Scope Estimation'!$G$7:$G$18)-ROW('Optional - Scope Estimation'!$G$7)+1),IF('2. Pricing &amp; Import'!$M$8='1. Project Inputs'!$C$59,IF('Optional - Scope Estimation'!$I$7:$I$18="Yes",ROW('Optional - Scope Estimation'!$G$7:$G$18)-ROW('Optional - Scope Estimation'!$G$7)+1),IF('2. Pricing &amp; Import'!$M$8='1. Project Inputs'!$C$60,IF('Optional - Scope Estimation'!$J$7:$J$18="Yes",ROW('Optional - Scope Estimation'!$G$7:$G$18)-ROW('Optional - Scope Estimation'!$G$7)+1)))),ROW(A20))),""))</f>
        <v>[Estimated Bucket 20]</v>
      </c>
      <c r="N30" s="916">
        <f>IF($M$8="Select Approach Option","",IF($M$8='1. Project Inputs'!$C$58,SUMIFS(TB.ScopeEstimation[Weighted Effort Days],TB.ScopeEstimation[Bucket / Phase],M30,TB.ScopeEstimation[Option 1],"Yes"),IF($M$8='1. Project Inputs'!$C$59,SUMIFS(TB.ScopeEstimation[Weighted Effort Days],TB.ScopeEstimation[Bucket / Phase],M30,TB.ScopeEstimation[Option 2],"Yes"),IF($M$8='1. Project Inputs'!$C$60,SUMIFS(TB.ScopeEstimation[Weighted Effort Days],TB.ScopeEstimation[Bucket / Phase],M30,TB.ScopeEstimation[Option 3],"Yes"),IF($M$8="No Approach Options Used",SUMIFS(TB.ScopeEstimation[Weighted Effort Days],TB.ScopeEstimation[Bucket / Phase],M30))))))</f>
        <v>0</v>
      </c>
      <c r="O30" s="107"/>
      <c r="P30" s="107"/>
      <c r="Q30" s="924">
        <f t="shared" si="4"/>
        <v>0</v>
      </c>
      <c r="R30" s="1131">
        <f>IFERROR(IF(ISBLANK($S$50),"No Buckets Used below",($Q30-SUMIF(S$50:S168,$M30,Y$50:Y168))),"")</f>
        <v>0</v>
      </c>
      <c r="S30" s="62"/>
      <c r="T30" s="62"/>
      <c r="U30" s="62"/>
      <c r="V30" s="62"/>
      <c r="W30" s="62"/>
      <c r="AM30" s="93"/>
      <c r="AN30" s="93"/>
      <c r="AO30" s="93"/>
      <c r="AP30" s="93"/>
      <c r="AQ30" s="93"/>
      <c r="AR30" s="93"/>
      <c r="AS30" s="93"/>
      <c r="AT30" s="93"/>
      <c r="AU30" s="93"/>
      <c r="AV30" s="93"/>
      <c r="AW30" s="93"/>
      <c r="AX30" s="93"/>
      <c r="AY30" s="93"/>
      <c r="AZ30" s="93"/>
      <c r="BA30" s="93"/>
      <c r="BB30" s="93"/>
      <c r="BC30" s="93"/>
      <c r="BD30" s="93"/>
      <c r="BE30" s="93"/>
      <c r="BF30" s="93"/>
      <c r="BG30" s="93"/>
      <c r="BH30" s="93"/>
      <c r="BI30" s="93"/>
      <c r="BJ30" s="93"/>
      <c r="BK30" s="93"/>
      <c r="BL30" s="93"/>
      <c r="BM30" s="93"/>
      <c r="BN30" s="93"/>
      <c r="BO30" s="93"/>
      <c r="BP30" s="93"/>
      <c r="BQ30" s="93"/>
      <c r="BR30" s="93"/>
      <c r="BS30" s="93"/>
      <c r="BT30" s="93"/>
      <c r="BU30" s="93"/>
      <c r="BV30" s="93"/>
      <c r="BW30" s="93"/>
      <c r="BX30" s="93"/>
      <c r="BY30" s="93"/>
      <c r="BZ30" s="93"/>
      <c r="CA30" s="93"/>
      <c r="CB30" s="93"/>
      <c r="CC30" s="85"/>
      <c r="CD30" s="85"/>
      <c r="CE30" s="85"/>
      <c r="CF30" s="85"/>
      <c r="CG30" s="85"/>
      <c r="CH30" s="85"/>
      <c r="CI30" s="86"/>
      <c r="CJ30" s="85"/>
      <c r="CK30" s="85"/>
      <c r="CL30" s="85"/>
      <c r="CM30" s="85"/>
    </row>
    <row r="31" spans="1:146" ht="16.2" thickBot="1" x14ac:dyDescent="0.35">
      <c r="C31" s="168"/>
      <c r="D31" s="126"/>
      <c r="E31" s="126"/>
      <c r="F31" s="126"/>
      <c r="G31" s="126"/>
      <c r="H31" s="126"/>
      <c r="I31" s="126"/>
      <c r="J31" s="126"/>
      <c r="K31" s="126"/>
      <c r="M31" s="925" t="s">
        <v>183</v>
      </c>
      <c r="N31" s="1134">
        <f>SUM(N11:N30)</f>
        <v>114</v>
      </c>
      <c r="O31" s="1135"/>
      <c r="P31" s="1135"/>
      <c r="Q31" s="1136">
        <f>SUM(Q11:Q30)</f>
        <v>912</v>
      </c>
      <c r="R31" s="1134">
        <f>SUM(R11:R30)</f>
        <v>112</v>
      </c>
      <c r="S31" s="62"/>
      <c r="T31" s="62"/>
      <c r="U31" s="62"/>
      <c r="V31" s="62"/>
      <c r="W31" s="62"/>
      <c r="AM31" s="93"/>
      <c r="AN31" s="93"/>
      <c r="AO31" s="93"/>
      <c r="AP31" s="93"/>
      <c r="AQ31" s="93"/>
      <c r="AR31" s="93"/>
      <c r="AS31" s="93"/>
      <c r="AT31" s="93"/>
      <c r="AU31" s="93"/>
      <c r="AV31" s="93"/>
      <c r="AW31" s="93"/>
      <c r="AX31" s="93"/>
      <c r="AY31" s="93"/>
      <c r="AZ31" s="93"/>
      <c r="BA31" s="93"/>
      <c r="BB31" s="93"/>
      <c r="BC31" s="93"/>
      <c r="BD31" s="93"/>
      <c r="BE31" s="93"/>
      <c r="BF31" s="93"/>
      <c r="BG31" s="93"/>
      <c r="BH31" s="93"/>
      <c r="BI31" s="93"/>
      <c r="BJ31" s="93"/>
      <c r="BK31" s="93"/>
      <c r="BL31" s="93"/>
      <c r="BM31" s="93"/>
      <c r="BN31" s="93"/>
      <c r="BO31" s="93"/>
      <c r="BP31" s="93"/>
      <c r="BQ31" s="93"/>
      <c r="BR31" s="93"/>
      <c r="BS31" s="93"/>
      <c r="BT31" s="93"/>
      <c r="BU31" s="93"/>
      <c r="BV31" s="93"/>
      <c r="BW31" s="93"/>
      <c r="BX31" s="93"/>
      <c r="BY31" s="93"/>
      <c r="BZ31" s="93"/>
      <c r="CA31" s="93"/>
      <c r="CB31" s="93"/>
      <c r="CC31" s="85"/>
      <c r="CD31" s="85"/>
      <c r="CE31" s="85"/>
      <c r="CF31" s="85"/>
      <c r="CG31" s="85"/>
      <c r="CH31" s="1023"/>
      <c r="CI31" s="86"/>
      <c r="CJ31" s="85"/>
      <c r="CK31" s="85"/>
      <c r="CL31" s="85"/>
      <c r="CM31" s="85"/>
    </row>
    <row r="32" spans="1:146" s="169" customFormat="1" ht="26.25" customHeight="1" thickBot="1" x14ac:dyDescent="0.35">
      <c r="A32"/>
      <c r="B32"/>
      <c r="C32" s="1019" t="s">
        <v>237</v>
      </c>
      <c r="D32" s="1024"/>
      <c r="E32" s="1024"/>
      <c r="F32" s="1024"/>
      <c r="G32" s="1024"/>
      <c r="H32" s="1024"/>
      <c r="I32" s="1024"/>
      <c r="J32" s="1024"/>
      <c r="K32" s="1024"/>
      <c r="L32" s="1024" t="s">
        <v>2357</v>
      </c>
      <c r="M32" s="1024"/>
      <c r="N32" s="1024"/>
      <c r="O32" s="1024"/>
      <c r="P32" s="1024"/>
      <c r="Q32" s="995"/>
      <c r="R32" s="995"/>
      <c r="S32" s="995"/>
      <c r="T32" s="995"/>
      <c r="U32" s="995"/>
      <c r="V32" s="995"/>
      <c r="W32" s="995"/>
      <c r="X32" s="935"/>
      <c r="Y32" s="935"/>
      <c r="Z32" s="935"/>
      <c r="AA32" s="1024"/>
      <c r="AB32" s="1024"/>
      <c r="AC32" s="1024"/>
      <c r="AD32" s="1024"/>
      <c r="AE32" s="1024"/>
      <c r="AF32" s="1024"/>
      <c r="AG32" s="1562" t="str">
        <f>IF(SUM(AG42:AG46)&gt;0,CONCATENATE("*Week has ",AG41," Holidays*",""),"")</f>
        <v>*Week has 2 Holidays*</v>
      </c>
      <c r="AH32" s="1562" t="str">
        <f t="shared" ref="AH32:CF32" si="6">IF(SUM(AH42:AH46)&gt;0,CONCATENATE("*Week has ",AH41," Holidays*",""),"")</f>
        <v/>
      </c>
      <c r="AI32" s="1562" t="str">
        <f t="shared" si="6"/>
        <v/>
      </c>
      <c r="AJ32" s="1562" t="str">
        <f t="shared" si="6"/>
        <v>*Week has 1 Holidays*</v>
      </c>
      <c r="AK32" s="1562" t="str">
        <f t="shared" si="6"/>
        <v>*Week has 1 Holidays*</v>
      </c>
      <c r="AL32" s="1562" t="str">
        <f t="shared" si="6"/>
        <v>*Week has 1 Holidays*</v>
      </c>
      <c r="AM32" s="1562" t="str">
        <f t="shared" si="6"/>
        <v/>
      </c>
      <c r="AN32" s="1562" t="str">
        <f t="shared" si="6"/>
        <v>*Week has 2 Holidays*</v>
      </c>
      <c r="AO32" s="1562" t="str">
        <f t="shared" si="6"/>
        <v>*Week has 1 Holidays*</v>
      </c>
      <c r="AP32" s="1562" t="str">
        <f t="shared" si="6"/>
        <v>*Week has 2 Holidays*</v>
      </c>
      <c r="AQ32" s="1562" t="str">
        <f t="shared" si="6"/>
        <v/>
      </c>
      <c r="AR32" s="1562" t="str">
        <f t="shared" si="6"/>
        <v/>
      </c>
      <c r="AS32" s="1562" t="str">
        <f t="shared" si="6"/>
        <v>*Week has 1 Holidays*</v>
      </c>
      <c r="AT32" s="1562" t="str">
        <f t="shared" si="6"/>
        <v>*Week has 1 Holidays*</v>
      </c>
      <c r="AU32" s="1562" t="str">
        <f t="shared" si="6"/>
        <v>*Week has 1 Holidays*</v>
      </c>
      <c r="AV32" s="1562" t="str">
        <f t="shared" si="6"/>
        <v>*Week has 2 Holidays*</v>
      </c>
      <c r="AW32" s="1562" t="str">
        <f t="shared" si="6"/>
        <v>*Week has 1 Holidays*</v>
      </c>
      <c r="AX32" s="1562" t="str">
        <f t="shared" si="6"/>
        <v>*Week has 1 Holidays*</v>
      </c>
      <c r="AY32" s="1562" t="str">
        <f t="shared" si="6"/>
        <v>*Week has 2 Holidays*</v>
      </c>
      <c r="AZ32" s="1562" t="str">
        <f t="shared" si="6"/>
        <v/>
      </c>
      <c r="BA32" s="1562" t="str">
        <f t="shared" si="6"/>
        <v>*Week has 1 Holidays*</v>
      </c>
      <c r="BB32" s="1562" t="str">
        <f t="shared" si="6"/>
        <v/>
      </c>
      <c r="BC32" s="1562" t="str">
        <f t="shared" si="6"/>
        <v>*Week has 2 Holidays*</v>
      </c>
      <c r="BD32" s="1562" t="str">
        <f t="shared" si="6"/>
        <v/>
      </c>
      <c r="BE32" s="1562" t="str">
        <f t="shared" si="6"/>
        <v>*Week has 1 Holidays*</v>
      </c>
      <c r="BF32" s="1562" t="str">
        <f t="shared" si="6"/>
        <v>*Week has 1 Holidays*</v>
      </c>
      <c r="BG32" s="1562" t="str">
        <f t="shared" si="6"/>
        <v/>
      </c>
      <c r="BH32" s="1562" t="str">
        <f t="shared" si="6"/>
        <v>*Week has 1 Holidays*</v>
      </c>
      <c r="BI32" s="1562" t="str">
        <f t="shared" si="6"/>
        <v/>
      </c>
      <c r="BJ32" s="1562" t="str">
        <f t="shared" si="6"/>
        <v>*Week has 1 Holidays*</v>
      </c>
      <c r="BK32" s="1562" t="str">
        <f t="shared" si="6"/>
        <v>*Week has 1 Holidays*</v>
      </c>
      <c r="BL32" s="1562" t="str">
        <f t="shared" si="6"/>
        <v>*Week has 1 Holidays*</v>
      </c>
      <c r="BM32" s="1562" t="str">
        <f t="shared" si="6"/>
        <v>*Week has 1 Holidays*</v>
      </c>
      <c r="BN32" s="1562" t="str">
        <f t="shared" si="6"/>
        <v/>
      </c>
      <c r="BO32" s="1562" t="str">
        <f t="shared" si="6"/>
        <v>*Week has 3 Holidays*</v>
      </c>
      <c r="BP32" s="1562" t="str">
        <f t="shared" si="6"/>
        <v>*Week has 1 Holidays*</v>
      </c>
      <c r="BQ32" s="1562" t="str">
        <f t="shared" si="6"/>
        <v/>
      </c>
      <c r="BR32" s="1562" t="str">
        <f t="shared" si="6"/>
        <v/>
      </c>
      <c r="BS32" s="1562" t="str">
        <f t="shared" si="6"/>
        <v/>
      </c>
      <c r="BT32" s="1562" t="str">
        <f t="shared" si="6"/>
        <v/>
      </c>
      <c r="BU32" s="1562" t="str">
        <f t="shared" si="6"/>
        <v/>
      </c>
      <c r="BV32" s="1562" t="str">
        <f t="shared" si="6"/>
        <v/>
      </c>
      <c r="BW32" s="1562" t="str">
        <f t="shared" si="6"/>
        <v/>
      </c>
      <c r="BX32" s="1562" t="str">
        <f t="shared" si="6"/>
        <v/>
      </c>
      <c r="BY32" s="1562" t="str">
        <f t="shared" si="6"/>
        <v/>
      </c>
      <c r="BZ32" s="1562" t="str">
        <f t="shared" si="6"/>
        <v/>
      </c>
      <c r="CA32" s="1562" t="str">
        <f t="shared" si="6"/>
        <v/>
      </c>
      <c r="CB32" s="1562" t="str">
        <f t="shared" si="6"/>
        <v/>
      </c>
      <c r="CC32" s="1562" t="str">
        <f t="shared" si="6"/>
        <v/>
      </c>
      <c r="CD32" s="1562" t="str">
        <f t="shared" si="6"/>
        <v/>
      </c>
      <c r="CE32" s="1562" t="str">
        <f t="shared" si="6"/>
        <v/>
      </c>
      <c r="CF32" s="1562" t="str">
        <f t="shared" si="6"/>
        <v/>
      </c>
      <c r="CG32" s="1025"/>
      <c r="CH32" s="1025"/>
      <c r="CI32" s="1026"/>
      <c r="CJ32" s="1025"/>
      <c r="CK32" s="1025"/>
      <c r="CL32" s="1025"/>
      <c r="CM32" s="1025"/>
      <c r="CN32" s="935"/>
      <c r="CO32" s="935"/>
      <c r="CP32" s="935"/>
      <c r="CQ32" s="935"/>
      <c r="CR32" s="935"/>
      <c r="CS32" s="935"/>
      <c r="CT32" s="935"/>
      <c r="CU32" s="935"/>
      <c r="CV32" s="935"/>
      <c r="CW32" s="935"/>
      <c r="CX32" s="935"/>
      <c r="CY32" s="935"/>
      <c r="CZ32" s="935"/>
      <c r="DA32" s="935"/>
      <c r="DB32" s="935"/>
      <c r="DC32" s="935"/>
      <c r="DD32" s="935"/>
      <c r="DE32" s="935"/>
      <c r="DF32" s="935"/>
      <c r="DG32" s="935"/>
      <c r="DH32" s="935"/>
      <c r="DI32" s="935"/>
      <c r="DJ32" s="935"/>
      <c r="DK32" s="935"/>
      <c r="DL32" s="935"/>
      <c r="DM32" s="935"/>
      <c r="DN32" s="935"/>
      <c r="DO32" s="935"/>
      <c r="DP32" s="935"/>
      <c r="DQ32" s="935"/>
      <c r="DR32" s="935"/>
      <c r="DS32" s="935"/>
      <c r="DT32" s="935"/>
      <c r="DU32" s="935"/>
      <c r="DV32" s="935"/>
      <c r="DW32" s="935"/>
      <c r="DX32" s="935"/>
      <c r="DY32" s="935"/>
      <c r="DZ32" s="935"/>
      <c r="EA32" s="935"/>
      <c r="EB32" s="935"/>
      <c r="EC32" s="935"/>
      <c r="ED32" s="935"/>
      <c r="EE32" s="935"/>
      <c r="EF32" s="935"/>
      <c r="EG32" s="935"/>
      <c r="EH32" s="935"/>
      <c r="EI32" s="935"/>
      <c r="EJ32" s="935"/>
      <c r="EK32" s="935"/>
      <c r="EL32" s="935"/>
      <c r="EM32" s="935"/>
      <c r="EN32" s="935"/>
      <c r="EO32" s="935"/>
      <c r="EP32" s="935"/>
    </row>
    <row r="33" spans="2:91" ht="1.05" customHeight="1" x14ac:dyDescent="0.3">
      <c r="C33" s="1640"/>
      <c r="D33" s="1640"/>
      <c r="E33" s="1640"/>
      <c r="F33" s="1640"/>
      <c r="G33" s="1640"/>
      <c r="H33" s="1640"/>
      <c r="I33" s="1640"/>
      <c r="J33" s="1640"/>
      <c r="K33" s="1640"/>
      <c r="L33" s="1640"/>
      <c r="M33" s="1640"/>
      <c r="N33" s="1640"/>
      <c r="O33" s="1640"/>
      <c r="P33" s="1640"/>
      <c r="Q33" s="1640"/>
      <c r="R33" s="1640"/>
      <c r="S33" s="1641"/>
      <c r="T33" s="1641"/>
      <c r="U33" s="1641"/>
      <c r="V33" s="1641"/>
      <c r="W33" s="1641"/>
      <c r="X33" s="1641"/>
      <c r="AG33" s="209"/>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L33" s="351"/>
      <c r="CM33" s="85"/>
    </row>
    <row r="34" spans="2:91" ht="85.05" customHeight="1" x14ac:dyDescent="0.3">
      <c r="B34" s="226"/>
      <c r="C34" s="1659" t="s">
        <v>238</v>
      </c>
      <c r="D34" s="1659"/>
      <c r="E34" s="226"/>
      <c r="F34" s="226"/>
      <c r="G34" s="226"/>
      <c r="H34" s="226"/>
      <c r="I34" s="226"/>
      <c r="J34" s="226"/>
      <c r="L34" t="s">
        <v>2354</v>
      </c>
      <c r="M34" s="179" t="s">
        <v>2347</v>
      </c>
      <c r="N34" s="227"/>
      <c r="O34" s="227"/>
      <c r="P34" s="227"/>
      <c r="Q34" s="227"/>
      <c r="S34" s="610"/>
      <c r="T34" s="610"/>
      <c r="U34" s="610"/>
      <c r="V34" s="610"/>
      <c r="W34" s="610"/>
      <c r="X34" s="598"/>
      <c r="Y34" s="206"/>
      <c r="Z34" s="1634" t="s">
        <v>239</v>
      </c>
      <c r="AA34" s="1634"/>
      <c r="AB34" s="206"/>
      <c r="AC34" s="206"/>
      <c r="AD34" s="206"/>
      <c r="AE34" s="206"/>
      <c r="AF34" s="1201" t="s">
        <v>2065</v>
      </c>
      <c r="AG34" s="1203">
        <f>IF(D18="MM/DD/YYYY"," ",D18)</f>
        <v>45776</v>
      </c>
      <c r="AH34" s="1203">
        <f>IFERROR(AG34+7," ")</f>
        <v>45783</v>
      </c>
      <c r="AI34" s="1203">
        <f t="shared" ref="AI34:CF34" si="7">IFERROR(AH34+7," ")</f>
        <v>45790</v>
      </c>
      <c r="AJ34" s="1203">
        <f t="shared" si="7"/>
        <v>45797</v>
      </c>
      <c r="AK34" s="1203">
        <f t="shared" si="7"/>
        <v>45804</v>
      </c>
      <c r="AL34" s="1203">
        <f t="shared" si="7"/>
        <v>45811</v>
      </c>
      <c r="AM34" s="1203">
        <f t="shared" si="7"/>
        <v>45818</v>
      </c>
      <c r="AN34" s="1203">
        <f t="shared" si="7"/>
        <v>45825</v>
      </c>
      <c r="AO34" s="1203">
        <f t="shared" si="7"/>
        <v>45832</v>
      </c>
      <c r="AP34" s="1203">
        <f t="shared" si="7"/>
        <v>45839</v>
      </c>
      <c r="AQ34" s="1203">
        <f t="shared" si="7"/>
        <v>45846</v>
      </c>
      <c r="AR34" s="1203">
        <f t="shared" si="7"/>
        <v>45853</v>
      </c>
      <c r="AS34" s="1203">
        <f t="shared" si="7"/>
        <v>45860</v>
      </c>
      <c r="AT34" s="1203">
        <f t="shared" si="7"/>
        <v>45867</v>
      </c>
      <c r="AU34" s="1203">
        <f t="shared" si="7"/>
        <v>45874</v>
      </c>
      <c r="AV34" s="1203">
        <f t="shared" si="7"/>
        <v>45881</v>
      </c>
      <c r="AW34" s="1203">
        <f t="shared" si="7"/>
        <v>45888</v>
      </c>
      <c r="AX34" s="1203">
        <f t="shared" si="7"/>
        <v>45895</v>
      </c>
      <c r="AY34" s="1203">
        <f t="shared" si="7"/>
        <v>45902</v>
      </c>
      <c r="AZ34" s="1203">
        <f t="shared" si="7"/>
        <v>45909</v>
      </c>
      <c r="BA34" s="1203">
        <f t="shared" si="7"/>
        <v>45916</v>
      </c>
      <c r="BB34" s="1203">
        <f t="shared" si="7"/>
        <v>45923</v>
      </c>
      <c r="BC34" s="1203">
        <f t="shared" si="7"/>
        <v>45930</v>
      </c>
      <c r="BD34" s="1203">
        <f t="shared" si="7"/>
        <v>45937</v>
      </c>
      <c r="BE34" s="1203">
        <f t="shared" si="7"/>
        <v>45944</v>
      </c>
      <c r="BF34" s="1203">
        <f t="shared" si="7"/>
        <v>45951</v>
      </c>
      <c r="BG34" s="1203">
        <f t="shared" si="7"/>
        <v>45958</v>
      </c>
      <c r="BH34" s="1203">
        <f t="shared" si="7"/>
        <v>45965</v>
      </c>
      <c r="BI34" s="1203">
        <f t="shared" si="7"/>
        <v>45972</v>
      </c>
      <c r="BJ34" s="1203">
        <f t="shared" si="7"/>
        <v>45979</v>
      </c>
      <c r="BK34" s="1203">
        <f t="shared" si="7"/>
        <v>45986</v>
      </c>
      <c r="BL34" s="1203">
        <f t="shared" si="7"/>
        <v>45993</v>
      </c>
      <c r="BM34" s="1203">
        <f t="shared" si="7"/>
        <v>46000</v>
      </c>
      <c r="BN34" s="1203">
        <f t="shared" si="7"/>
        <v>46007</v>
      </c>
      <c r="BO34" s="1203">
        <f t="shared" si="7"/>
        <v>46014</v>
      </c>
      <c r="BP34" s="1203">
        <f t="shared" si="7"/>
        <v>46021</v>
      </c>
      <c r="BQ34" s="1203">
        <f t="shared" si="7"/>
        <v>46028</v>
      </c>
      <c r="BR34" s="1203">
        <f t="shared" si="7"/>
        <v>46035</v>
      </c>
      <c r="BS34" s="1203">
        <f t="shared" si="7"/>
        <v>46042</v>
      </c>
      <c r="BT34" s="1203">
        <f t="shared" si="7"/>
        <v>46049</v>
      </c>
      <c r="BU34" s="1203">
        <f t="shared" si="7"/>
        <v>46056</v>
      </c>
      <c r="BV34" s="1203">
        <f t="shared" si="7"/>
        <v>46063</v>
      </c>
      <c r="BW34" s="1203">
        <f t="shared" si="7"/>
        <v>46070</v>
      </c>
      <c r="BX34" s="1203">
        <f t="shared" si="7"/>
        <v>46077</v>
      </c>
      <c r="BY34" s="1203">
        <f t="shared" si="7"/>
        <v>46084</v>
      </c>
      <c r="BZ34" s="1203">
        <f t="shared" si="7"/>
        <v>46091</v>
      </c>
      <c r="CA34" s="1203">
        <f t="shared" si="7"/>
        <v>46098</v>
      </c>
      <c r="CB34" s="1203">
        <f t="shared" si="7"/>
        <v>46105</v>
      </c>
      <c r="CC34" s="1203">
        <f t="shared" si="7"/>
        <v>46112</v>
      </c>
      <c r="CD34" s="1203">
        <f t="shared" si="7"/>
        <v>46119</v>
      </c>
      <c r="CE34" s="1203">
        <f t="shared" si="7"/>
        <v>46126</v>
      </c>
      <c r="CF34" s="1203">
        <f t="shared" si="7"/>
        <v>46133</v>
      </c>
      <c r="CG34" s="94"/>
      <c r="CH34" s="1639" t="s">
        <v>292</v>
      </c>
      <c r="CI34" s="1639"/>
      <c r="CJ34" s="1639"/>
      <c r="CK34" s="1639"/>
      <c r="CL34" s="683"/>
    </row>
    <row r="35" spans="2:91" ht="16.5" customHeight="1" x14ac:dyDescent="0.3">
      <c r="B35" s="226"/>
      <c r="C35" s="1559"/>
      <c r="D35" s="1559"/>
      <c r="E35" s="226"/>
      <c r="F35" s="226"/>
      <c r="G35" s="226"/>
      <c r="H35" s="226"/>
      <c r="I35" s="226"/>
      <c r="J35" s="226"/>
      <c r="M35" s="179"/>
      <c r="N35" s="227"/>
      <c r="O35" s="227"/>
      <c r="P35" s="227"/>
      <c r="Q35" s="227"/>
      <c r="S35" s="610"/>
      <c r="T35" s="610"/>
      <c r="U35" s="610"/>
      <c r="V35" s="610"/>
      <c r="W35" s="610"/>
      <c r="X35" s="598"/>
      <c r="Y35" s="206"/>
      <c r="Z35" s="1560"/>
      <c r="AA35" s="1560"/>
      <c r="AB35" s="206"/>
      <c r="AC35" s="206"/>
      <c r="AD35" s="206"/>
      <c r="AE35" s="206"/>
      <c r="AF35" s="15" t="s">
        <v>2457</v>
      </c>
      <c r="AG35" s="1203"/>
      <c r="AH35" s="1203"/>
      <c r="AI35" s="1203"/>
      <c r="AJ35" s="1203"/>
      <c r="AK35" s="1203"/>
      <c r="AL35" s="1203"/>
      <c r="AM35" s="1203"/>
      <c r="AN35" s="1203"/>
      <c r="AO35" s="1203"/>
      <c r="AP35" s="1203"/>
      <c r="AQ35" s="1203"/>
      <c r="AR35" s="1203"/>
      <c r="AS35" s="1203"/>
      <c r="AT35" s="1203"/>
      <c r="AU35" s="1203"/>
      <c r="AV35" s="1203"/>
      <c r="AW35" s="1203"/>
      <c r="AX35" s="1203"/>
      <c r="AY35" s="1203"/>
      <c r="AZ35" s="1203"/>
      <c r="BA35" s="1203"/>
      <c r="BB35" s="1203"/>
      <c r="BC35" s="1203"/>
      <c r="BD35" s="1203"/>
      <c r="BE35" s="1203"/>
      <c r="BF35" s="1203"/>
      <c r="BG35" s="1203"/>
      <c r="BH35" s="1203"/>
      <c r="BI35" s="1203"/>
      <c r="BJ35" s="1203"/>
      <c r="BK35" s="1203"/>
      <c r="BL35" s="1203"/>
      <c r="BM35" s="1203"/>
      <c r="BN35" s="1203"/>
      <c r="BO35" s="1203"/>
      <c r="BP35" s="1203"/>
      <c r="BQ35" s="1203"/>
      <c r="BR35" s="1203"/>
      <c r="BS35" s="1203"/>
      <c r="BT35" s="1203"/>
      <c r="BU35" s="1203"/>
      <c r="BV35" s="1203"/>
      <c r="BW35" s="1203"/>
      <c r="BX35" s="1203"/>
      <c r="BY35" s="1203"/>
      <c r="BZ35" s="1203"/>
      <c r="CA35" s="1203"/>
      <c r="CB35" s="1203"/>
      <c r="CC35" s="1203"/>
      <c r="CD35" s="1203"/>
      <c r="CE35" s="1203"/>
      <c r="CF35" s="1203"/>
      <c r="CG35" s="94"/>
      <c r="CH35" s="1506"/>
      <c r="CI35" s="1506"/>
      <c r="CJ35" s="1506"/>
      <c r="CK35" s="1506"/>
      <c r="CL35" s="683"/>
    </row>
    <row r="36" spans="2:91" ht="13.95" customHeight="1" x14ac:dyDescent="0.3">
      <c r="B36" s="226"/>
      <c r="C36" s="1559"/>
      <c r="D36" s="1559"/>
      <c r="E36" s="226"/>
      <c r="F36" s="226"/>
      <c r="G36" s="226"/>
      <c r="H36" s="226"/>
      <c r="I36" s="226"/>
      <c r="J36" s="226"/>
      <c r="M36" s="179"/>
      <c r="N36" s="227"/>
      <c r="O36" s="227"/>
      <c r="P36" s="227"/>
      <c r="Q36" s="227"/>
      <c r="S36" s="610"/>
      <c r="T36" s="610"/>
      <c r="U36" s="610"/>
      <c r="V36" s="610"/>
      <c r="W36" s="610"/>
      <c r="X36" s="598"/>
      <c r="Y36" s="206"/>
      <c r="Z36" s="1560"/>
      <c r="AA36" s="1560"/>
      <c r="AB36" s="206"/>
      <c r="AC36" s="206"/>
      <c r="AD36" s="206"/>
      <c r="AE36" s="206"/>
      <c r="AF36" s="15" t="s">
        <v>307</v>
      </c>
      <c r="AG36" s="1203"/>
      <c r="AH36" s="1203"/>
      <c r="AI36" s="1203"/>
      <c r="AJ36" s="1203"/>
      <c r="AK36" s="1203"/>
      <c r="AL36" s="1203"/>
      <c r="AM36" s="1203"/>
      <c r="AN36" s="1203"/>
      <c r="AO36" s="1203"/>
      <c r="AP36" s="1203"/>
      <c r="AQ36" s="1203"/>
      <c r="AR36" s="1203"/>
      <c r="AS36" s="1203"/>
      <c r="AT36" s="1203"/>
      <c r="AU36" s="1203"/>
      <c r="AV36" s="1203"/>
      <c r="AW36" s="1203"/>
      <c r="AX36" s="1203"/>
      <c r="AY36" s="1203"/>
      <c r="AZ36" s="1203"/>
      <c r="BA36" s="1203"/>
      <c r="BB36" s="1203"/>
      <c r="BC36" s="1203"/>
      <c r="BD36" s="1203"/>
      <c r="BE36" s="1203"/>
      <c r="BF36" s="1203"/>
      <c r="BG36" s="1203"/>
      <c r="BH36" s="1203"/>
      <c r="BI36" s="1203"/>
      <c r="BJ36" s="1203"/>
      <c r="BK36" s="1203"/>
      <c r="BL36" s="1203"/>
      <c r="BM36" s="1203"/>
      <c r="BN36" s="1203"/>
      <c r="BO36" s="1203"/>
      <c r="BP36" s="1203"/>
      <c r="BQ36" s="1203"/>
      <c r="BR36" s="1203"/>
      <c r="BS36" s="1203"/>
      <c r="BT36" s="1203"/>
      <c r="BU36" s="1203"/>
      <c r="BV36" s="1203"/>
      <c r="BW36" s="1203"/>
      <c r="BX36" s="1203"/>
      <c r="BY36" s="1203"/>
      <c r="BZ36" s="1203"/>
      <c r="CA36" s="1203"/>
      <c r="CB36" s="1203"/>
      <c r="CC36" s="1203"/>
      <c r="CD36" s="1203"/>
      <c r="CE36" s="1203"/>
      <c r="CF36" s="1203"/>
      <c r="CG36" s="94"/>
      <c r="CH36" s="1506"/>
      <c r="CI36" s="1506"/>
      <c r="CJ36" s="1506"/>
      <c r="CK36" s="1506"/>
      <c r="CL36" s="683"/>
    </row>
    <row r="37" spans="2:91" ht="13.95" customHeight="1" x14ac:dyDescent="0.3">
      <c r="B37" s="226"/>
      <c r="C37" s="1559"/>
      <c r="D37" s="1559"/>
      <c r="E37" s="226"/>
      <c r="F37" s="226"/>
      <c r="G37" s="226"/>
      <c r="H37" s="226"/>
      <c r="I37" s="226"/>
      <c r="J37" s="226"/>
      <c r="M37" s="179"/>
      <c r="N37" s="227"/>
      <c r="O37" s="227"/>
      <c r="P37" s="227"/>
      <c r="Q37" s="227"/>
      <c r="S37" s="610"/>
      <c r="T37" s="610"/>
      <c r="U37" s="610"/>
      <c r="V37" s="610"/>
      <c r="W37" s="610"/>
      <c r="X37" s="598"/>
      <c r="Y37" s="206"/>
      <c r="Z37" s="1560"/>
      <c r="AA37" s="1560"/>
      <c r="AB37" s="206"/>
      <c r="AC37" s="206"/>
      <c r="AD37" s="206"/>
      <c r="AE37" s="206"/>
      <c r="AF37" s="15" t="s">
        <v>405</v>
      </c>
      <c r="AG37" s="1203"/>
      <c r="AH37" s="1203"/>
      <c r="AI37" s="1203"/>
      <c r="AJ37" s="1203"/>
      <c r="AK37" s="1203"/>
      <c r="AL37" s="1203"/>
      <c r="AM37" s="1203"/>
      <c r="AN37" s="1203"/>
      <c r="AO37" s="1203"/>
      <c r="AP37" s="1203"/>
      <c r="AQ37" s="1203"/>
      <c r="AR37" s="1203"/>
      <c r="AS37" s="1203"/>
      <c r="AT37" s="1203"/>
      <c r="AU37" s="1203"/>
      <c r="AV37" s="1203"/>
      <c r="AW37" s="1203"/>
      <c r="AX37" s="1203"/>
      <c r="AY37" s="1203"/>
      <c r="AZ37" s="1203"/>
      <c r="BA37" s="1203"/>
      <c r="BB37" s="1203"/>
      <c r="BC37" s="1203"/>
      <c r="BD37" s="1203"/>
      <c r="BE37" s="1203"/>
      <c r="BF37" s="1203"/>
      <c r="BG37" s="1203"/>
      <c r="BH37" s="1203"/>
      <c r="BI37" s="1203"/>
      <c r="BJ37" s="1203"/>
      <c r="BK37" s="1203"/>
      <c r="BL37" s="1203"/>
      <c r="BM37" s="1203"/>
      <c r="BN37" s="1203"/>
      <c r="BO37" s="1203"/>
      <c r="BP37" s="1203"/>
      <c r="BQ37" s="1203"/>
      <c r="BR37" s="1203"/>
      <c r="BS37" s="1203"/>
      <c r="BT37" s="1203"/>
      <c r="BU37" s="1203"/>
      <c r="BV37" s="1203"/>
      <c r="BW37" s="1203"/>
      <c r="BX37" s="1203"/>
      <c r="BY37" s="1203"/>
      <c r="BZ37" s="1203"/>
      <c r="CA37" s="1203"/>
      <c r="CB37" s="1203"/>
      <c r="CC37" s="1203"/>
      <c r="CD37" s="1203"/>
      <c r="CE37" s="1203"/>
      <c r="CF37" s="1203"/>
      <c r="CG37" s="94"/>
      <c r="CH37" s="1506"/>
      <c r="CI37" s="1506"/>
      <c r="CJ37" s="1506"/>
      <c r="CK37" s="1506"/>
      <c r="CL37" s="683"/>
    </row>
    <row r="38" spans="2:91" ht="13.95" customHeight="1" x14ac:dyDescent="0.3">
      <c r="B38" s="226"/>
      <c r="C38" s="1559"/>
      <c r="D38" s="1559"/>
      <c r="E38" s="226"/>
      <c r="F38" s="226"/>
      <c r="G38" s="226"/>
      <c r="H38" s="226"/>
      <c r="I38" s="226"/>
      <c r="J38" s="226"/>
      <c r="M38" s="179"/>
      <c r="N38" s="227"/>
      <c r="O38" s="227"/>
      <c r="P38" s="227"/>
      <c r="Q38" s="227"/>
      <c r="S38" s="610"/>
      <c r="T38" s="610"/>
      <c r="U38" s="610"/>
      <c r="V38" s="610"/>
      <c r="W38" s="610"/>
      <c r="X38" s="598"/>
      <c r="Y38" s="206"/>
      <c r="Z38" s="1560"/>
      <c r="AA38" s="1560"/>
      <c r="AB38" s="206"/>
      <c r="AC38" s="206"/>
      <c r="AD38" s="206"/>
      <c r="AE38" s="206"/>
      <c r="AF38" s="15" t="s">
        <v>418</v>
      </c>
      <c r="AG38" s="1203"/>
      <c r="AH38" s="1203"/>
      <c r="AI38" s="1203"/>
      <c r="AJ38" s="1203"/>
      <c r="AK38" s="1203"/>
      <c r="AL38" s="1203"/>
      <c r="AM38" s="1203"/>
      <c r="AN38" s="1203"/>
      <c r="AO38" s="1203"/>
      <c r="AP38" s="1203"/>
      <c r="AQ38" s="1203"/>
      <c r="AR38" s="1203"/>
      <c r="AS38" s="1203"/>
      <c r="AT38" s="1203"/>
      <c r="AU38" s="1203"/>
      <c r="AV38" s="1203"/>
      <c r="AW38" s="1203"/>
      <c r="AX38" s="1203"/>
      <c r="AY38" s="1203"/>
      <c r="AZ38" s="1203"/>
      <c r="BA38" s="1203"/>
      <c r="BB38" s="1203"/>
      <c r="BC38" s="1203"/>
      <c r="BD38" s="1203"/>
      <c r="BE38" s="1203"/>
      <c r="BF38" s="1203"/>
      <c r="BG38" s="1203"/>
      <c r="BH38" s="1203"/>
      <c r="BI38" s="1203"/>
      <c r="BJ38" s="1203"/>
      <c r="BK38" s="1203"/>
      <c r="BL38" s="1203"/>
      <c r="BM38" s="1203"/>
      <c r="BN38" s="1203"/>
      <c r="BO38" s="1203"/>
      <c r="BP38" s="1203"/>
      <c r="BQ38" s="1203"/>
      <c r="BR38" s="1203"/>
      <c r="BS38" s="1203"/>
      <c r="BT38" s="1203"/>
      <c r="BU38" s="1203"/>
      <c r="BV38" s="1203"/>
      <c r="BW38" s="1203"/>
      <c r="BX38" s="1203"/>
      <c r="BY38" s="1203"/>
      <c r="BZ38" s="1203"/>
      <c r="CA38" s="1203"/>
      <c r="CB38" s="1203"/>
      <c r="CC38" s="1203"/>
      <c r="CD38" s="1203"/>
      <c r="CE38" s="1203"/>
      <c r="CF38" s="1203"/>
      <c r="CG38" s="94"/>
      <c r="CH38" s="1506"/>
      <c r="CI38" s="1506"/>
      <c r="CJ38" s="1506"/>
      <c r="CK38" s="1506"/>
      <c r="CL38" s="683"/>
    </row>
    <row r="39" spans="2:91" ht="13.95" customHeight="1" x14ac:dyDescent="0.3">
      <c r="B39" s="226"/>
      <c r="C39" s="1559"/>
      <c r="D39" s="1559"/>
      <c r="E39" s="226"/>
      <c r="F39" s="226"/>
      <c r="G39" s="226"/>
      <c r="H39" s="226"/>
      <c r="I39" s="226"/>
      <c r="J39" s="226"/>
      <c r="M39" s="179"/>
      <c r="N39" s="227"/>
      <c r="O39" s="227"/>
      <c r="P39" s="227"/>
      <c r="Q39" s="227"/>
      <c r="S39" s="610"/>
      <c r="T39" s="610"/>
      <c r="U39" s="610"/>
      <c r="V39" s="610"/>
      <c r="W39" s="610"/>
      <c r="X39" s="598"/>
      <c r="Y39" s="206"/>
      <c r="Z39" s="1560"/>
      <c r="AA39" s="1560"/>
      <c r="AB39" s="206"/>
      <c r="AC39" s="206"/>
      <c r="AD39" s="206"/>
      <c r="AE39" s="206"/>
      <c r="AF39" s="15" t="s">
        <v>432</v>
      </c>
      <c r="AG39" s="1203"/>
      <c r="AH39" s="1203"/>
      <c r="AI39" s="1203"/>
      <c r="AJ39" s="1203"/>
      <c r="AK39" s="1203"/>
      <c r="AL39" s="1203"/>
      <c r="AM39" s="1203"/>
      <c r="AN39" s="1203"/>
      <c r="AO39" s="1203"/>
      <c r="AP39" s="1203"/>
      <c r="AQ39" s="1203"/>
      <c r="AR39" s="1203"/>
      <c r="AS39" s="1203"/>
      <c r="AT39" s="1203"/>
      <c r="AU39" s="1203"/>
      <c r="AV39" s="1203"/>
      <c r="AW39" s="1203"/>
      <c r="AX39" s="1203"/>
      <c r="AY39" s="1203"/>
      <c r="AZ39" s="1203"/>
      <c r="BA39" s="1203"/>
      <c r="BB39" s="1203"/>
      <c r="BC39" s="1203"/>
      <c r="BD39" s="1203"/>
      <c r="BE39" s="1203"/>
      <c r="BF39" s="1203"/>
      <c r="BG39" s="1203"/>
      <c r="BH39" s="1203"/>
      <c r="BI39" s="1203"/>
      <c r="BJ39" s="1203"/>
      <c r="BK39" s="1203"/>
      <c r="BL39" s="1203"/>
      <c r="BM39" s="1203"/>
      <c r="BN39" s="1203"/>
      <c r="BO39" s="1203"/>
      <c r="BP39" s="1203"/>
      <c r="BQ39" s="1203"/>
      <c r="BR39" s="1203"/>
      <c r="BS39" s="1203"/>
      <c r="BT39" s="1203"/>
      <c r="BU39" s="1203"/>
      <c r="BV39" s="1203"/>
      <c r="BW39" s="1203"/>
      <c r="BX39" s="1203"/>
      <c r="BY39" s="1203"/>
      <c r="BZ39" s="1203"/>
      <c r="CA39" s="1203"/>
      <c r="CB39" s="1203"/>
      <c r="CC39" s="1203"/>
      <c r="CD39" s="1203"/>
      <c r="CE39" s="1203"/>
      <c r="CF39" s="1203"/>
      <c r="CG39" s="94"/>
      <c r="CH39" s="1506"/>
      <c r="CI39" s="1506"/>
      <c r="CJ39" s="1506"/>
      <c r="CK39" s="1506"/>
      <c r="CL39" s="683"/>
    </row>
    <row r="40" spans="2:91" ht="13.95" customHeight="1" x14ac:dyDescent="0.3">
      <c r="B40" s="226"/>
      <c r="C40" s="1559"/>
      <c r="D40" s="1559"/>
      <c r="E40" s="226"/>
      <c r="F40" s="226"/>
      <c r="G40" s="226"/>
      <c r="H40" s="226"/>
      <c r="I40" s="226"/>
      <c r="J40" s="226"/>
      <c r="M40" s="179"/>
      <c r="N40" s="227"/>
      <c r="O40" s="227"/>
      <c r="P40" s="227"/>
      <c r="Q40" s="227"/>
      <c r="S40" s="610"/>
      <c r="T40" s="610"/>
      <c r="U40" s="610"/>
      <c r="V40" s="610"/>
      <c r="W40" s="610"/>
      <c r="X40" s="598"/>
      <c r="Y40" s="206"/>
      <c r="Z40" s="1560"/>
      <c r="AA40" s="1560"/>
      <c r="AB40" s="206"/>
      <c r="AC40" s="206"/>
      <c r="AD40" s="206"/>
      <c r="AE40" s="206"/>
      <c r="AF40" s="15" t="s">
        <v>443</v>
      </c>
      <c r="AG40" s="1203"/>
      <c r="AH40" s="1203"/>
      <c r="AI40" s="1203"/>
      <c r="AJ40" s="1203"/>
      <c r="AK40" s="1203"/>
      <c r="AL40" s="1203"/>
      <c r="AM40" s="1203"/>
      <c r="AN40" s="1203"/>
      <c r="AO40" s="1203"/>
      <c r="AP40" s="1203"/>
      <c r="AQ40" s="1203"/>
      <c r="AR40" s="1203"/>
      <c r="AS40" s="1203"/>
      <c r="AT40" s="1203"/>
      <c r="AU40" s="1203"/>
      <c r="AV40" s="1203"/>
      <c r="AW40" s="1203"/>
      <c r="AX40" s="1203"/>
      <c r="AY40" s="1203"/>
      <c r="AZ40" s="1203"/>
      <c r="BA40" s="1203"/>
      <c r="BB40" s="1203"/>
      <c r="BC40" s="1203"/>
      <c r="BD40" s="1203"/>
      <c r="BE40" s="1203"/>
      <c r="BF40" s="1203"/>
      <c r="BG40" s="1203"/>
      <c r="BH40" s="1203"/>
      <c r="BI40" s="1203"/>
      <c r="BJ40" s="1203"/>
      <c r="BK40" s="1203"/>
      <c r="BL40" s="1203"/>
      <c r="BM40" s="1203"/>
      <c r="BN40" s="1203"/>
      <c r="BO40" s="1203"/>
      <c r="BP40" s="1203"/>
      <c r="BQ40" s="1203"/>
      <c r="BR40" s="1203"/>
      <c r="BS40" s="1203"/>
      <c r="BT40" s="1203"/>
      <c r="BU40" s="1203"/>
      <c r="BV40" s="1203"/>
      <c r="BW40" s="1203"/>
      <c r="BX40" s="1203"/>
      <c r="BY40" s="1203"/>
      <c r="BZ40" s="1203"/>
      <c r="CA40" s="1203"/>
      <c r="CB40" s="1203"/>
      <c r="CC40" s="1203"/>
      <c r="CD40" s="1203"/>
      <c r="CE40" s="1203"/>
      <c r="CF40" s="1203"/>
      <c r="CG40" s="94"/>
      <c r="CH40" s="1506"/>
      <c r="CI40" s="1506"/>
      <c r="CJ40" s="1506"/>
      <c r="CK40" s="1506"/>
      <c r="CL40" s="683"/>
    </row>
    <row r="41" spans="2:91" ht="13.95" customHeight="1" x14ac:dyDescent="0.3">
      <c r="B41" s="226"/>
      <c r="C41" s="1559"/>
      <c r="D41" s="1559"/>
      <c r="E41" s="226"/>
      <c r="F41" s="226"/>
      <c r="G41" s="226"/>
      <c r="H41" s="226"/>
      <c r="I41" s="226"/>
      <c r="J41" s="226"/>
      <c r="M41" s="179"/>
      <c r="N41" s="227"/>
      <c r="O41" s="227"/>
      <c r="P41" s="227"/>
      <c r="Q41" s="227"/>
      <c r="S41" s="610"/>
      <c r="T41" s="610"/>
      <c r="U41" s="610"/>
      <c r="V41" s="610"/>
      <c r="W41" s="610"/>
      <c r="X41" s="598"/>
      <c r="Y41" s="206"/>
      <c r="Z41" s="1560"/>
      <c r="AA41" s="1560"/>
      <c r="AB41" s="206"/>
      <c r="AC41" s="206"/>
      <c r="AD41" s="206"/>
      <c r="AE41" s="206" t="s">
        <v>2458</v>
      </c>
      <c r="AF41" s="15" t="s">
        <v>2455</v>
      </c>
      <c r="AG41" s="733">
        <f>COUNTIFS(AG42:AG46,"&lt;&gt;0")</f>
        <v>2</v>
      </c>
      <c r="AH41" s="733">
        <f t="shared" ref="AH41:CF41" si="8">COUNTIFS(AH42:AH46,"&lt;&gt;0")</f>
        <v>0</v>
      </c>
      <c r="AI41" s="733">
        <f t="shared" si="8"/>
        <v>0</v>
      </c>
      <c r="AJ41" s="733">
        <f t="shared" si="8"/>
        <v>1</v>
      </c>
      <c r="AK41" s="733">
        <f t="shared" si="8"/>
        <v>1</v>
      </c>
      <c r="AL41" s="733">
        <f t="shared" si="8"/>
        <v>1</v>
      </c>
      <c r="AM41" s="733">
        <f t="shared" si="8"/>
        <v>0</v>
      </c>
      <c r="AN41" s="733">
        <f t="shared" si="8"/>
        <v>2</v>
      </c>
      <c r="AO41" s="733">
        <f t="shared" si="8"/>
        <v>1</v>
      </c>
      <c r="AP41" s="733">
        <f t="shared" si="8"/>
        <v>2</v>
      </c>
      <c r="AQ41" s="733">
        <f t="shared" si="8"/>
        <v>0</v>
      </c>
      <c r="AR41" s="733">
        <f t="shared" si="8"/>
        <v>0</v>
      </c>
      <c r="AS41" s="733">
        <f t="shared" si="8"/>
        <v>1</v>
      </c>
      <c r="AT41" s="733">
        <f t="shared" si="8"/>
        <v>1</v>
      </c>
      <c r="AU41" s="733">
        <f t="shared" si="8"/>
        <v>1</v>
      </c>
      <c r="AV41" s="733">
        <f t="shared" si="8"/>
        <v>2</v>
      </c>
      <c r="AW41" s="733">
        <f t="shared" si="8"/>
        <v>1</v>
      </c>
      <c r="AX41" s="733">
        <f t="shared" si="8"/>
        <v>1</v>
      </c>
      <c r="AY41" s="733">
        <f t="shared" si="8"/>
        <v>2</v>
      </c>
      <c r="AZ41" s="733">
        <f t="shared" si="8"/>
        <v>0</v>
      </c>
      <c r="BA41" s="733">
        <f t="shared" si="8"/>
        <v>1</v>
      </c>
      <c r="BB41" s="733">
        <f t="shared" si="8"/>
        <v>0</v>
      </c>
      <c r="BC41" s="733">
        <f t="shared" si="8"/>
        <v>2</v>
      </c>
      <c r="BD41" s="733">
        <f t="shared" si="8"/>
        <v>0</v>
      </c>
      <c r="BE41" s="733">
        <f t="shared" si="8"/>
        <v>1</v>
      </c>
      <c r="BF41" s="733">
        <f t="shared" si="8"/>
        <v>1</v>
      </c>
      <c r="BG41" s="733">
        <f t="shared" si="8"/>
        <v>0</v>
      </c>
      <c r="BH41" s="733">
        <f t="shared" si="8"/>
        <v>1</v>
      </c>
      <c r="BI41" s="733">
        <f t="shared" si="8"/>
        <v>0</v>
      </c>
      <c r="BJ41" s="733">
        <f t="shared" si="8"/>
        <v>1</v>
      </c>
      <c r="BK41" s="733">
        <f t="shared" si="8"/>
        <v>1</v>
      </c>
      <c r="BL41" s="733">
        <f t="shared" si="8"/>
        <v>1</v>
      </c>
      <c r="BM41" s="733">
        <f t="shared" si="8"/>
        <v>1</v>
      </c>
      <c r="BN41" s="733">
        <f t="shared" si="8"/>
        <v>0</v>
      </c>
      <c r="BO41" s="733">
        <f t="shared" si="8"/>
        <v>3</v>
      </c>
      <c r="BP41" s="733">
        <f t="shared" si="8"/>
        <v>1</v>
      </c>
      <c r="BQ41" s="733">
        <f t="shared" si="8"/>
        <v>0</v>
      </c>
      <c r="BR41" s="733">
        <f t="shared" si="8"/>
        <v>0</v>
      </c>
      <c r="BS41" s="733">
        <f t="shared" si="8"/>
        <v>0</v>
      </c>
      <c r="BT41" s="733">
        <f t="shared" si="8"/>
        <v>0</v>
      </c>
      <c r="BU41" s="733">
        <f t="shared" si="8"/>
        <v>0</v>
      </c>
      <c r="BV41" s="733">
        <f t="shared" si="8"/>
        <v>0</v>
      </c>
      <c r="BW41" s="733">
        <f t="shared" si="8"/>
        <v>0</v>
      </c>
      <c r="BX41" s="733">
        <f t="shared" si="8"/>
        <v>0</v>
      </c>
      <c r="BY41" s="733">
        <f t="shared" si="8"/>
        <v>0</v>
      </c>
      <c r="BZ41" s="733">
        <f t="shared" si="8"/>
        <v>0</v>
      </c>
      <c r="CA41" s="733">
        <f t="shared" si="8"/>
        <v>0</v>
      </c>
      <c r="CB41" s="733">
        <f t="shared" si="8"/>
        <v>0</v>
      </c>
      <c r="CC41" s="733">
        <f t="shared" si="8"/>
        <v>0</v>
      </c>
      <c r="CD41" s="733">
        <f t="shared" si="8"/>
        <v>0</v>
      </c>
      <c r="CE41" s="733">
        <f t="shared" si="8"/>
        <v>0</v>
      </c>
      <c r="CF41" s="733">
        <f t="shared" si="8"/>
        <v>0</v>
      </c>
      <c r="CG41" s="94"/>
      <c r="CH41" s="1506"/>
      <c r="CI41" s="1506"/>
      <c r="CJ41" s="1506"/>
      <c r="CK41" s="1506"/>
      <c r="CL41" s="683"/>
    </row>
    <row r="42" spans="2:91" ht="13.95" customHeight="1" x14ac:dyDescent="0.3">
      <c r="B42" s="226"/>
      <c r="C42" s="1559"/>
      <c r="D42" s="1559"/>
      <c r="E42" s="226"/>
      <c r="F42" s="226"/>
      <c r="G42" s="226"/>
      <c r="H42" s="226"/>
      <c r="I42" s="226"/>
      <c r="J42" s="226"/>
      <c r="M42" s="179"/>
      <c r="N42" s="227"/>
      <c r="O42" s="227"/>
      <c r="P42" s="227"/>
      <c r="Q42" s="227"/>
      <c r="S42" s="610"/>
      <c r="T42" s="610"/>
      <c r="U42" s="610"/>
      <c r="V42" s="610"/>
      <c r="W42" s="610"/>
      <c r="X42" s="598"/>
      <c r="Y42" s="206"/>
      <c r="Z42" s="1560"/>
      <c r="AA42" s="1560"/>
      <c r="AB42" s="206"/>
      <c r="AC42" s="206"/>
      <c r="AD42" s="206"/>
      <c r="AE42" s="206" t="s">
        <v>2461</v>
      </c>
      <c r="AF42" s="15" t="s">
        <v>307</v>
      </c>
      <c r="AG42" s="733" cm="1">
        <f t="array" ref="AG42">IF(COUNTIFS($D$50:$D$149,$AF42)&gt;0,SUMPRODUCT(('Standard Rate Cards'!$BM$9:$BM$81=AG$47)*('Standard Rate Cards'!$BG$9:$BG$81=$AF42)*('Standard Rate Cards'!$BL$9:$BL$81)),0)</f>
        <v>0</v>
      </c>
      <c r="AH42" s="733" cm="1">
        <f t="array" ref="AH42">IF(COUNTIFS($D$50:$D$149,$AF42)&gt;0,SUMPRODUCT(('Standard Rate Cards'!$BM$9:$BM$81=AH$47)*('Standard Rate Cards'!$BG$9:$BG$81=$AF42)*('Standard Rate Cards'!$BL$9:$BL$81)),0)</f>
        <v>0</v>
      </c>
      <c r="AI42" s="733" cm="1">
        <f t="array" ref="AI42">IF(COUNTIFS($D$50:$D$149,$AF42)&gt;0,SUMPRODUCT(('Standard Rate Cards'!$BM$9:$BM$81=AI$47)*('Standard Rate Cards'!$BG$9:$BG$81=$AF42)*('Standard Rate Cards'!$BL$9:$BL$81)),0)</f>
        <v>0</v>
      </c>
      <c r="AJ42" s="733" cm="1">
        <f t="array" ref="AJ42">IF(COUNTIFS($D$50:$D$149,$AF42)&gt;0,SUMPRODUCT(('Standard Rate Cards'!$BM$9:$BM$81=AJ$47)*('Standard Rate Cards'!$BG$9:$BG$81=$AF42)*('Standard Rate Cards'!$BL$9:$BL$81)),0)</f>
        <v>8</v>
      </c>
      <c r="AK42" s="733" cm="1">
        <f t="array" ref="AK42">IF(COUNTIFS($D$50:$D$149,$AF42)&gt;0,SUMPRODUCT(('Standard Rate Cards'!$BM$9:$BM$81=AK$47)*('Standard Rate Cards'!$BG$9:$BG$81=$AF42)*('Standard Rate Cards'!$BL$9:$BL$81)),0)</f>
        <v>8</v>
      </c>
      <c r="AL42" s="733" cm="1">
        <f t="array" ref="AL42">IF(COUNTIFS($D$50:$D$149,$AF42)&gt;0,SUMPRODUCT(('Standard Rate Cards'!$BM$9:$BM$81=AL$47)*('Standard Rate Cards'!$BG$9:$BG$81=$AF42)*('Standard Rate Cards'!$BL$9:$BL$81)),0)</f>
        <v>0</v>
      </c>
      <c r="AM42" s="733" cm="1">
        <f t="array" ref="AM42">IF(COUNTIFS($D$50:$D$149,$AF42)&gt;0,SUMPRODUCT(('Standard Rate Cards'!$BM$9:$BM$81=AM$47)*('Standard Rate Cards'!$BG$9:$BG$81=$AF42)*('Standard Rate Cards'!$BL$9:$BL$81)),0)</f>
        <v>0</v>
      </c>
      <c r="AN42" s="733" cm="1">
        <f t="array" ref="AN42">IF(COUNTIFS($D$50:$D$149,$AF42)&gt;0,SUMPRODUCT(('Standard Rate Cards'!$BM$9:$BM$81=AN$47)*('Standard Rate Cards'!$BG$9:$BG$81=$AF42)*('Standard Rate Cards'!$BL$9:$BL$81)),0)</f>
        <v>8</v>
      </c>
      <c r="AO42" s="733" cm="1">
        <f t="array" ref="AO42">IF(COUNTIFS($D$50:$D$149,$AF42)&gt;0,SUMPRODUCT(('Standard Rate Cards'!$BM$9:$BM$81=AO$47)*('Standard Rate Cards'!$BG$9:$BG$81=$AF42)*('Standard Rate Cards'!$BL$9:$BL$81)),0)</f>
        <v>0</v>
      </c>
      <c r="AP42" s="733" cm="1">
        <f t="array" ref="AP42">IF(COUNTIFS($D$50:$D$149,$AF42)&gt;0,SUMPRODUCT(('Standard Rate Cards'!$BM$9:$BM$81=AP$47)*('Standard Rate Cards'!$BG$9:$BG$81=$AF42)*('Standard Rate Cards'!$BL$9:$BL$81)),0)</f>
        <v>8</v>
      </c>
      <c r="AQ42" s="733" cm="1">
        <f t="array" ref="AQ42">IF(COUNTIFS($D$50:$D$149,$AF42)&gt;0,SUMPRODUCT(('Standard Rate Cards'!$BM$9:$BM$81=AQ$47)*('Standard Rate Cards'!$BG$9:$BG$81=$AF42)*('Standard Rate Cards'!$BL$9:$BL$81)),0)</f>
        <v>0</v>
      </c>
      <c r="AR42" s="733" cm="1">
        <f t="array" ref="AR42">IF(COUNTIFS($D$50:$D$149,$AF42)&gt;0,SUMPRODUCT(('Standard Rate Cards'!$BM$9:$BM$81=AR$47)*('Standard Rate Cards'!$BG$9:$BG$81=$AF42)*('Standard Rate Cards'!$BL$9:$BL$81)),0)</f>
        <v>0</v>
      </c>
      <c r="AS42" s="733" cm="1">
        <f t="array" ref="AS42">IF(COUNTIFS($D$50:$D$149,$AF42)&gt;0,SUMPRODUCT(('Standard Rate Cards'!$BM$9:$BM$81=AS$47)*('Standard Rate Cards'!$BG$9:$BG$81=$AF42)*('Standard Rate Cards'!$BL$9:$BL$81)),0)</f>
        <v>0</v>
      </c>
      <c r="AT42" s="733" cm="1">
        <f t="array" ref="AT42">IF(COUNTIFS($D$50:$D$149,$AF42)&gt;0,SUMPRODUCT(('Standard Rate Cards'!$BM$9:$BM$81=AT$47)*('Standard Rate Cards'!$BG$9:$BG$81=$AF42)*('Standard Rate Cards'!$BL$9:$BL$81)),0)</f>
        <v>0</v>
      </c>
      <c r="AU42" s="733" cm="1">
        <f t="array" ref="AU42">IF(COUNTIFS($D$50:$D$149,$AF42)&gt;0,SUMPRODUCT(('Standard Rate Cards'!$BM$9:$BM$81=AU$47)*('Standard Rate Cards'!$BG$9:$BG$81=$AF42)*('Standard Rate Cards'!$BL$9:$BL$81)),0)</f>
        <v>0</v>
      </c>
      <c r="AV42" s="733" cm="1">
        <f t="array" ref="AV42">IF(COUNTIFS($D$50:$D$149,$AF42)&gt;0,SUMPRODUCT(('Standard Rate Cards'!$BM$9:$BM$81=AV$47)*('Standard Rate Cards'!$BG$9:$BG$81=$AF42)*('Standard Rate Cards'!$BL$9:$BL$81)),0)</f>
        <v>0</v>
      </c>
      <c r="AW42" s="733" cm="1">
        <f t="array" ref="AW42">IF(COUNTIFS($D$50:$D$149,$AF42)&gt;0,SUMPRODUCT(('Standard Rate Cards'!$BM$9:$BM$81=AW$47)*('Standard Rate Cards'!$BG$9:$BG$81=$AF42)*('Standard Rate Cards'!$BL$9:$BL$81)),0)</f>
        <v>0</v>
      </c>
      <c r="AX42" s="733" cm="1">
        <f t="array" ref="AX42">IF(COUNTIFS($D$50:$D$149,$AF42)&gt;0,SUMPRODUCT(('Standard Rate Cards'!$BM$9:$BM$81=AX$47)*('Standard Rate Cards'!$BG$9:$BG$81=$AF42)*('Standard Rate Cards'!$BL$9:$BL$81)),0)</f>
        <v>8</v>
      </c>
      <c r="AY42" s="733" cm="1">
        <f t="array" ref="AY42">IF(COUNTIFS($D$50:$D$149,$AF42)&gt;0,SUMPRODUCT(('Standard Rate Cards'!$BM$9:$BM$81=AY$47)*('Standard Rate Cards'!$BG$9:$BG$81=$AF42)*('Standard Rate Cards'!$BL$9:$BL$81)),0)</f>
        <v>8</v>
      </c>
      <c r="AZ42" s="733" cm="1">
        <f t="array" ref="AZ42">IF(COUNTIFS($D$50:$D$149,$AF42)&gt;0,SUMPRODUCT(('Standard Rate Cards'!$BM$9:$BM$81=AZ$47)*('Standard Rate Cards'!$BG$9:$BG$81=$AF42)*('Standard Rate Cards'!$BL$9:$BL$81)),0)</f>
        <v>0</v>
      </c>
      <c r="BA42" s="733" cm="1">
        <f t="array" ref="BA42">IF(COUNTIFS($D$50:$D$149,$AF42)&gt;0,SUMPRODUCT(('Standard Rate Cards'!$BM$9:$BM$81=BA$47)*('Standard Rate Cards'!$BG$9:$BG$81=$AF42)*('Standard Rate Cards'!$BL$9:$BL$81)),0)</f>
        <v>0</v>
      </c>
      <c r="BB42" s="733" cm="1">
        <f t="array" ref="BB42">IF(COUNTIFS($D$50:$D$149,$AF42)&gt;0,SUMPRODUCT(('Standard Rate Cards'!$BM$9:$BM$81=BB$47)*('Standard Rate Cards'!$BG$9:$BG$81=$AF42)*('Standard Rate Cards'!$BL$9:$BL$81)),0)</f>
        <v>0</v>
      </c>
      <c r="BC42" s="733" cm="1">
        <f t="array" ref="BC42">IF(COUNTIFS($D$50:$D$149,$AF42)&gt;0,SUMPRODUCT(('Standard Rate Cards'!$BM$9:$BM$81=BC$47)*('Standard Rate Cards'!$BG$9:$BG$81=$AF42)*('Standard Rate Cards'!$BL$9:$BL$81)),0)</f>
        <v>0</v>
      </c>
      <c r="BD42" s="733" cm="1">
        <f t="array" ref="BD42">IF(COUNTIFS($D$50:$D$149,$AF42)&gt;0,SUMPRODUCT(('Standard Rate Cards'!$BM$9:$BM$81=BD$47)*('Standard Rate Cards'!$BG$9:$BG$81=$AF42)*('Standard Rate Cards'!$BL$9:$BL$81)),0)</f>
        <v>0</v>
      </c>
      <c r="BE42" s="733" cm="1">
        <f t="array" ref="BE42">IF(COUNTIFS($D$50:$D$149,$AF42)&gt;0,SUMPRODUCT(('Standard Rate Cards'!$BM$9:$BM$81=BE$47)*('Standard Rate Cards'!$BG$9:$BG$81=$AF42)*('Standard Rate Cards'!$BL$9:$BL$81)),0)</f>
        <v>0</v>
      </c>
      <c r="BF42" s="733" cm="1">
        <f t="array" ref="BF42">IF(COUNTIFS($D$50:$D$149,$AF42)&gt;0,SUMPRODUCT(('Standard Rate Cards'!$BM$9:$BM$81=BF$47)*('Standard Rate Cards'!$BG$9:$BG$81=$AF42)*('Standard Rate Cards'!$BL$9:$BL$81)),0)</f>
        <v>0</v>
      </c>
      <c r="BG42" s="733" cm="1">
        <f t="array" ref="BG42">IF(COUNTIFS($D$50:$D$149,$AF42)&gt;0,SUMPRODUCT(('Standard Rate Cards'!$BM$9:$BM$81=BG$47)*('Standard Rate Cards'!$BG$9:$BG$81=$AF42)*('Standard Rate Cards'!$BL$9:$BL$81)),0)</f>
        <v>0</v>
      </c>
      <c r="BH42" s="733" cm="1">
        <f t="array" ref="BH42">IF(COUNTIFS($D$50:$D$149,$AF42)&gt;0,SUMPRODUCT(('Standard Rate Cards'!$BM$9:$BM$81=BH$47)*('Standard Rate Cards'!$BG$9:$BG$81=$AF42)*('Standard Rate Cards'!$BL$9:$BL$81)),0)</f>
        <v>0</v>
      </c>
      <c r="BI42" s="733" cm="1">
        <f t="array" ref="BI42">IF(COUNTIFS($D$50:$D$149,$AF42)&gt;0,SUMPRODUCT(('Standard Rate Cards'!$BM$9:$BM$81=BI$47)*('Standard Rate Cards'!$BG$9:$BG$81=$AF42)*('Standard Rate Cards'!$BL$9:$BL$81)),0)</f>
        <v>0</v>
      </c>
      <c r="BJ42" s="733" cm="1">
        <f t="array" ref="BJ42">IF(COUNTIFS($D$50:$D$149,$AF42)&gt;0,SUMPRODUCT(('Standard Rate Cards'!$BM$9:$BM$81=BJ$47)*('Standard Rate Cards'!$BG$9:$BG$81=$AF42)*('Standard Rate Cards'!$BL$9:$BL$81)),0)</f>
        <v>0</v>
      </c>
      <c r="BK42" s="733" cm="1">
        <f t="array" ref="BK42">IF(COUNTIFS($D$50:$D$149,$AF42)&gt;0,SUMPRODUCT(('Standard Rate Cards'!$BM$9:$BM$81=BK$47)*('Standard Rate Cards'!$BG$9:$BG$81=$AF42)*('Standard Rate Cards'!$BL$9:$BL$81)),0)</f>
        <v>20</v>
      </c>
      <c r="BL42" s="733" cm="1">
        <f t="array" ref="BL42">IF(COUNTIFS($D$50:$D$149,$AF42)&gt;0,SUMPRODUCT(('Standard Rate Cards'!$BM$9:$BM$81=BL$47)*('Standard Rate Cards'!$BG$9:$BG$81=$AF42)*('Standard Rate Cards'!$BL$9:$BL$81)),0)</f>
        <v>0</v>
      </c>
      <c r="BM42" s="733" cm="1">
        <f t="array" ref="BM42">IF(COUNTIFS($D$50:$D$149,$AF42)&gt;0,SUMPRODUCT(('Standard Rate Cards'!$BM$9:$BM$81=BM$47)*('Standard Rate Cards'!$BG$9:$BG$81=$AF42)*('Standard Rate Cards'!$BL$9:$BL$81)),0)</f>
        <v>0</v>
      </c>
      <c r="BN42" s="733" cm="1">
        <f t="array" ref="BN42">IF(COUNTIFS($D$50:$D$149,$AF42)&gt;0,SUMPRODUCT(('Standard Rate Cards'!$BM$9:$BM$81=BN$47)*('Standard Rate Cards'!$BG$9:$BG$81=$AF42)*('Standard Rate Cards'!$BL$9:$BL$81)),0)</f>
        <v>0</v>
      </c>
      <c r="BO42" s="733" cm="1">
        <f t="array" ref="BO42">IF(COUNTIFS($D$50:$D$149,$AF42)&gt;0,SUMPRODUCT(('Standard Rate Cards'!$BM$9:$BM$81=BO$47)*('Standard Rate Cards'!$BG$9:$BG$81=$AF42)*('Standard Rate Cards'!$BL$9:$BL$81)),0)</f>
        <v>24</v>
      </c>
      <c r="BP42" s="733" cm="1">
        <f t="array" ref="BP42">IF(COUNTIFS($D$50:$D$149,$AF42)&gt;0,SUMPRODUCT(('Standard Rate Cards'!$BM$9:$BM$81=BP$47)*('Standard Rate Cards'!$BG$9:$BG$81=$AF42)*('Standard Rate Cards'!$BL$9:$BL$81)),0)</f>
        <v>16</v>
      </c>
      <c r="BQ42" s="733" cm="1">
        <f t="array" ref="BQ42">IF(COUNTIFS($D$50:$D$149,$AF42)&gt;0,SUMPRODUCT(('Standard Rate Cards'!$BM$9:$BM$81=BQ$47)*('Standard Rate Cards'!$BG$9:$BG$81=$AF42)*('Standard Rate Cards'!$BL$9:$BL$81)),0)</f>
        <v>0</v>
      </c>
      <c r="BR42" s="733" cm="1">
        <f t="array" ref="BR42">IF(COUNTIFS($D$50:$D$149,$AF42)&gt;0,SUMPRODUCT(('Standard Rate Cards'!$BM$9:$BM$81=BR$47)*('Standard Rate Cards'!$BG$9:$BG$81=$AF42)*('Standard Rate Cards'!$BL$9:$BL$81)),0)</f>
        <v>0</v>
      </c>
      <c r="BS42" s="733" cm="1">
        <f t="array" ref="BS42">IF(COUNTIFS($D$50:$D$149,$AF42)&gt;0,SUMPRODUCT(('Standard Rate Cards'!$BM$9:$BM$81=BS$47)*('Standard Rate Cards'!$BG$9:$BG$81=$AF42)*('Standard Rate Cards'!$BL$9:$BL$81)),0)</f>
        <v>0</v>
      </c>
      <c r="BT42" s="733" cm="1">
        <f t="array" ref="BT42">IF(COUNTIFS($D$50:$D$149,$AF42)&gt;0,SUMPRODUCT(('Standard Rate Cards'!$BM$9:$BM$81=BT$47)*('Standard Rate Cards'!$BG$9:$BG$81=$AF42)*('Standard Rate Cards'!$BL$9:$BL$81)),0)</f>
        <v>0</v>
      </c>
      <c r="BU42" s="733" cm="1">
        <f t="array" ref="BU42">IF(COUNTIFS($D$50:$D$149,$AF42)&gt;0,SUMPRODUCT(('Standard Rate Cards'!$BM$9:$BM$81=BU$47)*('Standard Rate Cards'!$BG$9:$BG$81=$AF42)*('Standard Rate Cards'!$BL$9:$BL$81)),0)</f>
        <v>0</v>
      </c>
      <c r="BV42" s="733" cm="1">
        <f t="array" ref="BV42">IF(COUNTIFS($D$50:$D$149,$AF42)&gt;0,SUMPRODUCT(('Standard Rate Cards'!$BM$9:$BM$81=BV$47)*('Standard Rate Cards'!$BG$9:$BG$81=$AF42)*('Standard Rate Cards'!$BL$9:$BL$81)),0)</f>
        <v>0</v>
      </c>
      <c r="BW42" s="733" cm="1">
        <f t="array" ref="BW42">IF(COUNTIFS($D$50:$D$149,$AF42)&gt;0,SUMPRODUCT(('Standard Rate Cards'!$BM$9:$BM$81=BW$47)*('Standard Rate Cards'!$BG$9:$BG$81=$AF42)*('Standard Rate Cards'!$BL$9:$BL$81)),0)</f>
        <v>0</v>
      </c>
      <c r="BX42" s="733" cm="1">
        <f t="array" ref="BX42">IF(COUNTIFS($D$50:$D$149,$AF42)&gt;0,SUMPRODUCT(('Standard Rate Cards'!$BM$9:$BM$81=BX$47)*('Standard Rate Cards'!$BG$9:$BG$81=$AF42)*('Standard Rate Cards'!$BL$9:$BL$81)),0)</f>
        <v>0</v>
      </c>
      <c r="BY42" s="733" cm="1">
        <f t="array" ref="BY42">IF(COUNTIFS($D$50:$D$149,$AF42)&gt;0,SUMPRODUCT(('Standard Rate Cards'!$BM$9:$BM$81=BY$47)*('Standard Rate Cards'!$BG$9:$BG$81=$AF42)*('Standard Rate Cards'!$BL$9:$BL$81)),0)</f>
        <v>0</v>
      </c>
      <c r="BZ42" s="733" cm="1">
        <f t="array" ref="BZ42">IF(COUNTIFS($D$50:$D$149,$AF42)&gt;0,SUMPRODUCT(('Standard Rate Cards'!$BM$9:$BM$81=BZ$47)*('Standard Rate Cards'!$BG$9:$BG$81=$AF42)*('Standard Rate Cards'!$BL$9:$BL$81)),0)</f>
        <v>0</v>
      </c>
      <c r="CA42" s="733" cm="1">
        <f t="array" ref="CA42">IF(COUNTIFS($D$50:$D$149,$AF42)&gt;0,SUMPRODUCT(('Standard Rate Cards'!$BM$9:$BM$81=CA$47)*('Standard Rate Cards'!$BG$9:$BG$81=$AF42)*('Standard Rate Cards'!$BL$9:$BL$81)),0)</f>
        <v>0</v>
      </c>
      <c r="CB42" s="733" cm="1">
        <f t="array" ref="CB42">IF(COUNTIFS($D$50:$D$149,$AF42)&gt;0,SUMPRODUCT(('Standard Rate Cards'!$BM$9:$BM$81=CB$47)*('Standard Rate Cards'!$BG$9:$BG$81=$AF42)*('Standard Rate Cards'!$BL$9:$BL$81)),0)</f>
        <v>0</v>
      </c>
      <c r="CC42" s="733" cm="1">
        <f t="array" ref="CC42">IF(COUNTIFS($D$50:$D$149,$AF42)&gt;0,SUMPRODUCT(('Standard Rate Cards'!$BM$9:$BM$81=CC$47)*('Standard Rate Cards'!$BG$9:$BG$81=$AF42)*('Standard Rate Cards'!$BL$9:$BL$81)),0)</f>
        <v>0</v>
      </c>
      <c r="CD42" s="733" cm="1">
        <f t="array" ref="CD42">IF(COUNTIFS($D$50:$D$149,$AF42)&gt;0,SUMPRODUCT(('Standard Rate Cards'!$BM$9:$BM$81=CD$47)*('Standard Rate Cards'!$BG$9:$BG$81=$AF42)*('Standard Rate Cards'!$BL$9:$BL$81)),0)</f>
        <v>0</v>
      </c>
      <c r="CE42" s="733" cm="1">
        <f t="array" ref="CE42">IF(COUNTIFS($D$50:$D$149,$AF42)&gt;0,SUMPRODUCT(('Standard Rate Cards'!$BM$9:$BM$81=CE$47)*('Standard Rate Cards'!$BG$9:$BG$81=$AF42)*('Standard Rate Cards'!$BL$9:$BL$81)),0)</f>
        <v>0</v>
      </c>
      <c r="CF42" s="733" cm="1">
        <f t="array" ref="CF42">IF(COUNTIFS($D$50:$D$149,$AF42)&gt;0,SUMPRODUCT(('Standard Rate Cards'!$BM$9:$BM$81=CF$47)*('Standard Rate Cards'!$BG$9:$BG$81=$AF42)*('Standard Rate Cards'!$BL$9:$BL$81)),0)</f>
        <v>0</v>
      </c>
      <c r="CG42" s="94"/>
      <c r="CH42" s="1506"/>
      <c r="CI42" s="1506"/>
      <c r="CJ42" s="1506"/>
      <c r="CK42" s="1506"/>
      <c r="CL42" s="683"/>
    </row>
    <row r="43" spans="2:91" ht="13.95" customHeight="1" x14ac:dyDescent="0.3">
      <c r="B43" s="226"/>
      <c r="C43" s="1559"/>
      <c r="D43" s="1559"/>
      <c r="E43" s="226"/>
      <c r="F43" s="226"/>
      <c r="G43" s="226"/>
      <c r="H43" s="226"/>
      <c r="I43" s="226"/>
      <c r="J43" s="226"/>
      <c r="M43" s="179"/>
      <c r="N43" s="227"/>
      <c r="O43" s="227"/>
      <c r="P43" s="227"/>
      <c r="Q43" s="227"/>
      <c r="S43" s="610"/>
      <c r="T43" s="610"/>
      <c r="U43" s="610"/>
      <c r="V43" s="610"/>
      <c r="W43" s="610"/>
      <c r="X43" s="598"/>
      <c r="Y43" s="206"/>
      <c r="Z43" s="1560"/>
      <c r="AA43" s="1560"/>
      <c r="AB43" s="206"/>
      <c r="AC43" s="206"/>
      <c r="AD43" s="206"/>
      <c r="AE43" s="206"/>
      <c r="AF43" s="15" t="s">
        <v>405</v>
      </c>
      <c r="AG43" s="733" cm="1">
        <f t="array" ref="AG43">IF(COUNTIFS($D$50:$D$149,$AF43)&gt;0,SUMPRODUCT(('Standard Rate Cards'!$BM$9:$BM$81=AG$47)*('Standard Rate Cards'!$BG$9:$BG$81=$AF43)*('Standard Rate Cards'!$BL$9:$BL$81)),0)</f>
        <v>0</v>
      </c>
      <c r="AH43" s="733" cm="1">
        <f t="array" ref="AH43">IF(COUNTIFS($D$50:$D$149,$AF43)&gt;0,SUMPRODUCT(('Standard Rate Cards'!$BM$9:$BM$81=AH$47)*('Standard Rate Cards'!$BG$9:$BG$81=$AF43)*('Standard Rate Cards'!$BL$9:$BL$81)),0)</f>
        <v>0</v>
      </c>
      <c r="AI43" s="733" cm="1">
        <f t="array" ref="AI43">IF(COUNTIFS($D$50:$D$149,$AF43)&gt;0,SUMPRODUCT(('Standard Rate Cards'!$BM$9:$BM$81=AI$47)*('Standard Rate Cards'!$BG$9:$BG$81=$AF43)*('Standard Rate Cards'!$BL$9:$BL$81)),0)</f>
        <v>0</v>
      </c>
      <c r="AJ43" s="733" cm="1">
        <f t="array" ref="AJ43">IF(COUNTIFS($D$50:$D$149,$AF43)&gt;0,SUMPRODUCT(('Standard Rate Cards'!$BM$9:$BM$81=AJ$47)*('Standard Rate Cards'!$BG$9:$BG$81=$AF43)*('Standard Rate Cards'!$BL$9:$BL$81)),0)</f>
        <v>0</v>
      </c>
      <c r="AK43" s="733" cm="1">
        <f t="array" ref="AK43">IF(COUNTIFS($D$50:$D$149,$AF43)&gt;0,SUMPRODUCT(('Standard Rate Cards'!$BM$9:$BM$81=AK$47)*('Standard Rate Cards'!$BG$9:$BG$81=$AF43)*('Standard Rate Cards'!$BL$9:$BL$81)),0)</f>
        <v>0</v>
      </c>
      <c r="AL43" s="733" cm="1">
        <f t="array" ref="AL43">IF(COUNTIFS($D$50:$D$149,$AF43)&gt;0,SUMPRODUCT(('Standard Rate Cards'!$BM$9:$BM$81=AL$47)*('Standard Rate Cards'!$BG$9:$BG$81=$AF43)*('Standard Rate Cards'!$BL$9:$BL$81)),0)</f>
        <v>0</v>
      </c>
      <c r="AM43" s="733" cm="1">
        <f t="array" ref="AM43">IF(COUNTIFS($D$50:$D$149,$AF43)&gt;0,SUMPRODUCT(('Standard Rate Cards'!$BM$9:$BM$81=AM$47)*('Standard Rate Cards'!$BG$9:$BG$81=$AF43)*('Standard Rate Cards'!$BL$9:$BL$81)),0)</f>
        <v>0</v>
      </c>
      <c r="AN43" s="733" cm="1">
        <f t="array" ref="AN43">IF(COUNTIFS($D$50:$D$149,$AF43)&gt;0,SUMPRODUCT(('Standard Rate Cards'!$BM$9:$BM$81=AN$47)*('Standard Rate Cards'!$BG$9:$BG$81=$AF43)*('Standard Rate Cards'!$BL$9:$BL$81)),0)</f>
        <v>0</v>
      </c>
      <c r="AO43" s="733" cm="1">
        <f t="array" ref="AO43">IF(COUNTIFS($D$50:$D$149,$AF43)&gt;0,SUMPRODUCT(('Standard Rate Cards'!$BM$9:$BM$81=AO$47)*('Standard Rate Cards'!$BG$9:$BG$81=$AF43)*('Standard Rate Cards'!$BL$9:$BL$81)),0)</f>
        <v>0</v>
      </c>
      <c r="AP43" s="733" cm="1">
        <f t="array" ref="AP43">IF(COUNTIFS($D$50:$D$149,$AF43)&gt;0,SUMPRODUCT(('Standard Rate Cards'!$BM$9:$BM$81=AP$47)*('Standard Rate Cards'!$BG$9:$BG$81=$AF43)*('Standard Rate Cards'!$BL$9:$BL$81)),0)</f>
        <v>0</v>
      </c>
      <c r="AQ43" s="733" cm="1">
        <f t="array" ref="AQ43">IF(COUNTIFS($D$50:$D$149,$AF43)&gt;0,SUMPRODUCT(('Standard Rate Cards'!$BM$9:$BM$81=AQ$47)*('Standard Rate Cards'!$BG$9:$BG$81=$AF43)*('Standard Rate Cards'!$BL$9:$BL$81)),0)</f>
        <v>0</v>
      </c>
      <c r="AR43" s="733" cm="1">
        <f t="array" ref="AR43">IF(COUNTIFS($D$50:$D$149,$AF43)&gt;0,SUMPRODUCT(('Standard Rate Cards'!$BM$9:$BM$81=AR$47)*('Standard Rate Cards'!$BG$9:$BG$81=$AF43)*('Standard Rate Cards'!$BL$9:$BL$81)),0)</f>
        <v>0</v>
      </c>
      <c r="AS43" s="733" cm="1">
        <f t="array" ref="AS43">IF(COUNTIFS($D$50:$D$149,$AF43)&gt;0,SUMPRODUCT(('Standard Rate Cards'!$BM$9:$BM$81=AS$47)*('Standard Rate Cards'!$BG$9:$BG$81=$AF43)*('Standard Rate Cards'!$BL$9:$BL$81)),0)</f>
        <v>0</v>
      </c>
      <c r="AT43" s="733" cm="1">
        <f t="array" ref="AT43">IF(COUNTIFS($D$50:$D$149,$AF43)&gt;0,SUMPRODUCT(('Standard Rate Cards'!$BM$9:$BM$81=AT$47)*('Standard Rate Cards'!$BG$9:$BG$81=$AF43)*('Standard Rate Cards'!$BL$9:$BL$81)),0)</f>
        <v>0</v>
      </c>
      <c r="AU43" s="733" cm="1">
        <f t="array" ref="AU43">IF(COUNTIFS($D$50:$D$149,$AF43)&gt;0,SUMPRODUCT(('Standard Rate Cards'!$BM$9:$BM$81=AU$47)*('Standard Rate Cards'!$BG$9:$BG$81=$AF43)*('Standard Rate Cards'!$BL$9:$BL$81)),0)</f>
        <v>0</v>
      </c>
      <c r="AV43" s="733" cm="1">
        <f t="array" ref="AV43">IF(COUNTIFS($D$50:$D$149,$AF43)&gt;0,SUMPRODUCT(('Standard Rate Cards'!$BM$9:$BM$81=AV$47)*('Standard Rate Cards'!$BG$9:$BG$81=$AF43)*('Standard Rate Cards'!$BL$9:$BL$81)),0)</f>
        <v>0</v>
      </c>
      <c r="AW43" s="733" cm="1">
        <f t="array" ref="AW43">IF(COUNTIFS($D$50:$D$149,$AF43)&gt;0,SUMPRODUCT(('Standard Rate Cards'!$BM$9:$BM$81=AW$47)*('Standard Rate Cards'!$BG$9:$BG$81=$AF43)*('Standard Rate Cards'!$BL$9:$BL$81)),0)</f>
        <v>0</v>
      </c>
      <c r="AX43" s="733" cm="1">
        <f t="array" ref="AX43">IF(COUNTIFS($D$50:$D$149,$AF43)&gt;0,SUMPRODUCT(('Standard Rate Cards'!$BM$9:$BM$81=AX$47)*('Standard Rate Cards'!$BG$9:$BG$81=$AF43)*('Standard Rate Cards'!$BL$9:$BL$81)),0)</f>
        <v>0</v>
      </c>
      <c r="AY43" s="733" cm="1">
        <f t="array" ref="AY43">IF(COUNTIFS($D$50:$D$149,$AF43)&gt;0,SUMPRODUCT(('Standard Rate Cards'!$BM$9:$BM$81=AY$47)*('Standard Rate Cards'!$BG$9:$BG$81=$AF43)*('Standard Rate Cards'!$BL$9:$BL$81)),0)</f>
        <v>0</v>
      </c>
      <c r="AZ43" s="733" cm="1">
        <f t="array" ref="AZ43">IF(COUNTIFS($D$50:$D$149,$AF43)&gt;0,SUMPRODUCT(('Standard Rate Cards'!$BM$9:$BM$81=AZ$47)*('Standard Rate Cards'!$BG$9:$BG$81=$AF43)*('Standard Rate Cards'!$BL$9:$BL$81)),0)</f>
        <v>0</v>
      </c>
      <c r="BA43" s="733" cm="1">
        <f t="array" ref="BA43">IF(COUNTIFS($D$50:$D$149,$AF43)&gt;0,SUMPRODUCT(('Standard Rate Cards'!$BM$9:$BM$81=BA$47)*('Standard Rate Cards'!$BG$9:$BG$81=$AF43)*('Standard Rate Cards'!$BL$9:$BL$81)),0)</f>
        <v>0</v>
      </c>
      <c r="BB43" s="733" cm="1">
        <f t="array" ref="BB43">IF(COUNTIFS($D$50:$D$149,$AF43)&gt;0,SUMPRODUCT(('Standard Rate Cards'!$BM$9:$BM$81=BB$47)*('Standard Rate Cards'!$BG$9:$BG$81=$AF43)*('Standard Rate Cards'!$BL$9:$BL$81)),0)</f>
        <v>0</v>
      </c>
      <c r="BC43" s="733" cm="1">
        <f t="array" ref="BC43">IF(COUNTIFS($D$50:$D$149,$AF43)&gt;0,SUMPRODUCT(('Standard Rate Cards'!$BM$9:$BM$81=BC$47)*('Standard Rate Cards'!$BG$9:$BG$81=$AF43)*('Standard Rate Cards'!$BL$9:$BL$81)),0)</f>
        <v>0</v>
      </c>
      <c r="BD43" s="733" cm="1">
        <f t="array" ref="BD43">IF(COUNTIFS($D$50:$D$149,$AF43)&gt;0,SUMPRODUCT(('Standard Rate Cards'!$BM$9:$BM$81=BD$47)*('Standard Rate Cards'!$BG$9:$BG$81=$AF43)*('Standard Rate Cards'!$BL$9:$BL$81)),0)</f>
        <v>0</v>
      </c>
      <c r="BE43" s="733" cm="1">
        <f t="array" ref="BE43">IF(COUNTIFS($D$50:$D$149,$AF43)&gt;0,SUMPRODUCT(('Standard Rate Cards'!$BM$9:$BM$81=BE$47)*('Standard Rate Cards'!$BG$9:$BG$81=$AF43)*('Standard Rate Cards'!$BL$9:$BL$81)),0)</f>
        <v>0</v>
      </c>
      <c r="BF43" s="733" cm="1">
        <f t="array" ref="BF43">IF(COUNTIFS($D$50:$D$149,$AF43)&gt;0,SUMPRODUCT(('Standard Rate Cards'!$BM$9:$BM$81=BF$47)*('Standard Rate Cards'!$BG$9:$BG$81=$AF43)*('Standard Rate Cards'!$BL$9:$BL$81)),0)</f>
        <v>0</v>
      </c>
      <c r="BG43" s="733" cm="1">
        <f t="array" ref="BG43">IF(COUNTIFS($D$50:$D$149,$AF43)&gt;0,SUMPRODUCT(('Standard Rate Cards'!$BM$9:$BM$81=BG$47)*('Standard Rate Cards'!$BG$9:$BG$81=$AF43)*('Standard Rate Cards'!$BL$9:$BL$81)),0)</f>
        <v>0</v>
      </c>
      <c r="BH43" s="733" cm="1">
        <f t="array" ref="BH43">IF(COUNTIFS($D$50:$D$149,$AF43)&gt;0,SUMPRODUCT(('Standard Rate Cards'!$BM$9:$BM$81=BH$47)*('Standard Rate Cards'!$BG$9:$BG$81=$AF43)*('Standard Rate Cards'!$BL$9:$BL$81)),0)</f>
        <v>0</v>
      </c>
      <c r="BI43" s="733" cm="1">
        <f t="array" ref="BI43">IF(COUNTIFS($D$50:$D$149,$AF43)&gt;0,SUMPRODUCT(('Standard Rate Cards'!$BM$9:$BM$81=BI$47)*('Standard Rate Cards'!$BG$9:$BG$81=$AF43)*('Standard Rate Cards'!$BL$9:$BL$81)),0)</f>
        <v>0</v>
      </c>
      <c r="BJ43" s="733" cm="1">
        <f t="array" ref="BJ43">IF(COUNTIFS($D$50:$D$149,$AF43)&gt;0,SUMPRODUCT(('Standard Rate Cards'!$BM$9:$BM$81=BJ$47)*('Standard Rate Cards'!$BG$9:$BG$81=$AF43)*('Standard Rate Cards'!$BL$9:$BL$81)),0)</f>
        <v>0</v>
      </c>
      <c r="BK43" s="733" cm="1">
        <f t="array" ref="BK43">IF(COUNTIFS($D$50:$D$149,$AF43)&gt;0,SUMPRODUCT(('Standard Rate Cards'!$BM$9:$BM$81=BK$47)*('Standard Rate Cards'!$BG$9:$BG$81=$AF43)*('Standard Rate Cards'!$BL$9:$BL$81)),0)</f>
        <v>0</v>
      </c>
      <c r="BL43" s="733" cm="1">
        <f t="array" ref="BL43">IF(COUNTIFS($D$50:$D$149,$AF43)&gt;0,SUMPRODUCT(('Standard Rate Cards'!$BM$9:$BM$81=BL$47)*('Standard Rate Cards'!$BG$9:$BG$81=$AF43)*('Standard Rate Cards'!$BL$9:$BL$81)),0)</f>
        <v>0</v>
      </c>
      <c r="BM43" s="733" cm="1">
        <f t="array" ref="BM43">IF(COUNTIFS($D$50:$D$149,$AF43)&gt;0,SUMPRODUCT(('Standard Rate Cards'!$BM$9:$BM$81=BM$47)*('Standard Rate Cards'!$BG$9:$BG$81=$AF43)*('Standard Rate Cards'!$BL$9:$BL$81)),0)</f>
        <v>0</v>
      </c>
      <c r="BN43" s="733" cm="1">
        <f t="array" ref="BN43">IF(COUNTIFS($D$50:$D$149,$AF43)&gt;0,SUMPRODUCT(('Standard Rate Cards'!$BM$9:$BM$81=BN$47)*('Standard Rate Cards'!$BG$9:$BG$81=$AF43)*('Standard Rate Cards'!$BL$9:$BL$81)),0)</f>
        <v>0</v>
      </c>
      <c r="BO43" s="733" cm="1">
        <f t="array" ref="BO43">IF(COUNTIFS($D$50:$D$149,$AF43)&gt;0,SUMPRODUCT(('Standard Rate Cards'!$BM$9:$BM$81=BO$47)*('Standard Rate Cards'!$BG$9:$BG$81=$AF43)*('Standard Rate Cards'!$BL$9:$BL$81)),0)</f>
        <v>0</v>
      </c>
      <c r="BP43" s="733" cm="1">
        <f t="array" ref="BP43">IF(COUNTIFS($D$50:$D$149,$AF43)&gt;0,SUMPRODUCT(('Standard Rate Cards'!$BM$9:$BM$81=BP$47)*('Standard Rate Cards'!$BG$9:$BG$81=$AF43)*('Standard Rate Cards'!$BL$9:$BL$81)),0)</f>
        <v>0</v>
      </c>
      <c r="BQ43" s="733" cm="1">
        <f t="array" ref="BQ43">IF(COUNTIFS($D$50:$D$149,$AF43)&gt;0,SUMPRODUCT(('Standard Rate Cards'!$BM$9:$BM$81=BQ$47)*('Standard Rate Cards'!$BG$9:$BG$81=$AF43)*('Standard Rate Cards'!$BL$9:$BL$81)),0)</f>
        <v>0</v>
      </c>
      <c r="BR43" s="733" cm="1">
        <f t="array" ref="BR43">IF(COUNTIFS($D$50:$D$149,$AF43)&gt;0,SUMPRODUCT(('Standard Rate Cards'!$BM$9:$BM$81=BR$47)*('Standard Rate Cards'!$BG$9:$BG$81=$AF43)*('Standard Rate Cards'!$BL$9:$BL$81)),0)</f>
        <v>0</v>
      </c>
      <c r="BS43" s="733" cm="1">
        <f t="array" ref="BS43">IF(COUNTIFS($D$50:$D$149,$AF43)&gt;0,SUMPRODUCT(('Standard Rate Cards'!$BM$9:$BM$81=BS$47)*('Standard Rate Cards'!$BG$9:$BG$81=$AF43)*('Standard Rate Cards'!$BL$9:$BL$81)),0)</f>
        <v>0</v>
      </c>
      <c r="BT43" s="733" cm="1">
        <f t="array" ref="BT43">IF(COUNTIFS($D$50:$D$149,$AF43)&gt;0,SUMPRODUCT(('Standard Rate Cards'!$BM$9:$BM$81=BT$47)*('Standard Rate Cards'!$BG$9:$BG$81=$AF43)*('Standard Rate Cards'!$BL$9:$BL$81)),0)</f>
        <v>0</v>
      </c>
      <c r="BU43" s="733" cm="1">
        <f t="array" ref="BU43">IF(COUNTIFS($D$50:$D$149,$AF43)&gt;0,SUMPRODUCT(('Standard Rate Cards'!$BM$9:$BM$81=BU$47)*('Standard Rate Cards'!$BG$9:$BG$81=$AF43)*('Standard Rate Cards'!$BL$9:$BL$81)),0)</f>
        <v>0</v>
      </c>
      <c r="BV43" s="733" cm="1">
        <f t="array" ref="BV43">IF(COUNTIFS($D$50:$D$149,$AF43)&gt;0,SUMPRODUCT(('Standard Rate Cards'!$BM$9:$BM$81=BV$47)*('Standard Rate Cards'!$BG$9:$BG$81=$AF43)*('Standard Rate Cards'!$BL$9:$BL$81)),0)</f>
        <v>0</v>
      </c>
      <c r="BW43" s="733" cm="1">
        <f t="array" ref="BW43">IF(COUNTIFS($D$50:$D$149,$AF43)&gt;0,SUMPRODUCT(('Standard Rate Cards'!$BM$9:$BM$81=BW$47)*('Standard Rate Cards'!$BG$9:$BG$81=$AF43)*('Standard Rate Cards'!$BL$9:$BL$81)),0)</f>
        <v>0</v>
      </c>
      <c r="BX43" s="733" cm="1">
        <f t="array" ref="BX43">IF(COUNTIFS($D$50:$D$149,$AF43)&gt;0,SUMPRODUCT(('Standard Rate Cards'!$BM$9:$BM$81=BX$47)*('Standard Rate Cards'!$BG$9:$BG$81=$AF43)*('Standard Rate Cards'!$BL$9:$BL$81)),0)</f>
        <v>0</v>
      </c>
      <c r="BY43" s="733" cm="1">
        <f t="array" ref="BY43">IF(COUNTIFS($D$50:$D$149,$AF43)&gt;0,SUMPRODUCT(('Standard Rate Cards'!$BM$9:$BM$81=BY$47)*('Standard Rate Cards'!$BG$9:$BG$81=$AF43)*('Standard Rate Cards'!$BL$9:$BL$81)),0)</f>
        <v>0</v>
      </c>
      <c r="BZ43" s="733" cm="1">
        <f t="array" ref="BZ43">IF(COUNTIFS($D$50:$D$149,$AF43)&gt;0,SUMPRODUCT(('Standard Rate Cards'!$BM$9:$BM$81=BZ$47)*('Standard Rate Cards'!$BG$9:$BG$81=$AF43)*('Standard Rate Cards'!$BL$9:$BL$81)),0)</f>
        <v>0</v>
      </c>
      <c r="CA43" s="733" cm="1">
        <f t="array" ref="CA43">IF(COUNTIFS($D$50:$D$149,$AF43)&gt;0,SUMPRODUCT(('Standard Rate Cards'!$BM$9:$BM$81=CA$47)*('Standard Rate Cards'!$BG$9:$BG$81=$AF43)*('Standard Rate Cards'!$BL$9:$BL$81)),0)</f>
        <v>0</v>
      </c>
      <c r="CB43" s="733" cm="1">
        <f t="array" ref="CB43">IF(COUNTIFS($D$50:$D$149,$AF43)&gt;0,SUMPRODUCT(('Standard Rate Cards'!$BM$9:$BM$81=CB$47)*('Standard Rate Cards'!$BG$9:$BG$81=$AF43)*('Standard Rate Cards'!$BL$9:$BL$81)),0)</f>
        <v>0</v>
      </c>
      <c r="CC43" s="733" cm="1">
        <f t="array" ref="CC43">IF(COUNTIFS($D$50:$D$149,$AF43)&gt;0,SUMPRODUCT(('Standard Rate Cards'!$BM$9:$BM$81=CC$47)*('Standard Rate Cards'!$BG$9:$BG$81=$AF43)*('Standard Rate Cards'!$BL$9:$BL$81)),0)</f>
        <v>0</v>
      </c>
      <c r="CD43" s="733" cm="1">
        <f t="array" ref="CD43">IF(COUNTIFS($D$50:$D$149,$AF43)&gt;0,SUMPRODUCT(('Standard Rate Cards'!$BM$9:$BM$81=CD$47)*('Standard Rate Cards'!$BG$9:$BG$81=$AF43)*('Standard Rate Cards'!$BL$9:$BL$81)),0)</f>
        <v>0</v>
      </c>
      <c r="CE43" s="733" cm="1">
        <f t="array" ref="CE43">IF(COUNTIFS($D$50:$D$149,$AF43)&gt;0,SUMPRODUCT(('Standard Rate Cards'!$BM$9:$BM$81=CE$47)*('Standard Rate Cards'!$BG$9:$BG$81=$AF43)*('Standard Rate Cards'!$BL$9:$BL$81)),0)</f>
        <v>0</v>
      </c>
      <c r="CF43" s="733" cm="1">
        <f t="array" ref="CF43">IF(COUNTIFS($D$50:$D$149,$AF43)&gt;0,SUMPRODUCT(('Standard Rate Cards'!$BM$9:$BM$81=CF$47)*('Standard Rate Cards'!$BG$9:$BG$81=$AF43)*('Standard Rate Cards'!$BL$9:$BL$81)),0)</f>
        <v>0</v>
      </c>
      <c r="CG43" s="94"/>
      <c r="CH43" s="1506"/>
      <c r="CI43" s="1506"/>
      <c r="CJ43" s="1506"/>
      <c r="CK43" s="1506"/>
      <c r="CL43" s="683"/>
    </row>
    <row r="44" spans="2:91" ht="13.95" customHeight="1" x14ac:dyDescent="0.3">
      <c r="B44" s="226"/>
      <c r="C44" s="1559"/>
      <c r="D44" s="1559"/>
      <c r="E44" s="226"/>
      <c r="F44" s="226"/>
      <c r="G44" s="226"/>
      <c r="H44" s="226"/>
      <c r="I44" s="226"/>
      <c r="J44" s="226"/>
      <c r="M44" s="179"/>
      <c r="N44" s="227"/>
      <c r="O44" s="227"/>
      <c r="P44" s="227"/>
      <c r="Q44" s="227"/>
      <c r="S44" s="610"/>
      <c r="T44" s="610"/>
      <c r="U44" s="610"/>
      <c r="V44" s="610"/>
      <c r="W44" s="610"/>
      <c r="X44" s="598"/>
      <c r="Y44" s="206"/>
      <c r="Z44" s="1560"/>
      <c r="AA44" s="1560"/>
      <c r="AB44" s="206"/>
      <c r="AC44" s="206"/>
      <c r="AD44" s="206"/>
      <c r="AE44" s="206"/>
      <c r="AF44" s="15" t="s">
        <v>418</v>
      </c>
      <c r="AG44" s="733" cm="1">
        <f t="array" ref="AG44">IF(COUNTIFS($D$50:$D$149,$AF44)&gt;0,SUMPRODUCT(('Standard Rate Cards'!$BM$9:$BM$81=AG$47)*('Standard Rate Cards'!$BG$9:$BG$81=$AF44)*('Standard Rate Cards'!$BL$9:$BL$81)),0)</f>
        <v>0</v>
      </c>
      <c r="AH44" s="733" cm="1">
        <f t="array" ref="AH44">IF(COUNTIFS($D$50:$D$149,$AF44)&gt;0,SUMPRODUCT(('Standard Rate Cards'!$BM$9:$BM$81=AH$47)*('Standard Rate Cards'!$BG$9:$BG$81=$AF44)*('Standard Rate Cards'!$BL$9:$BL$81)),0)</f>
        <v>0</v>
      </c>
      <c r="AI44" s="733" cm="1">
        <f t="array" ref="AI44">IF(COUNTIFS($D$50:$D$149,$AF44)&gt;0,SUMPRODUCT(('Standard Rate Cards'!$BM$9:$BM$81=AI$47)*('Standard Rate Cards'!$BG$9:$BG$81=$AF44)*('Standard Rate Cards'!$BL$9:$BL$81)),0)</f>
        <v>0</v>
      </c>
      <c r="AJ44" s="733" cm="1">
        <f t="array" ref="AJ44">IF(COUNTIFS($D$50:$D$149,$AF44)&gt;0,SUMPRODUCT(('Standard Rate Cards'!$BM$9:$BM$81=AJ$47)*('Standard Rate Cards'!$BG$9:$BG$81=$AF44)*('Standard Rate Cards'!$BL$9:$BL$81)),0)</f>
        <v>0</v>
      </c>
      <c r="AK44" s="733" cm="1">
        <f t="array" ref="AK44">IF(COUNTIFS($D$50:$D$149,$AF44)&gt;0,SUMPRODUCT(('Standard Rate Cards'!$BM$9:$BM$81=AK$47)*('Standard Rate Cards'!$BG$9:$BG$81=$AF44)*('Standard Rate Cards'!$BL$9:$BL$81)),0)</f>
        <v>0</v>
      </c>
      <c r="AL44" s="733" cm="1">
        <f t="array" ref="AL44">IF(COUNTIFS($D$50:$D$149,$AF44)&gt;0,SUMPRODUCT(('Standard Rate Cards'!$BM$9:$BM$81=AL$47)*('Standard Rate Cards'!$BG$9:$BG$81=$AF44)*('Standard Rate Cards'!$BL$9:$BL$81)),0)</f>
        <v>0</v>
      </c>
      <c r="AM44" s="733" cm="1">
        <f t="array" ref="AM44">IF(COUNTIFS($D$50:$D$149,$AF44)&gt;0,SUMPRODUCT(('Standard Rate Cards'!$BM$9:$BM$81=AM$47)*('Standard Rate Cards'!$BG$9:$BG$81=$AF44)*('Standard Rate Cards'!$BL$9:$BL$81)),0)</f>
        <v>0</v>
      </c>
      <c r="AN44" s="733" cm="1">
        <f t="array" ref="AN44">IF(COUNTIFS($D$50:$D$149,$AF44)&gt;0,SUMPRODUCT(('Standard Rate Cards'!$BM$9:$BM$81=AN$47)*('Standard Rate Cards'!$BG$9:$BG$81=$AF44)*('Standard Rate Cards'!$BL$9:$BL$81)),0)</f>
        <v>0</v>
      </c>
      <c r="AO44" s="733" cm="1">
        <f t="array" ref="AO44">IF(COUNTIFS($D$50:$D$149,$AF44)&gt;0,SUMPRODUCT(('Standard Rate Cards'!$BM$9:$BM$81=AO$47)*('Standard Rate Cards'!$BG$9:$BG$81=$AF44)*('Standard Rate Cards'!$BL$9:$BL$81)),0)</f>
        <v>0</v>
      </c>
      <c r="AP44" s="733" cm="1">
        <f t="array" ref="AP44">IF(COUNTIFS($D$50:$D$149,$AF44)&gt;0,SUMPRODUCT(('Standard Rate Cards'!$BM$9:$BM$81=AP$47)*('Standard Rate Cards'!$BG$9:$BG$81=$AF44)*('Standard Rate Cards'!$BL$9:$BL$81)),0)</f>
        <v>0</v>
      </c>
      <c r="AQ44" s="733" cm="1">
        <f t="array" ref="AQ44">IF(COUNTIFS($D$50:$D$149,$AF44)&gt;0,SUMPRODUCT(('Standard Rate Cards'!$BM$9:$BM$81=AQ$47)*('Standard Rate Cards'!$BG$9:$BG$81=$AF44)*('Standard Rate Cards'!$BL$9:$BL$81)),0)</f>
        <v>0</v>
      </c>
      <c r="AR44" s="733" cm="1">
        <f t="array" ref="AR44">IF(COUNTIFS($D$50:$D$149,$AF44)&gt;0,SUMPRODUCT(('Standard Rate Cards'!$BM$9:$BM$81=AR$47)*('Standard Rate Cards'!$BG$9:$BG$81=$AF44)*('Standard Rate Cards'!$BL$9:$BL$81)),0)</f>
        <v>0</v>
      </c>
      <c r="AS44" s="733" cm="1">
        <f t="array" ref="AS44">IF(COUNTIFS($D$50:$D$149,$AF44)&gt;0,SUMPRODUCT(('Standard Rate Cards'!$BM$9:$BM$81=AS$47)*('Standard Rate Cards'!$BG$9:$BG$81=$AF44)*('Standard Rate Cards'!$BL$9:$BL$81)),0)</f>
        <v>0</v>
      </c>
      <c r="AT44" s="733" cm="1">
        <f t="array" ref="AT44">IF(COUNTIFS($D$50:$D$149,$AF44)&gt;0,SUMPRODUCT(('Standard Rate Cards'!$BM$9:$BM$81=AT$47)*('Standard Rate Cards'!$BG$9:$BG$81=$AF44)*('Standard Rate Cards'!$BL$9:$BL$81)),0)</f>
        <v>0</v>
      </c>
      <c r="AU44" s="733" cm="1">
        <f t="array" ref="AU44">IF(COUNTIFS($D$50:$D$149,$AF44)&gt;0,SUMPRODUCT(('Standard Rate Cards'!$BM$9:$BM$81=AU$47)*('Standard Rate Cards'!$BG$9:$BG$81=$AF44)*('Standard Rate Cards'!$BL$9:$BL$81)),0)</f>
        <v>0</v>
      </c>
      <c r="AV44" s="733" cm="1">
        <f t="array" ref="AV44">IF(COUNTIFS($D$50:$D$149,$AF44)&gt;0,SUMPRODUCT(('Standard Rate Cards'!$BM$9:$BM$81=AV$47)*('Standard Rate Cards'!$BG$9:$BG$81=$AF44)*('Standard Rate Cards'!$BL$9:$BL$81)),0)</f>
        <v>0</v>
      </c>
      <c r="AW44" s="733" cm="1">
        <f t="array" ref="AW44">IF(COUNTIFS($D$50:$D$149,$AF44)&gt;0,SUMPRODUCT(('Standard Rate Cards'!$BM$9:$BM$81=AW$47)*('Standard Rate Cards'!$BG$9:$BG$81=$AF44)*('Standard Rate Cards'!$BL$9:$BL$81)),0)</f>
        <v>0</v>
      </c>
      <c r="AX44" s="733" cm="1">
        <f t="array" ref="AX44">IF(COUNTIFS($D$50:$D$149,$AF44)&gt;0,SUMPRODUCT(('Standard Rate Cards'!$BM$9:$BM$81=AX$47)*('Standard Rate Cards'!$BG$9:$BG$81=$AF44)*('Standard Rate Cards'!$BL$9:$BL$81)),0)</f>
        <v>0</v>
      </c>
      <c r="AY44" s="733" cm="1">
        <f t="array" ref="AY44">IF(COUNTIFS($D$50:$D$149,$AF44)&gt;0,SUMPRODUCT(('Standard Rate Cards'!$BM$9:$BM$81=AY$47)*('Standard Rate Cards'!$BG$9:$BG$81=$AF44)*('Standard Rate Cards'!$BL$9:$BL$81)),0)</f>
        <v>0</v>
      </c>
      <c r="AZ44" s="733" cm="1">
        <f t="array" ref="AZ44">IF(COUNTIFS($D$50:$D$149,$AF44)&gt;0,SUMPRODUCT(('Standard Rate Cards'!$BM$9:$BM$81=AZ$47)*('Standard Rate Cards'!$BG$9:$BG$81=$AF44)*('Standard Rate Cards'!$BL$9:$BL$81)),0)</f>
        <v>0</v>
      </c>
      <c r="BA44" s="733" cm="1">
        <f t="array" ref="BA44">IF(COUNTIFS($D$50:$D$149,$AF44)&gt;0,SUMPRODUCT(('Standard Rate Cards'!$BM$9:$BM$81=BA$47)*('Standard Rate Cards'!$BG$9:$BG$81=$AF44)*('Standard Rate Cards'!$BL$9:$BL$81)),0)</f>
        <v>0</v>
      </c>
      <c r="BB44" s="733" cm="1">
        <f t="array" ref="BB44">IF(COUNTIFS($D$50:$D$149,$AF44)&gt;0,SUMPRODUCT(('Standard Rate Cards'!$BM$9:$BM$81=BB$47)*('Standard Rate Cards'!$BG$9:$BG$81=$AF44)*('Standard Rate Cards'!$BL$9:$BL$81)),0)</f>
        <v>0</v>
      </c>
      <c r="BC44" s="733" cm="1">
        <f t="array" ref="BC44">IF(COUNTIFS($D$50:$D$149,$AF44)&gt;0,SUMPRODUCT(('Standard Rate Cards'!$BM$9:$BM$81=BC$47)*('Standard Rate Cards'!$BG$9:$BG$81=$AF44)*('Standard Rate Cards'!$BL$9:$BL$81)),0)</f>
        <v>0</v>
      </c>
      <c r="BD44" s="733" cm="1">
        <f t="array" ref="BD44">IF(COUNTIFS($D$50:$D$149,$AF44)&gt;0,SUMPRODUCT(('Standard Rate Cards'!$BM$9:$BM$81=BD$47)*('Standard Rate Cards'!$BG$9:$BG$81=$AF44)*('Standard Rate Cards'!$BL$9:$BL$81)),0)</f>
        <v>0</v>
      </c>
      <c r="BE44" s="733" cm="1">
        <f t="array" ref="BE44">IF(COUNTIFS($D$50:$D$149,$AF44)&gt;0,SUMPRODUCT(('Standard Rate Cards'!$BM$9:$BM$81=BE$47)*('Standard Rate Cards'!$BG$9:$BG$81=$AF44)*('Standard Rate Cards'!$BL$9:$BL$81)),0)</f>
        <v>0</v>
      </c>
      <c r="BF44" s="733" cm="1">
        <f t="array" ref="BF44">IF(COUNTIFS($D$50:$D$149,$AF44)&gt;0,SUMPRODUCT(('Standard Rate Cards'!$BM$9:$BM$81=BF$47)*('Standard Rate Cards'!$BG$9:$BG$81=$AF44)*('Standard Rate Cards'!$BL$9:$BL$81)),0)</f>
        <v>0</v>
      </c>
      <c r="BG44" s="733" cm="1">
        <f t="array" ref="BG44">IF(COUNTIFS($D$50:$D$149,$AF44)&gt;0,SUMPRODUCT(('Standard Rate Cards'!$BM$9:$BM$81=BG$47)*('Standard Rate Cards'!$BG$9:$BG$81=$AF44)*('Standard Rate Cards'!$BL$9:$BL$81)),0)</f>
        <v>0</v>
      </c>
      <c r="BH44" s="733" cm="1">
        <f t="array" ref="BH44">IF(COUNTIFS($D$50:$D$149,$AF44)&gt;0,SUMPRODUCT(('Standard Rate Cards'!$BM$9:$BM$81=BH$47)*('Standard Rate Cards'!$BG$9:$BG$81=$AF44)*('Standard Rate Cards'!$BL$9:$BL$81)),0)</f>
        <v>0</v>
      </c>
      <c r="BI44" s="733" cm="1">
        <f t="array" ref="BI44">IF(COUNTIFS($D$50:$D$149,$AF44)&gt;0,SUMPRODUCT(('Standard Rate Cards'!$BM$9:$BM$81=BI$47)*('Standard Rate Cards'!$BG$9:$BG$81=$AF44)*('Standard Rate Cards'!$BL$9:$BL$81)),0)</f>
        <v>0</v>
      </c>
      <c r="BJ44" s="733" cm="1">
        <f t="array" ref="BJ44">IF(COUNTIFS($D$50:$D$149,$AF44)&gt;0,SUMPRODUCT(('Standard Rate Cards'!$BM$9:$BM$81=BJ$47)*('Standard Rate Cards'!$BG$9:$BG$81=$AF44)*('Standard Rate Cards'!$BL$9:$BL$81)),0)</f>
        <v>0</v>
      </c>
      <c r="BK44" s="733" cm="1">
        <f t="array" ref="BK44">IF(COUNTIFS($D$50:$D$149,$AF44)&gt;0,SUMPRODUCT(('Standard Rate Cards'!$BM$9:$BM$81=BK$47)*('Standard Rate Cards'!$BG$9:$BG$81=$AF44)*('Standard Rate Cards'!$BL$9:$BL$81)),0)</f>
        <v>0</v>
      </c>
      <c r="BL44" s="733" cm="1">
        <f t="array" ref="BL44">IF(COUNTIFS($D$50:$D$149,$AF44)&gt;0,SUMPRODUCT(('Standard Rate Cards'!$BM$9:$BM$81=BL$47)*('Standard Rate Cards'!$BG$9:$BG$81=$AF44)*('Standard Rate Cards'!$BL$9:$BL$81)),0)</f>
        <v>0</v>
      </c>
      <c r="BM44" s="733" cm="1">
        <f t="array" ref="BM44">IF(COUNTIFS($D$50:$D$149,$AF44)&gt;0,SUMPRODUCT(('Standard Rate Cards'!$BM$9:$BM$81=BM$47)*('Standard Rate Cards'!$BG$9:$BG$81=$AF44)*('Standard Rate Cards'!$BL$9:$BL$81)),0)</f>
        <v>0</v>
      </c>
      <c r="BN44" s="733" cm="1">
        <f t="array" ref="BN44">IF(COUNTIFS($D$50:$D$149,$AF44)&gt;0,SUMPRODUCT(('Standard Rate Cards'!$BM$9:$BM$81=BN$47)*('Standard Rate Cards'!$BG$9:$BG$81=$AF44)*('Standard Rate Cards'!$BL$9:$BL$81)),0)</f>
        <v>0</v>
      </c>
      <c r="BO44" s="733" cm="1">
        <f t="array" ref="BO44">IF(COUNTIFS($D$50:$D$149,$AF44)&gt;0,SUMPRODUCT(('Standard Rate Cards'!$BM$9:$BM$81=BO$47)*('Standard Rate Cards'!$BG$9:$BG$81=$AF44)*('Standard Rate Cards'!$BL$9:$BL$81)),0)</f>
        <v>0</v>
      </c>
      <c r="BP44" s="733" cm="1">
        <f t="array" ref="BP44">IF(COUNTIFS($D$50:$D$149,$AF44)&gt;0,SUMPRODUCT(('Standard Rate Cards'!$BM$9:$BM$81=BP$47)*('Standard Rate Cards'!$BG$9:$BG$81=$AF44)*('Standard Rate Cards'!$BL$9:$BL$81)),0)</f>
        <v>0</v>
      </c>
      <c r="BQ44" s="733" cm="1">
        <f t="array" ref="BQ44">IF(COUNTIFS($D$50:$D$149,$AF44)&gt;0,SUMPRODUCT(('Standard Rate Cards'!$BM$9:$BM$81=BQ$47)*('Standard Rate Cards'!$BG$9:$BG$81=$AF44)*('Standard Rate Cards'!$BL$9:$BL$81)),0)</f>
        <v>0</v>
      </c>
      <c r="BR44" s="733" cm="1">
        <f t="array" ref="BR44">IF(COUNTIFS($D$50:$D$149,$AF44)&gt;0,SUMPRODUCT(('Standard Rate Cards'!$BM$9:$BM$81=BR$47)*('Standard Rate Cards'!$BG$9:$BG$81=$AF44)*('Standard Rate Cards'!$BL$9:$BL$81)),0)</f>
        <v>0</v>
      </c>
      <c r="BS44" s="733" cm="1">
        <f t="array" ref="BS44">IF(COUNTIFS($D$50:$D$149,$AF44)&gt;0,SUMPRODUCT(('Standard Rate Cards'!$BM$9:$BM$81=BS$47)*('Standard Rate Cards'!$BG$9:$BG$81=$AF44)*('Standard Rate Cards'!$BL$9:$BL$81)),0)</f>
        <v>0</v>
      </c>
      <c r="BT44" s="733" cm="1">
        <f t="array" ref="BT44">IF(COUNTIFS($D$50:$D$149,$AF44)&gt;0,SUMPRODUCT(('Standard Rate Cards'!$BM$9:$BM$81=BT$47)*('Standard Rate Cards'!$BG$9:$BG$81=$AF44)*('Standard Rate Cards'!$BL$9:$BL$81)),0)</f>
        <v>0</v>
      </c>
      <c r="BU44" s="733" cm="1">
        <f t="array" ref="BU44">IF(COUNTIFS($D$50:$D$149,$AF44)&gt;0,SUMPRODUCT(('Standard Rate Cards'!$BM$9:$BM$81=BU$47)*('Standard Rate Cards'!$BG$9:$BG$81=$AF44)*('Standard Rate Cards'!$BL$9:$BL$81)),0)</f>
        <v>0</v>
      </c>
      <c r="BV44" s="733" cm="1">
        <f t="array" ref="BV44">IF(COUNTIFS($D$50:$D$149,$AF44)&gt;0,SUMPRODUCT(('Standard Rate Cards'!$BM$9:$BM$81=BV$47)*('Standard Rate Cards'!$BG$9:$BG$81=$AF44)*('Standard Rate Cards'!$BL$9:$BL$81)),0)</f>
        <v>0</v>
      </c>
      <c r="BW44" s="733" cm="1">
        <f t="array" ref="BW44">IF(COUNTIFS($D$50:$D$149,$AF44)&gt;0,SUMPRODUCT(('Standard Rate Cards'!$BM$9:$BM$81=BW$47)*('Standard Rate Cards'!$BG$9:$BG$81=$AF44)*('Standard Rate Cards'!$BL$9:$BL$81)),0)</f>
        <v>0</v>
      </c>
      <c r="BX44" s="733" cm="1">
        <f t="array" ref="BX44">IF(COUNTIFS($D$50:$D$149,$AF44)&gt;0,SUMPRODUCT(('Standard Rate Cards'!$BM$9:$BM$81=BX$47)*('Standard Rate Cards'!$BG$9:$BG$81=$AF44)*('Standard Rate Cards'!$BL$9:$BL$81)),0)</f>
        <v>0</v>
      </c>
      <c r="BY44" s="733" cm="1">
        <f t="array" ref="BY44">IF(COUNTIFS($D$50:$D$149,$AF44)&gt;0,SUMPRODUCT(('Standard Rate Cards'!$BM$9:$BM$81=BY$47)*('Standard Rate Cards'!$BG$9:$BG$81=$AF44)*('Standard Rate Cards'!$BL$9:$BL$81)),0)</f>
        <v>0</v>
      </c>
      <c r="BZ44" s="733" cm="1">
        <f t="array" ref="BZ44">IF(COUNTIFS($D$50:$D$149,$AF44)&gt;0,SUMPRODUCT(('Standard Rate Cards'!$BM$9:$BM$81=BZ$47)*('Standard Rate Cards'!$BG$9:$BG$81=$AF44)*('Standard Rate Cards'!$BL$9:$BL$81)),0)</f>
        <v>0</v>
      </c>
      <c r="CA44" s="733" cm="1">
        <f t="array" ref="CA44">IF(COUNTIFS($D$50:$D$149,$AF44)&gt;0,SUMPRODUCT(('Standard Rate Cards'!$BM$9:$BM$81=CA$47)*('Standard Rate Cards'!$BG$9:$BG$81=$AF44)*('Standard Rate Cards'!$BL$9:$BL$81)),0)</f>
        <v>0</v>
      </c>
      <c r="CB44" s="733" cm="1">
        <f t="array" ref="CB44">IF(COUNTIFS($D$50:$D$149,$AF44)&gt;0,SUMPRODUCT(('Standard Rate Cards'!$BM$9:$BM$81=CB$47)*('Standard Rate Cards'!$BG$9:$BG$81=$AF44)*('Standard Rate Cards'!$BL$9:$BL$81)),0)</f>
        <v>0</v>
      </c>
      <c r="CC44" s="733" cm="1">
        <f t="array" ref="CC44">IF(COUNTIFS($D$50:$D$149,$AF44)&gt;0,SUMPRODUCT(('Standard Rate Cards'!$BM$9:$BM$81=CC$47)*('Standard Rate Cards'!$BG$9:$BG$81=$AF44)*('Standard Rate Cards'!$BL$9:$BL$81)),0)</f>
        <v>0</v>
      </c>
      <c r="CD44" s="733" cm="1">
        <f t="array" ref="CD44">IF(COUNTIFS($D$50:$D$149,$AF44)&gt;0,SUMPRODUCT(('Standard Rate Cards'!$BM$9:$BM$81=CD$47)*('Standard Rate Cards'!$BG$9:$BG$81=$AF44)*('Standard Rate Cards'!$BL$9:$BL$81)),0)</f>
        <v>0</v>
      </c>
      <c r="CE44" s="733" cm="1">
        <f t="array" ref="CE44">IF(COUNTIFS($D$50:$D$149,$AF44)&gt;0,SUMPRODUCT(('Standard Rate Cards'!$BM$9:$BM$81=CE$47)*('Standard Rate Cards'!$BG$9:$BG$81=$AF44)*('Standard Rate Cards'!$BL$9:$BL$81)),0)</f>
        <v>0</v>
      </c>
      <c r="CF44" s="733" cm="1">
        <f t="array" ref="CF44">IF(COUNTIFS($D$50:$D$149,$AF44)&gt;0,SUMPRODUCT(('Standard Rate Cards'!$BM$9:$BM$81=CF$47)*('Standard Rate Cards'!$BG$9:$BG$81=$AF44)*('Standard Rate Cards'!$BL$9:$BL$81)),0)</f>
        <v>0</v>
      </c>
      <c r="CG44" s="94"/>
      <c r="CH44" s="1506"/>
      <c r="CI44" s="1506"/>
      <c r="CJ44" s="1506"/>
      <c r="CK44" s="1506"/>
      <c r="CL44" s="683"/>
    </row>
    <row r="45" spans="2:91" ht="13.95" customHeight="1" x14ac:dyDescent="0.3">
      <c r="B45" s="226"/>
      <c r="C45" s="1559"/>
      <c r="D45" s="1559"/>
      <c r="E45" s="226"/>
      <c r="F45" s="226"/>
      <c r="G45" s="226"/>
      <c r="H45" s="226"/>
      <c r="I45" s="226"/>
      <c r="J45" s="226"/>
      <c r="M45" s="179"/>
      <c r="N45" s="227"/>
      <c r="O45" s="227"/>
      <c r="P45" s="227"/>
      <c r="Q45" s="227"/>
      <c r="S45" s="610"/>
      <c r="T45" s="610"/>
      <c r="U45" s="610"/>
      <c r="V45" s="610"/>
      <c r="W45" s="610"/>
      <c r="X45" s="598"/>
      <c r="Y45" s="206"/>
      <c r="Z45" s="1560"/>
      <c r="AA45" s="1560"/>
      <c r="AB45" s="206"/>
      <c r="AC45" s="206"/>
      <c r="AD45" s="206"/>
      <c r="AE45" s="206"/>
      <c r="AF45" s="15" t="s">
        <v>432</v>
      </c>
      <c r="AG45" s="733" cm="1">
        <f t="array" ref="AG45">IF(COUNTIFS($D$50:$D$149,$AF45)&gt;0,SUMPRODUCT(('Standard Rate Cards'!$BM$9:$BM$81=AG$47)*('Standard Rate Cards'!$BG$9:$BG$81=$AF45)*('Standard Rate Cards'!$BL$9:$BL$81)),0)</f>
        <v>16</v>
      </c>
      <c r="AH45" s="733" cm="1">
        <f t="array" ref="AH45">IF(COUNTIFS($D$50:$D$149,$AF45)&gt;0,SUMPRODUCT(('Standard Rate Cards'!$BM$9:$BM$81=AH$47)*('Standard Rate Cards'!$BG$9:$BG$81=$AF45)*('Standard Rate Cards'!$BL$9:$BL$81)),0)</f>
        <v>0</v>
      </c>
      <c r="AI45" s="733" cm="1">
        <f t="array" ref="AI45">IF(COUNTIFS($D$50:$D$149,$AF45)&gt;0,SUMPRODUCT(('Standard Rate Cards'!$BM$9:$BM$81=AI$47)*('Standard Rate Cards'!$BG$9:$BG$81=$AF45)*('Standard Rate Cards'!$BL$9:$BL$81)),0)</f>
        <v>0</v>
      </c>
      <c r="AJ45" s="733" cm="1">
        <f t="array" ref="AJ45">IF(COUNTIFS($D$50:$D$149,$AF45)&gt;0,SUMPRODUCT(('Standard Rate Cards'!$BM$9:$BM$81=AJ$47)*('Standard Rate Cards'!$BG$9:$BG$81=$AF45)*('Standard Rate Cards'!$BL$9:$BL$81)),0)</f>
        <v>0</v>
      </c>
      <c r="AK45" s="733" cm="1">
        <f t="array" ref="AK45">IF(COUNTIFS($D$50:$D$149,$AF45)&gt;0,SUMPRODUCT(('Standard Rate Cards'!$BM$9:$BM$81=AK$47)*('Standard Rate Cards'!$BG$9:$BG$81=$AF45)*('Standard Rate Cards'!$BL$9:$BL$81)),0)</f>
        <v>0</v>
      </c>
      <c r="AL45" s="733" cm="1">
        <f t="array" ref="AL45">IF(COUNTIFS($D$50:$D$149,$AF45)&gt;0,SUMPRODUCT(('Standard Rate Cards'!$BM$9:$BM$81=AL$47)*('Standard Rate Cards'!$BG$9:$BG$81=$AF45)*('Standard Rate Cards'!$BL$9:$BL$81)),0)</f>
        <v>8</v>
      </c>
      <c r="AM45" s="733" cm="1">
        <f t="array" ref="AM45">IF(COUNTIFS($D$50:$D$149,$AF45)&gt;0,SUMPRODUCT(('Standard Rate Cards'!$BM$9:$BM$81=AM$47)*('Standard Rate Cards'!$BG$9:$BG$81=$AF45)*('Standard Rate Cards'!$BL$9:$BL$81)),0)</f>
        <v>0</v>
      </c>
      <c r="AN45" s="733" cm="1">
        <f t="array" ref="AN45">IF(COUNTIFS($D$50:$D$149,$AF45)&gt;0,SUMPRODUCT(('Standard Rate Cards'!$BM$9:$BM$81=AN$47)*('Standard Rate Cards'!$BG$9:$BG$81=$AF45)*('Standard Rate Cards'!$BL$9:$BL$81)),0)</f>
        <v>16</v>
      </c>
      <c r="AO45" s="733" cm="1">
        <f t="array" ref="AO45">IF(COUNTIFS($D$50:$D$149,$AF45)&gt;0,SUMPRODUCT(('Standard Rate Cards'!$BM$9:$BM$81=AO$47)*('Standard Rate Cards'!$BG$9:$BG$81=$AF45)*('Standard Rate Cards'!$BL$9:$BL$81)),0)</f>
        <v>8</v>
      </c>
      <c r="AP45" s="733" cm="1">
        <f t="array" ref="AP45">IF(COUNTIFS($D$50:$D$149,$AF45)&gt;0,SUMPRODUCT(('Standard Rate Cards'!$BM$9:$BM$81=AP$47)*('Standard Rate Cards'!$BG$9:$BG$81=$AF45)*('Standard Rate Cards'!$BL$9:$BL$81)),0)</f>
        <v>8</v>
      </c>
      <c r="AQ45" s="733" cm="1">
        <f t="array" ref="AQ45">IF(COUNTIFS($D$50:$D$149,$AF45)&gt;0,SUMPRODUCT(('Standard Rate Cards'!$BM$9:$BM$81=AQ$47)*('Standard Rate Cards'!$BG$9:$BG$81=$AF45)*('Standard Rate Cards'!$BL$9:$BL$81)),0)</f>
        <v>0</v>
      </c>
      <c r="AR45" s="733" cm="1">
        <f t="array" ref="AR45">IF(COUNTIFS($D$50:$D$149,$AF45)&gt;0,SUMPRODUCT(('Standard Rate Cards'!$BM$9:$BM$81=AR$47)*('Standard Rate Cards'!$BG$9:$BG$81=$AF45)*('Standard Rate Cards'!$BL$9:$BL$81)),0)</f>
        <v>0</v>
      </c>
      <c r="AS45" s="733" cm="1">
        <f t="array" ref="AS45">IF(COUNTIFS($D$50:$D$149,$AF45)&gt;0,SUMPRODUCT(('Standard Rate Cards'!$BM$9:$BM$81=AS$47)*('Standard Rate Cards'!$BG$9:$BG$81=$AF45)*('Standard Rate Cards'!$BL$9:$BL$81)),0)</f>
        <v>16</v>
      </c>
      <c r="AT45" s="733" cm="1">
        <f t="array" ref="AT45">IF(COUNTIFS($D$50:$D$149,$AF45)&gt;0,SUMPRODUCT(('Standard Rate Cards'!$BM$9:$BM$81=AT$47)*('Standard Rate Cards'!$BG$9:$BG$81=$AF45)*('Standard Rate Cards'!$BL$9:$BL$81)),0)</f>
        <v>8</v>
      </c>
      <c r="AU45" s="733" cm="1">
        <f t="array" ref="AU45">IF(COUNTIFS($D$50:$D$149,$AF45)&gt;0,SUMPRODUCT(('Standard Rate Cards'!$BM$9:$BM$81=AU$47)*('Standard Rate Cards'!$BG$9:$BG$81=$AF45)*('Standard Rate Cards'!$BL$9:$BL$81)),0)</f>
        <v>8</v>
      </c>
      <c r="AV45" s="733" cm="1">
        <f t="array" ref="AV45">IF(COUNTIFS($D$50:$D$149,$AF45)&gt;0,SUMPRODUCT(('Standard Rate Cards'!$BM$9:$BM$81=AV$47)*('Standard Rate Cards'!$BG$9:$BG$81=$AF45)*('Standard Rate Cards'!$BL$9:$BL$81)),0)</f>
        <v>8</v>
      </c>
      <c r="AW45" s="733" cm="1">
        <f t="array" ref="AW45">IF(COUNTIFS($D$50:$D$149,$AF45)&gt;0,SUMPRODUCT(('Standard Rate Cards'!$BM$9:$BM$81=AW$47)*('Standard Rate Cards'!$BG$9:$BG$81=$AF45)*('Standard Rate Cards'!$BL$9:$BL$81)),0)</f>
        <v>8</v>
      </c>
      <c r="AX45" s="733" cm="1">
        <f t="array" ref="AX45">IF(COUNTIFS($D$50:$D$149,$AF45)&gt;0,SUMPRODUCT(('Standard Rate Cards'!$BM$9:$BM$81=AX$47)*('Standard Rate Cards'!$BG$9:$BG$81=$AF45)*('Standard Rate Cards'!$BL$9:$BL$81)),0)</f>
        <v>0</v>
      </c>
      <c r="AY45" s="733" cm="1">
        <f t="array" ref="AY45">IF(COUNTIFS($D$50:$D$149,$AF45)&gt;0,SUMPRODUCT(('Standard Rate Cards'!$BM$9:$BM$81=AY$47)*('Standard Rate Cards'!$BG$9:$BG$81=$AF45)*('Standard Rate Cards'!$BL$9:$BL$81)),0)</f>
        <v>8</v>
      </c>
      <c r="AZ45" s="733" cm="1">
        <f t="array" ref="AZ45">IF(COUNTIFS($D$50:$D$149,$AF45)&gt;0,SUMPRODUCT(('Standard Rate Cards'!$BM$9:$BM$81=AZ$47)*('Standard Rate Cards'!$BG$9:$BG$81=$AF45)*('Standard Rate Cards'!$BL$9:$BL$81)),0)</f>
        <v>0</v>
      </c>
      <c r="BA45" s="733" cm="1">
        <f t="array" ref="BA45">IF(COUNTIFS($D$50:$D$149,$AF45)&gt;0,SUMPRODUCT(('Standard Rate Cards'!$BM$9:$BM$81=BA$47)*('Standard Rate Cards'!$BG$9:$BG$81=$AF45)*('Standard Rate Cards'!$BL$9:$BL$81)),0)</f>
        <v>8</v>
      </c>
      <c r="BB45" s="733" cm="1">
        <f t="array" ref="BB45">IF(COUNTIFS($D$50:$D$149,$AF45)&gt;0,SUMPRODUCT(('Standard Rate Cards'!$BM$9:$BM$81=BB$47)*('Standard Rate Cards'!$BG$9:$BG$81=$AF45)*('Standard Rate Cards'!$BL$9:$BL$81)),0)</f>
        <v>0</v>
      </c>
      <c r="BC45" s="733" cm="1">
        <f t="array" ref="BC45">IF(COUNTIFS($D$50:$D$149,$AF45)&gt;0,SUMPRODUCT(('Standard Rate Cards'!$BM$9:$BM$81=BC$47)*('Standard Rate Cards'!$BG$9:$BG$81=$AF45)*('Standard Rate Cards'!$BL$9:$BL$81)),0)</f>
        <v>16</v>
      </c>
      <c r="BD45" s="733" cm="1">
        <f t="array" ref="BD45">IF(COUNTIFS($D$50:$D$149,$AF45)&gt;0,SUMPRODUCT(('Standard Rate Cards'!$BM$9:$BM$81=BD$47)*('Standard Rate Cards'!$BG$9:$BG$81=$AF45)*('Standard Rate Cards'!$BL$9:$BL$81)),0)</f>
        <v>0</v>
      </c>
      <c r="BE45" s="733" cm="1">
        <f t="array" ref="BE45">IF(COUNTIFS($D$50:$D$149,$AF45)&gt;0,SUMPRODUCT(('Standard Rate Cards'!$BM$9:$BM$81=BE$47)*('Standard Rate Cards'!$BG$9:$BG$81=$AF45)*('Standard Rate Cards'!$BL$9:$BL$81)),0)</f>
        <v>8</v>
      </c>
      <c r="BF45" s="733" cm="1">
        <f t="array" ref="BF45">IF(COUNTIFS($D$50:$D$149,$AF45)&gt;0,SUMPRODUCT(('Standard Rate Cards'!$BM$9:$BM$81=BF$47)*('Standard Rate Cards'!$BG$9:$BG$81=$AF45)*('Standard Rate Cards'!$BL$9:$BL$81)),0)</f>
        <v>0</v>
      </c>
      <c r="BG45" s="733" cm="1">
        <f t="array" ref="BG45">IF(COUNTIFS($D$50:$D$149,$AF45)&gt;0,SUMPRODUCT(('Standard Rate Cards'!$BM$9:$BM$81=BG$47)*('Standard Rate Cards'!$BG$9:$BG$81=$AF45)*('Standard Rate Cards'!$BL$9:$BL$81)),0)</f>
        <v>0</v>
      </c>
      <c r="BH45" s="733" cm="1">
        <f t="array" ref="BH45">IF(COUNTIFS($D$50:$D$149,$AF45)&gt;0,SUMPRODUCT(('Standard Rate Cards'!$BM$9:$BM$81=BH$47)*('Standard Rate Cards'!$BG$9:$BG$81=$AF45)*('Standard Rate Cards'!$BL$9:$BL$81)),0)</f>
        <v>8</v>
      </c>
      <c r="BI45" s="733" cm="1">
        <f t="array" ref="BI45">IF(COUNTIFS($D$50:$D$149,$AF45)&gt;0,SUMPRODUCT(('Standard Rate Cards'!$BM$9:$BM$81=BI$47)*('Standard Rate Cards'!$BG$9:$BG$81=$AF45)*('Standard Rate Cards'!$BL$9:$BL$81)),0)</f>
        <v>0</v>
      </c>
      <c r="BJ45" s="733" cm="1">
        <f t="array" ref="BJ45">IF(COUNTIFS($D$50:$D$149,$AF45)&gt;0,SUMPRODUCT(('Standard Rate Cards'!$BM$9:$BM$81=BJ$47)*('Standard Rate Cards'!$BG$9:$BG$81=$AF45)*('Standard Rate Cards'!$BL$9:$BL$81)),0)</f>
        <v>8</v>
      </c>
      <c r="BK45" s="733" cm="1">
        <f t="array" ref="BK45">IF(COUNTIFS($D$50:$D$149,$AF45)&gt;0,SUMPRODUCT(('Standard Rate Cards'!$BM$9:$BM$81=BK$47)*('Standard Rate Cards'!$BG$9:$BG$81=$AF45)*('Standard Rate Cards'!$BL$9:$BL$81)),0)</f>
        <v>0</v>
      </c>
      <c r="BL45" s="733" cm="1">
        <f t="array" ref="BL45">IF(COUNTIFS($D$50:$D$149,$AF45)&gt;0,SUMPRODUCT(('Standard Rate Cards'!$BM$9:$BM$81=BL$47)*('Standard Rate Cards'!$BG$9:$BG$81=$AF45)*('Standard Rate Cards'!$BL$9:$BL$81)),0)</f>
        <v>8</v>
      </c>
      <c r="BM45" s="733" cm="1">
        <f t="array" ref="BM45">IF(COUNTIFS($D$50:$D$149,$AF45)&gt;0,SUMPRODUCT(('Standard Rate Cards'!$BM$9:$BM$81=BM$47)*('Standard Rate Cards'!$BG$9:$BG$81=$AF45)*('Standard Rate Cards'!$BL$9:$BL$81)),0)</f>
        <v>8</v>
      </c>
      <c r="BN45" s="733" cm="1">
        <f t="array" ref="BN45">IF(COUNTIFS($D$50:$D$149,$AF45)&gt;0,SUMPRODUCT(('Standard Rate Cards'!$BM$9:$BM$81=BN$47)*('Standard Rate Cards'!$BG$9:$BG$81=$AF45)*('Standard Rate Cards'!$BL$9:$BL$81)),0)</f>
        <v>0</v>
      </c>
      <c r="BO45" s="733" cm="1">
        <f t="array" ref="BO45">IF(COUNTIFS($D$50:$D$149,$AF45)&gt;0,SUMPRODUCT(('Standard Rate Cards'!$BM$9:$BM$81=BO$47)*('Standard Rate Cards'!$BG$9:$BG$81=$AF45)*('Standard Rate Cards'!$BL$9:$BL$81)),0)</f>
        <v>16</v>
      </c>
      <c r="BP45" s="733" cm="1">
        <f t="array" ref="BP45">IF(COUNTIFS($D$50:$D$149,$AF45)&gt;0,SUMPRODUCT(('Standard Rate Cards'!$BM$9:$BM$81=BP$47)*('Standard Rate Cards'!$BG$9:$BG$81=$AF45)*('Standard Rate Cards'!$BL$9:$BL$81)),0)</f>
        <v>0</v>
      </c>
      <c r="BQ45" s="733" cm="1">
        <f t="array" ref="BQ45">IF(COUNTIFS($D$50:$D$149,$AF45)&gt;0,SUMPRODUCT(('Standard Rate Cards'!$BM$9:$BM$81=BQ$47)*('Standard Rate Cards'!$BG$9:$BG$81=$AF45)*('Standard Rate Cards'!$BL$9:$BL$81)),0)</f>
        <v>0</v>
      </c>
      <c r="BR45" s="733" cm="1">
        <f t="array" ref="BR45">IF(COUNTIFS($D$50:$D$149,$AF45)&gt;0,SUMPRODUCT(('Standard Rate Cards'!$BM$9:$BM$81=BR$47)*('Standard Rate Cards'!$BG$9:$BG$81=$AF45)*('Standard Rate Cards'!$BL$9:$BL$81)),0)</f>
        <v>0</v>
      </c>
      <c r="BS45" s="733" cm="1">
        <f t="array" ref="BS45">IF(COUNTIFS($D$50:$D$149,$AF45)&gt;0,SUMPRODUCT(('Standard Rate Cards'!$BM$9:$BM$81=BS$47)*('Standard Rate Cards'!$BG$9:$BG$81=$AF45)*('Standard Rate Cards'!$BL$9:$BL$81)),0)</f>
        <v>0</v>
      </c>
      <c r="BT45" s="733" cm="1">
        <f t="array" ref="BT45">IF(COUNTIFS($D$50:$D$149,$AF45)&gt;0,SUMPRODUCT(('Standard Rate Cards'!$BM$9:$BM$81=BT$47)*('Standard Rate Cards'!$BG$9:$BG$81=$AF45)*('Standard Rate Cards'!$BL$9:$BL$81)),0)</f>
        <v>0</v>
      </c>
      <c r="BU45" s="733" cm="1">
        <f t="array" ref="BU45">IF(COUNTIFS($D$50:$D$149,$AF45)&gt;0,SUMPRODUCT(('Standard Rate Cards'!$BM$9:$BM$81=BU$47)*('Standard Rate Cards'!$BG$9:$BG$81=$AF45)*('Standard Rate Cards'!$BL$9:$BL$81)),0)</f>
        <v>0</v>
      </c>
      <c r="BV45" s="733" cm="1">
        <f t="array" ref="BV45">IF(COUNTIFS($D$50:$D$149,$AF45)&gt;0,SUMPRODUCT(('Standard Rate Cards'!$BM$9:$BM$81=BV$47)*('Standard Rate Cards'!$BG$9:$BG$81=$AF45)*('Standard Rate Cards'!$BL$9:$BL$81)),0)</f>
        <v>0</v>
      </c>
      <c r="BW45" s="733" cm="1">
        <f t="array" ref="BW45">IF(COUNTIFS($D$50:$D$149,$AF45)&gt;0,SUMPRODUCT(('Standard Rate Cards'!$BM$9:$BM$81=BW$47)*('Standard Rate Cards'!$BG$9:$BG$81=$AF45)*('Standard Rate Cards'!$BL$9:$BL$81)),0)</f>
        <v>0</v>
      </c>
      <c r="BX45" s="733" cm="1">
        <f t="array" ref="BX45">IF(COUNTIFS($D$50:$D$149,$AF45)&gt;0,SUMPRODUCT(('Standard Rate Cards'!$BM$9:$BM$81=BX$47)*('Standard Rate Cards'!$BG$9:$BG$81=$AF45)*('Standard Rate Cards'!$BL$9:$BL$81)),0)</f>
        <v>0</v>
      </c>
      <c r="BY45" s="733" cm="1">
        <f t="array" ref="BY45">IF(COUNTIFS($D$50:$D$149,$AF45)&gt;0,SUMPRODUCT(('Standard Rate Cards'!$BM$9:$BM$81=BY$47)*('Standard Rate Cards'!$BG$9:$BG$81=$AF45)*('Standard Rate Cards'!$BL$9:$BL$81)),0)</f>
        <v>0</v>
      </c>
      <c r="BZ45" s="733" cm="1">
        <f t="array" ref="BZ45">IF(COUNTIFS($D$50:$D$149,$AF45)&gt;0,SUMPRODUCT(('Standard Rate Cards'!$BM$9:$BM$81=BZ$47)*('Standard Rate Cards'!$BG$9:$BG$81=$AF45)*('Standard Rate Cards'!$BL$9:$BL$81)),0)</f>
        <v>0</v>
      </c>
      <c r="CA45" s="733" cm="1">
        <f t="array" ref="CA45">IF(COUNTIFS($D$50:$D$149,$AF45)&gt;0,SUMPRODUCT(('Standard Rate Cards'!$BM$9:$BM$81=CA$47)*('Standard Rate Cards'!$BG$9:$BG$81=$AF45)*('Standard Rate Cards'!$BL$9:$BL$81)),0)</f>
        <v>0</v>
      </c>
      <c r="CB45" s="733" cm="1">
        <f t="array" ref="CB45">IF(COUNTIFS($D$50:$D$149,$AF45)&gt;0,SUMPRODUCT(('Standard Rate Cards'!$BM$9:$BM$81=CB$47)*('Standard Rate Cards'!$BG$9:$BG$81=$AF45)*('Standard Rate Cards'!$BL$9:$BL$81)),0)</f>
        <v>0</v>
      </c>
      <c r="CC45" s="733" cm="1">
        <f t="array" ref="CC45">IF(COUNTIFS($D$50:$D$149,$AF45)&gt;0,SUMPRODUCT(('Standard Rate Cards'!$BM$9:$BM$81=CC$47)*('Standard Rate Cards'!$BG$9:$BG$81=$AF45)*('Standard Rate Cards'!$BL$9:$BL$81)),0)</f>
        <v>0</v>
      </c>
      <c r="CD45" s="733" cm="1">
        <f t="array" ref="CD45">IF(COUNTIFS($D$50:$D$149,$AF45)&gt;0,SUMPRODUCT(('Standard Rate Cards'!$BM$9:$BM$81=CD$47)*('Standard Rate Cards'!$BG$9:$BG$81=$AF45)*('Standard Rate Cards'!$BL$9:$BL$81)),0)</f>
        <v>0</v>
      </c>
      <c r="CE45" s="733" cm="1">
        <f t="array" ref="CE45">IF(COUNTIFS($D$50:$D$149,$AF45)&gt;0,SUMPRODUCT(('Standard Rate Cards'!$BM$9:$BM$81=CE$47)*('Standard Rate Cards'!$BG$9:$BG$81=$AF45)*('Standard Rate Cards'!$BL$9:$BL$81)),0)</f>
        <v>0</v>
      </c>
      <c r="CF45" s="733" cm="1">
        <f t="array" ref="CF45">IF(COUNTIFS($D$50:$D$149,$AF45)&gt;0,SUMPRODUCT(('Standard Rate Cards'!$BM$9:$BM$81=CF$47)*('Standard Rate Cards'!$BG$9:$BG$81=$AF45)*('Standard Rate Cards'!$BL$9:$BL$81)),0)</f>
        <v>0</v>
      </c>
      <c r="CG45" s="94"/>
      <c r="CH45" s="1506"/>
      <c r="CI45" s="1506"/>
      <c r="CJ45" s="1506"/>
      <c r="CK45" s="1506"/>
      <c r="CL45" s="683"/>
    </row>
    <row r="46" spans="2:91" ht="13.95" customHeight="1" x14ac:dyDescent="0.3">
      <c r="B46" s="226"/>
      <c r="C46" s="1559"/>
      <c r="D46" s="1559"/>
      <c r="E46" s="226"/>
      <c r="F46" s="226"/>
      <c r="G46" s="226"/>
      <c r="H46" s="226"/>
      <c r="I46" s="226"/>
      <c r="J46" s="226"/>
      <c r="M46" s="179"/>
      <c r="N46" s="227"/>
      <c r="O46" s="227"/>
      <c r="P46" s="227"/>
      <c r="Q46" s="227"/>
      <c r="S46" s="610"/>
      <c r="T46" s="610"/>
      <c r="U46" s="610"/>
      <c r="V46" s="610"/>
      <c r="W46" s="610"/>
      <c r="X46" s="598"/>
      <c r="Y46" s="206"/>
      <c r="Z46" s="1560"/>
      <c r="AA46" s="1560"/>
      <c r="AB46" s="206"/>
      <c r="AC46" s="206"/>
      <c r="AD46" s="206"/>
      <c r="AE46" s="206"/>
      <c r="AF46" s="15" t="s">
        <v>443</v>
      </c>
      <c r="AG46" s="733" cm="1">
        <f t="array" ref="AG46">IF(COUNTIFS($D$50:$D$149,$AF46)&gt;0,SUMPRODUCT(('Standard Rate Cards'!$BM$9:$BM$81=AG$47)*('Standard Rate Cards'!$BG$9:$BG$81=$AF46)*('Standard Rate Cards'!$BL$9:$BL$81)),0)</f>
        <v>8</v>
      </c>
      <c r="AH46" s="733" cm="1">
        <f t="array" ref="AH46">IF(COUNTIFS($D$50:$D$149,$AF46)&gt;0,SUMPRODUCT(('Standard Rate Cards'!$BM$9:$BM$81=AH$47)*('Standard Rate Cards'!$BG$9:$BG$81=$AF46)*('Standard Rate Cards'!$BL$9:$BL$81)),0)</f>
        <v>0</v>
      </c>
      <c r="AI46" s="733" cm="1">
        <f t="array" ref="AI46">IF(COUNTIFS($D$50:$D$149,$AF46)&gt;0,SUMPRODUCT(('Standard Rate Cards'!$BM$9:$BM$81=AI$47)*('Standard Rate Cards'!$BG$9:$BG$81=$AF46)*('Standard Rate Cards'!$BL$9:$BL$81)),0)</f>
        <v>0</v>
      </c>
      <c r="AJ46" s="733" cm="1">
        <f t="array" ref="AJ46">IF(COUNTIFS($D$50:$D$149,$AF46)&gt;0,SUMPRODUCT(('Standard Rate Cards'!$BM$9:$BM$81=AJ$47)*('Standard Rate Cards'!$BG$9:$BG$81=$AF46)*('Standard Rate Cards'!$BL$9:$BL$81)),0)</f>
        <v>0</v>
      </c>
      <c r="AK46" s="733" cm="1">
        <f t="array" ref="AK46">IF(COUNTIFS($D$50:$D$149,$AF46)&gt;0,SUMPRODUCT(('Standard Rate Cards'!$BM$9:$BM$81=AK$47)*('Standard Rate Cards'!$BG$9:$BG$81=$AF46)*('Standard Rate Cards'!$BL$9:$BL$81)),0)</f>
        <v>0</v>
      </c>
      <c r="AL46" s="733" cm="1">
        <f t="array" ref="AL46">IF(COUNTIFS($D$50:$D$149,$AF46)&gt;0,SUMPRODUCT(('Standard Rate Cards'!$BM$9:$BM$81=AL$47)*('Standard Rate Cards'!$BG$9:$BG$81=$AF46)*('Standard Rate Cards'!$BL$9:$BL$81)),0)</f>
        <v>0</v>
      </c>
      <c r="AM46" s="733" cm="1">
        <f t="array" ref="AM46">IF(COUNTIFS($D$50:$D$149,$AF46)&gt;0,SUMPRODUCT(('Standard Rate Cards'!$BM$9:$BM$81=AM$47)*('Standard Rate Cards'!$BG$9:$BG$81=$AF46)*('Standard Rate Cards'!$BL$9:$BL$81)),0)</f>
        <v>0</v>
      </c>
      <c r="AN46" s="733" cm="1">
        <f t="array" ref="AN46">IF(COUNTIFS($D$50:$D$149,$AF46)&gt;0,SUMPRODUCT(('Standard Rate Cards'!$BM$9:$BM$81=AN$47)*('Standard Rate Cards'!$BG$9:$BG$81=$AF46)*('Standard Rate Cards'!$BL$9:$BL$81)),0)</f>
        <v>0</v>
      </c>
      <c r="AO46" s="733" cm="1">
        <f t="array" ref="AO46">IF(COUNTIFS($D$50:$D$149,$AF46)&gt;0,SUMPRODUCT(('Standard Rate Cards'!$BM$9:$BM$81=AO$47)*('Standard Rate Cards'!$BG$9:$BG$81=$AF46)*('Standard Rate Cards'!$BL$9:$BL$81)),0)</f>
        <v>0</v>
      </c>
      <c r="AP46" s="733" cm="1">
        <f t="array" ref="AP46">IF(COUNTIFS($D$50:$D$149,$AF46)&gt;0,SUMPRODUCT(('Standard Rate Cards'!$BM$9:$BM$81=AP$47)*('Standard Rate Cards'!$BG$9:$BG$81=$AF46)*('Standard Rate Cards'!$BL$9:$BL$81)),0)</f>
        <v>0</v>
      </c>
      <c r="AQ46" s="733" cm="1">
        <f t="array" ref="AQ46">IF(COUNTIFS($D$50:$D$149,$AF46)&gt;0,SUMPRODUCT(('Standard Rate Cards'!$BM$9:$BM$81=AQ$47)*('Standard Rate Cards'!$BG$9:$BG$81=$AF46)*('Standard Rate Cards'!$BL$9:$BL$81)),0)</f>
        <v>0</v>
      </c>
      <c r="AR46" s="733" cm="1">
        <f t="array" ref="AR46">IF(COUNTIFS($D$50:$D$149,$AF46)&gt;0,SUMPRODUCT(('Standard Rate Cards'!$BM$9:$BM$81=AR$47)*('Standard Rate Cards'!$BG$9:$BG$81=$AF46)*('Standard Rate Cards'!$BL$9:$BL$81)),0)</f>
        <v>0</v>
      </c>
      <c r="AS46" s="733" cm="1">
        <f t="array" ref="AS46">IF(COUNTIFS($D$50:$D$149,$AF46)&gt;0,SUMPRODUCT(('Standard Rate Cards'!$BM$9:$BM$81=AS$47)*('Standard Rate Cards'!$BG$9:$BG$81=$AF46)*('Standard Rate Cards'!$BL$9:$BL$81)),0)</f>
        <v>0</v>
      </c>
      <c r="AT46" s="733" cm="1">
        <f t="array" ref="AT46">IF(COUNTIFS($D$50:$D$149,$AF46)&gt;0,SUMPRODUCT(('Standard Rate Cards'!$BM$9:$BM$81=AT$47)*('Standard Rate Cards'!$BG$9:$BG$81=$AF46)*('Standard Rate Cards'!$BL$9:$BL$81)),0)</f>
        <v>0</v>
      </c>
      <c r="AU46" s="733" cm="1">
        <f t="array" ref="AU46">IF(COUNTIFS($D$50:$D$149,$AF46)&gt;0,SUMPRODUCT(('Standard Rate Cards'!$BM$9:$BM$81=AU$47)*('Standard Rate Cards'!$BG$9:$BG$81=$AF46)*('Standard Rate Cards'!$BL$9:$BL$81)),0)</f>
        <v>0</v>
      </c>
      <c r="AV46" s="733" cm="1">
        <f t="array" ref="AV46">IF(COUNTIFS($D$50:$D$149,$AF46)&gt;0,SUMPRODUCT(('Standard Rate Cards'!$BM$9:$BM$81=AV$47)*('Standard Rate Cards'!$BG$9:$BG$81=$AF46)*('Standard Rate Cards'!$BL$9:$BL$81)),0)</f>
        <v>8</v>
      </c>
      <c r="AW46" s="733" cm="1">
        <f t="array" ref="AW46">IF(COUNTIFS($D$50:$D$149,$AF46)&gt;0,SUMPRODUCT(('Standard Rate Cards'!$BM$9:$BM$81=AW$47)*('Standard Rate Cards'!$BG$9:$BG$81=$AF46)*('Standard Rate Cards'!$BL$9:$BL$81)),0)</f>
        <v>0</v>
      </c>
      <c r="AX46" s="733" cm="1">
        <f t="array" ref="AX46">IF(COUNTIFS($D$50:$D$149,$AF46)&gt;0,SUMPRODUCT(('Standard Rate Cards'!$BM$9:$BM$81=AX$47)*('Standard Rate Cards'!$BG$9:$BG$81=$AF46)*('Standard Rate Cards'!$BL$9:$BL$81)),0)</f>
        <v>0</v>
      </c>
      <c r="AY46" s="733" cm="1">
        <f t="array" ref="AY46">IF(COUNTIFS($D$50:$D$149,$AF46)&gt;0,SUMPRODUCT(('Standard Rate Cards'!$BM$9:$BM$81=AY$47)*('Standard Rate Cards'!$BG$9:$BG$81=$AF46)*('Standard Rate Cards'!$BL$9:$BL$81)),0)</f>
        <v>0</v>
      </c>
      <c r="AZ46" s="733" cm="1">
        <f t="array" ref="AZ46">IF(COUNTIFS($D$50:$D$149,$AF46)&gt;0,SUMPRODUCT(('Standard Rate Cards'!$BM$9:$BM$81=AZ$47)*('Standard Rate Cards'!$BG$9:$BG$81=$AF46)*('Standard Rate Cards'!$BL$9:$BL$81)),0)</f>
        <v>0</v>
      </c>
      <c r="BA46" s="733" cm="1">
        <f t="array" ref="BA46">IF(COUNTIFS($D$50:$D$149,$AF46)&gt;0,SUMPRODUCT(('Standard Rate Cards'!$BM$9:$BM$81=BA$47)*('Standard Rate Cards'!$BG$9:$BG$81=$AF46)*('Standard Rate Cards'!$BL$9:$BL$81)),0)</f>
        <v>0</v>
      </c>
      <c r="BB46" s="733" cm="1">
        <f t="array" ref="BB46">IF(COUNTIFS($D$50:$D$149,$AF46)&gt;0,SUMPRODUCT(('Standard Rate Cards'!$BM$9:$BM$81=BB$47)*('Standard Rate Cards'!$BG$9:$BG$81=$AF46)*('Standard Rate Cards'!$BL$9:$BL$81)),0)</f>
        <v>0</v>
      </c>
      <c r="BC46" s="733" cm="1">
        <f t="array" ref="BC46">IF(COUNTIFS($D$50:$D$149,$AF46)&gt;0,SUMPRODUCT(('Standard Rate Cards'!$BM$9:$BM$81=BC$47)*('Standard Rate Cards'!$BG$9:$BG$81=$AF46)*('Standard Rate Cards'!$BL$9:$BL$81)),0)</f>
        <v>8</v>
      </c>
      <c r="BD46" s="733" cm="1">
        <f t="array" ref="BD46">IF(COUNTIFS($D$50:$D$149,$AF46)&gt;0,SUMPRODUCT(('Standard Rate Cards'!$BM$9:$BM$81=BD$47)*('Standard Rate Cards'!$BG$9:$BG$81=$AF46)*('Standard Rate Cards'!$BL$9:$BL$81)),0)</f>
        <v>0</v>
      </c>
      <c r="BE46" s="733" cm="1">
        <f t="array" ref="BE46">IF(COUNTIFS($D$50:$D$149,$AF46)&gt;0,SUMPRODUCT(('Standard Rate Cards'!$BM$9:$BM$81=BE$47)*('Standard Rate Cards'!$BG$9:$BG$81=$AF46)*('Standard Rate Cards'!$BL$9:$BL$81)),0)</f>
        <v>0</v>
      </c>
      <c r="BF46" s="733" cm="1">
        <f t="array" ref="BF46">IF(COUNTIFS($D$50:$D$149,$AF46)&gt;0,SUMPRODUCT(('Standard Rate Cards'!$BM$9:$BM$81=BF$47)*('Standard Rate Cards'!$BG$9:$BG$81=$AF46)*('Standard Rate Cards'!$BL$9:$BL$81)),0)</f>
        <v>8</v>
      </c>
      <c r="BG46" s="733" cm="1">
        <f t="array" ref="BG46">IF(COUNTIFS($D$50:$D$149,$AF46)&gt;0,SUMPRODUCT(('Standard Rate Cards'!$BM$9:$BM$81=BG$47)*('Standard Rate Cards'!$BG$9:$BG$81=$AF46)*('Standard Rate Cards'!$BL$9:$BL$81)),0)</f>
        <v>0</v>
      </c>
      <c r="BH46" s="733" cm="1">
        <f t="array" ref="BH46">IF(COUNTIFS($D$50:$D$149,$AF46)&gt;0,SUMPRODUCT(('Standard Rate Cards'!$BM$9:$BM$81=BH$47)*('Standard Rate Cards'!$BG$9:$BG$81=$AF46)*('Standard Rate Cards'!$BL$9:$BL$81)),0)</f>
        <v>0</v>
      </c>
      <c r="BI46" s="733" cm="1">
        <f t="array" ref="BI46">IF(COUNTIFS($D$50:$D$149,$AF46)&gt;0,SUMPRODUCT(('Standard Rate Cards'!$BM$9:$BM$81=BI$47)*('Standard Rate Cards'!$BG$9:$BG$81=$AF46)*('Standard Rate Cards'!$BL$9:$BL$81)),0)</f>
        <v>0</v>
      </c>
      <c r="BJ46" s="733" cm="1">
        <f t="array" ref="BJ46">IF(COUNTIFS($D$50:$D$149,$AF46)&gt;0,SUMPRODUCT(('Standard Rate Cards'!$BM$9:$BM$81=BJ$47)*('Standard Rate Cards'!$BG$9:$BG$81=$AF46)*('Standard Rate Cards'!$BL$9:$BL$81)),0)</f>
        <v>0</v>
      </c>
      <c r="BK46" s="733" cm="1">
        <f t="array" ref="BK46">IF(COUNTIFS($D$50:$D$149,$AF46)&gt;0,SUMPRODUCT(('Standard Rate Cards'!$BM$9:$BM$81=BK$47)*('Standard Rate Cards'!$BG$9:$BG$81=$AF46)*('Standard Rate Cards'!$BL$9:$BL$81)),0)</f>
        <v>0</v>
      </c>
      <c r="BL46" s="733" cm="1">
        <f t="array" ref="BL46">IF(COUNTIFS($D$50:$D$149,$AF46)&gt;0,SUMPRODUCT(('Standard Rate Cards'!$BM$9:$BM$81=BL$47)*('Standard Rate Cards'!$BG$9:$BG$81=$AF46)*('Standard Rate Cards'!$BL$9:$BL$81)),0)</f>
        <v>0</v>
      </c>
      <c r="BM46" s="733" cm="1">
        <f t="array" ref="BM46">IF(COUNTIFS($D$50:$D$149,$AF46)&gt;0,SUMPRODUCT(('Standard Rate Cards'!$BM$9:$BM$81=BM$47)*('Standard Rate Cards'!$BG$9:$BG$81=$AF46)*('Standard Rate Cards'!$BL$9:$BL$81)),0)</f>
        <v>0</v>
      </c>
      <c r="BN46" s="733" cm="1">
        <f t="array" ref="BN46">IF(COUNTIFS($D$50:$D$149,$AF46)&gt;0,SUMPRODUCT(('Standard Rate Cards'!$BM$9:$BM$81=BN$47)*('Standard Rate Cards'!$BG$9:$BG$81=$AF46)*('Standard Rate Cards'!$BL$9:$BL$81)),0)</f>
        <v>0</v>
      </c>
      <c r="BO46" s="733" cm="1">
        <f t="array" ref="BO46">IF(COUNTIFS($D$50:$D$149,$AF46)&gt;0,SUMPRODUCT(('Standard Rate Cards'!$BM$9:$BM$81=BO$47)*('Standard Rate Cards'!$BG$9:$BG$81=$AF46)*('Standard Rate Cards'!$BL$9:$BL$81)),0)</f>
        <v>8</v>
      </c>
      <c r="BP46" s="733" cm="1">
        <f t="array" ref="BP46">IF(COUNTIFS($D$50:$D$149,$AF46)&gt;0,SUMPRODUCT(('Standard Rate Cards'!$BM$9:$BM$81=BP$47)*('Standard Rate Cards'!$BG$9:$BG$81=$AF46)*('Standard Rate Cards'!$BL$9:$BL$81)),0)</f>
        <v>0</v>
      </c>
      <c r="BQ46" s="733" cm="1">
        <f t="array" ref="BQ46">IF(COUNTIFS($D$50:$D$149,$AF46)&gt;0,SUMPRODUCT(('Standard Rate Cards'!$BM$9:$BM$81=BQ$47)*('Standard Rate Cards'!$BG$9:$BG$81=$AF46)*('Standard Rate Cards'!$BL$9:$BL$81)),0)</f>
        <v>0</v>
      </c>
      <c r="BR46" s="733" cm="1">
        <f t="array" ref="BR46">IF(COUNTIFS($D$50:$D$149,$AF46)&gt;0,SUMPRODUCT(('Standard Rate Cards'!$BM$9:$BM$81=BR$47)*('Standard Rate Cards'!$BG$9:$BG$81=$AF46)*('Standard Rate Cards'!$BL$9:$BL$81)),0)</f>
        <v>0</v>
      </c>
      <c r="BS46" s="733" cm="1">
        <f t="array" ref="BS46">IF(COUNTIFS($D$50:$D$149,$AF46)&gt;0,SUMPRODUCT(('Standard Rate Cards'!$BM$9:$BM$81=BS$47)*('Standard Rate Cards'!$BG$9:$BG$81=$AF46)*('Standard Rate Cards'!$BL$9:$BL$81)),0)</f>
        <v>0</v>
      </c>
      <c r="BT46" s="733" cm="1">
        <f t="array" ref="BT46">IF(COUNTIFS($D$50:$D$149,$AF46)&gt;0,SUMPRODUCT(('Standard Rate Cards'!$BM$9:$BM$81=BT$47)*('Standard Rate Cards'!$BG$9:$BG$81=$AF46)*('Standard Rate Cards'!$BL$9:$BL$81)),0)</f>
        <v>0</v>
      </c>
      <c r="BU46" s="733" cm="1">
        <f t="array" ref="BU46">IF(COUNTIFS($D$50:$D$149,$AF46)&gt;0,SUMPRODUCT(('Standard Rate Cards'!$BM$9:$BM$81=BU$47)*('Standard Rate Cards'!$BG$9:$BG$81=$AF46)*('Standard Rate Cards'!$BL$9:$BL$81)),0)</f>
        <v>0</v>
      </c>
      <c r="BV46" s="733" cm="1">
        <f t="array" ref="BV46">IF(COUNTIFS($D$50:$D$149,$AF46)&gt;0,SUMPRODUCT(('Standard Rate Cards'!$BM$9:$BM$81=BV$47)*('Standard Rate Cards'!$BG$9:$BG$81=$AF46)*('Standard Rate Cards'!$BL$9:$BL$81)),0)</f>
        <v>0</v>
      </c>
      <c r="BW46" s="733" cm="1">
        <f t="array" ref="BW46">IF(COUNTIFS($D$50:$D$149,$AF46)&gt;0,SUMPRODUCT(('Standard Rate Cards'!$BM$9:$BM$81=BW$47)*('Standard Rate Cards'!$BG$9:$BG$81=$AF46)*('Standard Rate Cards'!$BL$9:$BL$81)),0)</f>
        <v>0</v>
      </c>
      <c r="BX46" s="733" cm="1">
        <f t="array" ref="BX46">IF(COUNTIFS($D$50:$D$149,$AF46)&gt;0,SUMPRODUCT(('Standard Rate Cards'!$BM$9:$BM$81=BX$47)*('Standard Rate Cards'!$BG$9:$BG$81=$AF46)*('Standard Rate Cards'!$BL$9:$BL$81)),0)</f>
        <v>0</v>
      </c>
      <c r="BY46" s="733" cm="1">
        <f t="array" ref="BY46">IF(COUNTIFS($D$50:$D$149,$AF46)&gt;0,SUMPRODUCT(('Standard Rate Cards'!$BM$9:$BM$81=BY$47)*('Standard Rate Cards'!$BG$9:$BG$81=$AF46)*('Standard Rate Cards'!$BL$9:$BL$81)),0)</f>
        <v>0</v>
      </c>
      <c r="BZ46" s="733" cm="1">
        <f t="array" ref="BZ46">IF(COUNTIFS($D$50:$D$149,$AF46)&gt;0,SUMPRODUCT(('Standard Rate Cards'!$BM$9:$BM$81=BZ$47)*('Standard Rate Cards'!$BG$9:$BG$81=$AF46)*('Standard Rate Cards'!$BL$9:$BL$81)),0)</f>
        <v>0</v>
      </c>
      <c r="CA46" s="733" cm="1">
        <f t="array" ref="CA46">IF(COUNTIFS($D$50:$D$149,$AF46)&gt;0,SUMPRODUCT(('Standard Rate Cards'!$BM$9:$BM$81=CA$47)*('Standard Rate Cards'!$BG$9:$BG$81=$AF46)*('Standard Rate Cards'!$BL$9:$BL$81)),0)</f>
        <v>0</v>
      </c>
      <c r="CB46" s="733" cm="1">
        <f t="array" ref="CB46">IF(COUNTIFS($D$50:$D$149,$AF46)&gt;0,SUMPRODUCT(('Standard Rate Cards'!$BM$9:$BM$81=CB$47)*('Standard Rate Cards'!$BG$9:$BG$81=$AF46)*('Standard Rate Cards'!$BL$9:$BL$81)),0)</f>
        <v>0</v>
      </c>
      <c r="CC46" s="733" cm="1">
        <f t="array" ref="CC46">IF(COUNTIFS($D$50:$D$149,$AF46)&gt;0,SUMPRODUCT(('Standard Rate Cards'!$BM$9:$BM$81=CC$47)*('Standard Rate Cards'!$BG$9:$BG$81=$AF46)*('Standard Rate Cards'!$BL$9:$BL$81)),0)</f>
        <v>0</v>
      </c>
      <c r="CD46" s="733" cm="1">
        <f t="array" ref="CD46">IF(COUNTIFS($D$50:$D$149,$AF46)&gt;0,SUMPRODUCT(('Standard Rate Cards'!$BM$9:$BM$81=CD$47)*('Standard Rate Cards'!$BG$9:$BG$81=$AF46)*('Standard Rate Cards'!$BL$9:$BL$81)),0)</f>
        <v>0</v>
      </c>
      <c r="CE46" s="733" cm="1">
        <f t="array" ref="CE46">IF(COUNTIFS($D$50:$D$149,$AF46)&gt;0,SUMPRODUCT(('Standard Rate Cards'!$BM$9:$BM$81=CE$47)*('Standard Rate Cards'!$BG$9:$BG$81=$AF46)*('Standard Rate Cards'!$BL$9:$BL$81)),0)</f>
        <v>0</v>
      </c>
      <c r="CF46" s="733" cm="1">
        <f t="array" ref="CF46">IF(COUNTIFS($D$50:$D$149,$AF46)&gt;0,SUMPRODUCT(('Standard Rate Cards'!$BM$9:$BM$81=CF$47)*('Standard Rate Cards'!$BG$9:$BG$81=$AF46)*('Standard Rate Cards'!$BL$9:$BL$81)),0)</f>
        <v>0</v>
      </c>
      <c r="CG46" s="94"/>
      <c r="CH46" s="1506"/>
      <c r="CI46" s="1506"/>
      <c r="CJ46" s="1506"/>
      <c r="CK46" s="1506"/>
      <c r="CL46" s="683"/>
    </row>
    <row r="47" spans="2:91" ht="85.05" customHeight="1" x14ac:dyDescent="0.3">
      <c r="B47" s="226"/>
      <c r="C47" s="1559"/>
      <c r="D47" s="1559"/>
      <c r="E47" s="226"/>
      <c r="F47" s="226"/>
      <c r="G47" s="226"/>
      <c r="H47" s="226"/>
      <c r="I47" s="226"/>
      <c r="J47" s="226"/>
      <c r="M47" s="179"/>
      <c r="N47" s="227"/>
      <c r="O47" s="227"/>
      <c r="P47" s="227"/>
      <c r="Q47" s="227"/>
      <c r="S47" s="610"/>
      <c r="T47" s="610"/>
      <c r="U47" s="610"/>
      <c r="V47" s="610"/>
      <c r="W47" s="610"/>
      <c r="X47" s="598"/>
      <c r="Y47" s="206"/>
      <c r="Z47" s="1560"/>
      <c r="AA47" s="1560"/>
      <c r="AB47" s="206"/>
      <c r="AC47" s="206"/>
      <c r="AD47" s="206"/>
      <c r="AE47" s="206"/>
      <c r="AF47" s="15" t="s">
        <v>2453</v>
      </c>
      <c r="AG47" s="1203">
        <f>IF(WEEKDAY(AG34,1)=2,AG34,AG34-WEEKDAY(AG34,1)+2)</f>
        <v>45775</v>
      </c>
      <c r="AH47" s="1203">
        <f t="shared" ref="AH47:CF47" si="9">IF(WEEKDAY(AH34,1)=2,AH34,AH34-WEEKDAY(AH34,1)+2)</f>
        <v>45782</v>
      </c>
      <c r="AI47" s="1203">
        <f t="shared" si="9"/>
        <v>45789</v>
      </c>
      <c r="AJ47" s="1203">
        <f t="shared" si="9"/>
        <v>45796</v>
      </c>
      <c r="AK47" s="1203">
        <f t="shared" si="9"/>
        <v>45803</v>
      </c>
      <c r="AL47" s="1203">
        <f t="shared" si="9"/>
        <v>45810</v>
      </c>
      <c r="AM47" s="1203">
        <f t="shared" si="9"/>
        <v>45817</v>
      </c>
      <c r="AN47" s="1203">
        <f t="shared" si="9"/>
        <v>45824</v>
      </c>
      <c r="AO47" s="1203">
        <f t="shared" si="9"/>
        <v>45831</v>
      </c>
      <c r="AP47" s="1203">
        <f t="shared" si="9"/>
        <v>45838</v>
      </c>
      <c r="AQ47" s="1203">
        <f t="shared" si="9"/>
        <v>45845</v>
      </c>
      <c r="AR47" s="1203">
        <f t="shared" si="9"/>
        <v>45852</v>
      </c>
      <c r="AS47" s="1203">
        <f t="shared" si="9"/>
        <v>45859</v>
      </c>
      <c r="AT47" s="1203">
        <f t="shared" si="9"/>
        <v>45866</v>
      </c>
      <c r="AU47" s="1203">
        <f t="shared" si="9"/>
        <v>45873</v>
      </c>
      <c r="AV47" s="1203">
        <f t="shared" si="9"/>
        <v>45880</v>
      </c>
      <c r="AW47" s="1203">
        <f t="shared" si="9"/>
        <v>45887</v>
      </c>
      <c r="AX47" s="1203">
        <f t="shared" si="9"/>
        <v>45894</v>
      </c>
      <c r="AY47" s="1203">
        <f t="shared" si="9"/>
        <v>45901</v>
      </c>
      <c r="AZ47" s="1203">
        <f t="shared" si="9"/>
        <v>45908</v>
      </c>
      <c r="BA47" s="1203">
        <f t="shared" si="9"/>
        <v>45915</v>
      </c>
      <c r="BB47" s="1203">
        <f t="shared" si="9"/>
        <v>45922</v>
      </c>
      <c r="BC47" s="1203">
        <f t="shared" si="9"/>
        <v>45929</v>
      </c>
      <c r="BD47" s="1203">
        <f t="shared" si="9"/>
        <v>45936</v>
      </c>
      <c r="BE47" s="1203">
        <f t="shared" si="9"/>
        <v>45943</v>
      </c>
      <c r="BF47" s="1203">
        <f t="shared" si="9"/>
        <v>45950</v>
      </c>
      <c r="BG47" s="1203">
        <f t="shared" si="9"/>
        <v>45957</v>
      </c>
      <c r="BH47" s="1203">
        <f t="shared" si="9"/>
        <v>45964</v>
      </c>
      <c r="BI47" s="1203">
        <f t="shared" si="9"/>
        <v>45971</v>
      </c>
      <c r="BJ47" s="1203">
        <f t="shared" si="9"/>
        <v>45978</v>
      </c>
      <c r="BK47" s="1203">
        <f t="shared" si="9"/>
        <v>45985</v>
      </c>
      <c r="BL47" s="1203">
        <f t="shared" si="9"/>
        <v>45992</v>
      </c>
      <c r="BM47" s="1203">
        <f t="shared" si="9"/>
        <v>45999</v>
      </c>
      <c r="BN47" s="1203">
        <f t="shared" si="9"/>
        <v>46006</v>
      </c>
      <c r="BO47" s="1203">
        <f t="shared" si="9"/>
        <v>46013</v>
      </c>
      <c r="BP47" s="1203">
        <f t="shared" si="9"/>
        <v>46020</v>
      </c>
      <c r="BQ47" s="1203">
        <f t="shared" si="9"/>
        <v>46027</v>
      </c>
      <c r="BR47" s="1203">
        <f t="shared" si="9"/>
        <v>46034</v>
      </c>
      <c r="BS47" s="1203">
        <f t="shared" si="9"/>
        <v>46041</v>
      </c>
      <c r="BT47" s="1203">
        <f t="shared" si="9"/>
        <v>46048</v>
      </c>
      <c r="BU47" s="1203">
        <f t="shared" si="9"/>
        <v>46055</v>
      </c>
      <c r="BV47" s="1203">
        <f t="shared" si="9"/>
        <v>46062</v>
      </c>
      <c r="BW47" s="1203">
        <f t="shared" si="9"/>
        <v>46069</v>
      </c>
      <c r="BX47" s="1203">
        <f t="shared" si="9"/>
        <v>46076</v>
      </c>
      <c r="BY47" s="1203">
        <f t="shared" si="9"/>
        <v>46083</v>
      </c>
      <c r="BZ47" s="1203">
        <f t="shared" si="9"/>
        <v>46090</v>
      </c>
      <c r="CA47" s="1203">
        <f t="shared" si="9"/>
        <v>46097</v>
      </c>
      <c r="CB47" s="1203">
        <f t="shared" si="9"/>
        <v>46104</v>
      </c>
      <c r="CC47" s="1203">
        <f t="shared" si="9"/>
        <v>46111</v>
      </c>
      <c r="CD47" s="1203">
        <f t="shared" si="9"/>
        <v>46118</v>
      </c>
      <c r="CE47" s="1203">
        <f t="shared" si="9"/>
        <v>46125</v>
      </c>
      <c r="CF47" s="1203">
        <f t="shared" si="9"/>
        <v>46132</v>
      </c>
      <c r="CG47" s="94"/>
      <c r="CH47" s="1506" t="str">
        <f>IF('4. Financial Summary &amp; Totals'!F17&lt;&gt;0,CONCATENATE("Your Project has an estimated ",'4. Financial Summary &amp; Totals'!F17," Holidays"),"")</f>
        <v>Your Project has an estimated 33 Holidays</v>
      </c>
      <c r="CI47" s="1506"/>
      <c r="CJ47" s="1506"/>
      <c r="CK47" s="1506"/>
      <c r="CL47" s="683"/>
    </row>
    <row r="48" spans="2:91" ht="77.099999999999994" customHeight="1" thickBot="1" x14ac:dyDescent="0.35">
      <c r="C48" s="667" t="s">
        <v>1621</v>
      </c>
      <c r="D48" s="667" t="s">
        <v>293</v>
      </c>
      <c r="E48" s="667" t="s">
        <v>294</v>
      </c>
      <c r="F48" s="667"/>
      <c r="G48" s="667" t="s">
        <v>1987</v>
      </c>
      <c r="H48" s="667"/>
      <c r="I48" s="667" t="s">
        <v>1988</v>
      </c>
      <c r="J48" s="667" t="s">
        <v>2359</v>
      </c>
      <c r="K48" s="667" t="s">
        <v>1618</v>
      </c>
      <c r="L48" s="667" t="s">
        <v>1999</v>
      </c>
      <c r="M48" s="667" t="s">
        <v>1619</v>
      </c>
      <c r="N48" s="1657" t="s">
        <v>1836</v>
      </c>
      <c r="O48" s="667" t="s">
        <v>295</v>
      </c>
      <c r="P48" s="668" t="s">
        <v>296</v>
      </c>
      <c r="Q48" s="667" t="s">
        <v>297</v>
      </c>
      <c r="R48" s="667" t="s">
        <v>1620</v>
      </c>
      <c r="S48" s="667" t="s">
        <v>298</v>
      </c>
      <c r="T48" s="669" t="s">
        <v>214</v>
      </c>
      <c r="U48" s="1653" t="s">
        <v>215</v>
      </c>
      <c r="V48" s="1654"/>
      <c r="W48" s="670" t="s">
        <v>216</v>
      </c>
      <c r="X48" s="671" t="s">
        <v>299</v>
      </c>
      <c r="Y48" s="672" t="s">
        <v>300</v>
      </c>
      <c r="Z48" s="1635" t="s">
        <v>301</v>
      </c>
      <c r="AA48" s="1636"/>
      <c r="AF48" s="1202" t="s">
        <v>2452</v>
      </c>
      <c r="AG48" s="733" t="s">
        <v>240</v>
      </c>
      <c r="AH48" s="733" t="s">
        <v>241</v>
      </c>
      <c r="AI48" s="733" t="s">
        <v>242</v>
      </c>
      <c r="AJ48" s="733" t="s">
        <v>243</v>
      </c>
      <c r="AK48" s="733" t="s">
        <v>244</v>
      </c>
      <c r="AL48" s="733" t="s">
        <v>245</v>
      </c>
      <c r="AM48" s="733" t="s">
        <v>246</v>
      </c>
      <c r="AN48" s="733" t="s">
        <v>247</v>
      </c>
      <c r="AO48" s="733" t="s">
        <v>248</v>
      </c>
      <c r="AP48" s="733" t="s">
        <v>249</v>
      </c>
      <c r="AQ48" s="733" t="s">
        <v>250</v>
      </c>
      <c r="AR48" s="733" t="s">
        <v>251</v>
      </c>
      <c r="AS48" s="733" t="s">
        <v>252</v>
      </c>
      <c r="AT48" s="733" t="s">
        <v>253</v>
      </c>
      <c r="AU48" s="733" t="s">
        <v>254</v>
      </c>
      <c r="AV48" s="733" t="s">
        <v>255</v>
      </c>
      <c r="AW48" s="733" t="s">
        <v>256</v>
      </c>
      <c r="AX48" s="733" t="s">
        <v>257</v>
      </c>
      <c r="AY48" s="733" t="s">
        <v>258</v>
      </c>
      <c r="AZ48" s="733" t="s">
        <v>259</v>
      </c>
      <c r="BA48" s="733" t="s">
        <v>260</v>
      </c>
      <c r="BB48" s="733" t="s">
        <v>261</v>
      </c>
      <c r="BC48" s="733" t="s">
        <v>262</v>
      </c>
      <c r="BD48" s="733" t="s">
        <v>263</v>
      </c>
      <c r="BE48" s="734" t="s">
        <v>264</v>
      </c>
      <c r="BF48" s="733" t="s">
        <v>265</v>
      </c>
      <c r="BG48" s="733" t="s">
        <v>266</v>
      </c>
      <c r="BH48" s="733" t="s">
        <v>267</v>
      </c>
      <c r="BI48" s="733" t="s">
        <v>268</v>
      </c>
      <c r="BJ48" s="733" t="s">
        <v>269</v>
      </c>
      <c r="BK48" s="733" t="s">
        <v>270</v>
      </c>
      <c r="BL48" s="733" t="s">
        <v>271</v>
      </c>
      <c r="BM48" s="733" t="s">
        <v>272</v>
      </c>
      <c r="BN48" s="734" t="s">
        <v>273</v>
      </c>
      <c r="BO48" s="733" t="s">
        <v>274</v>
      </c>
      <c r="BP48" s="733" t="s">
        <v>275</v>
      </c>
      <c r="BQ48" s="733" t="s">
        <v>276</v>
      </c>
      <c r="BR48" s="733" t="s">
        <v>277</v>
      </c>
      <c r="BS48" s="734" t="s">
        <v>278</v>
      </c>
      <c r="BT48" s="733" t="s">
        <v>279</v>
      </c>
      <c r="BU48" s="733" t="s">
        <v>280</v>
      </c>
      <c r="BV48" s="733" t="s">
        <v>281</v>
      </c>
      <c r="BW48" s="733" t="s">
        <v>282</v>
      </c>
      <c r="BX48" s="734" t="s">
        <v>283</v>
      </c>
      <c r="BY48" s="733" t="s">
        <v>284</v>
      </c>
      <c r="BZ48" s="733" t="s">
        <v>285</v>
      </c>
      <c r="CA48" s="734" t="s">
        <v>286</v>
      </c>
      <c r="CB48" s="733" t="s">
        <v>287</v>
      </c>
      <c r="CC48" s="733" t="s">
        <v>288</v>
      </c>
      <c r="CD48" s="734" t="s">
        <v>289</v>
      </c>
      <c r="CE48" s="733" t="s">
        <v>290</v>
      </c>
      <c r="CF48" s="733" t="s">
        <v>291</v>
      </c>
      <c r="CG48" s="160"/>
      <c r="CH48" s="684" t="s">
        <v>302</v>
      </c>
      <c r="CI48" s="685" t="s">
        <v>220</v>
      </c>
      <c r="CJ48" s="686" t="s">
        <v>303</v>
      </c>
      <c r="CK48" s="687" t="s">
        <v>304</v>
      </c>
      <c r="CL48" s="688" t="s">
        <v>305</v>
      </c>
    </row>
    <row r="49" spans="3:90" ht="16.2" thickTop="1" thickBot="1" x14ac:dyDescent="0.35">
      <c r="C49" s="673"/>
      <c r="D49" s="1200" t="s">
        <v>2064</v>
      </c>
      <c r="E49" s="673"/>
      <c r="F49" s="673" t="s">
        <v>2028</v>
      </c>
      <c r="G49" s="673"/>
      <c r="H49" s="673" t="s">
        <v>2028</v>
      </c>
      <c r="I49" s="673"/>
      <c r="J49" s="673"/>
      <c r="K49" s="673"/>
      <c r="L49" s="1199" t="s">
        <v>2000</v>
      </c>
      <c r="M49" s="674"/>
      <c r="N49" s="1658"/>
      <c r="O49" s="674"/>
      <c r="P49" s="674"/>
      <c r="Q49" s="673"/>
      <c r="R49" s="673"/>
      <c r="S49" s="675"/>
      <c r="T49" s="675"/>
      <c r="U49" s="1655"/>
      <c r="V49" s="1656"/>
      <c r="W49" s="676"/>
      <c r="X49" s="677">
        <f>D19</f>
        <v>20</v>
      </c>
      <c r="Y49" s="678">
        <f>SUM(AG49:CF49)</f>
        <v>2240</v>
      </c>
      <c r="Z49" s="678" t="s">
        <v>306</v>
      </c>
      <c r="AA49" s="679">
        <v>20</v>
      </c>
      <c r="AG49" s="200">
        <f t="shared" ref="AG49:BL49" si="10">SUM(AG50:AG149)</f>
        <v>80</v>
      </c>
      <c r="AH49" s="200">
        <f t="shared" si="10"/>
        <v>80</v>
      </c>
      <c r="AI49" s="200">
        <f t="shared" si="10"/>
        <v>80</v>
      </c>
      <c r="AJ49" s="200">
        <f t="shared" si="10"/>
        <v>80</v>
      </c>
      <c r="AK49" s="200">
        <f t="shared" si="10"/>
        <v>120</v>
      </c>
      <c r="AL49" s="200">
        <f t="shared" si="10"/>
        <v>120</v>
      </c>
      <c r="AM49" s="200">
        <f t="shared" ref="AM49:AT49" si="11">SUM(AM50:AM149)</f>
        <v>120</v>
      </c>
      <c r="AN49" s="200">
        <f t="shared" si="11"/>
        <v>120</v>
      </c>
      <c r="AO49" s="200">
        <f t="shared" si="11"/>
        <v>120</v>
      </c>
      <c r="AP49" s="200">
        <f t="shared" si="11"/>
        <v>120</v>
      </c>
      <c r="AQ49" s="200">
        <f t="shared" si="11"/>
        <v>120</v>
      </c>
      <c r="AR49" s="200">
        <f t="shared" si="11"/>
        <v>120</v>
      </c>
      <c r="AS49" s="200">
        <f t="shared" si="11"/>
        <v>120</v>
      </c>
      <c r="AT49" s="200">
        <f t="shared" si="11"/>
        <v>120</v>
      </c>
      <c r="AU49" s="200">
        <f t="shared" si="10"/>
        <v>120</v>
      </c>
      <c r="AV49" s="200">
        <f t="shared" si="10"/>
        <v>120</v>
      </c>
      <c r="AW49" s="200">
        <f t="shared" si="10"/>
        <v>120</v>
      </c>
      <c r="AX49" s="200">
        <f t="shared" si="10"/>
        <v>120</v>
      </c>
      <c r="AY49" s="200">
        <f t="shared" si="10"/>
        <v>120</v>
      </c>
      <c r="AZ49" s="200">
        <f t="shared" si="10"/>
        <v>120</v>
      </c>
      <c r="BA49" s="200">
        <f t="shared" si="10"/>
        <v>0</v>
      </c>
      <c r="BB49" s="200">
        <f t="shared" si="10"/>
        <v>0</v>
      </c>
      <c r="BC49" s="200">
        <f t="shared" si="10"/>
        <v>0</v>
      </c>
      <c r="BD49" s="200">
        <f t="shared" si="10"/>
        <v>0</v>
      </c>
      <c r="BE49" s="200">
        <f t="shared" si="10"/>
        <v>0</v>
      </c>
      <c r="BF49" s="200">
        <f t="shared" si="10"/>
        <v>0</v>
      </c>
      <c r="BG49" s="200">
        <f t="shared" si="10"/>
        <v>0</v>
      </c>
      <c r="BH49" s="200">
        <f t="shared" si="10"/>
        <v>0</v>
      </c>
      <c r="BI49" s="200">
        <f t="shared" si="10"/>
        <v>0</v>
      </c>
      <c r="BJ49" s="200">
        <f t="shared" si="10"/>
        <v>0</v>
      </c>
      <c r="BK49" s="200">
        <f t="shared" si="10"/>
        <v>0</v>
      </c>
      <c r="BL49" s="200">
        <f t="shared" si="10"/>
        <v>0</v>
      </c>
      <c r="BM49" s="200">
        <f t="shared" ref="BM49:CF49" si="12">SUM(BM50:BM149)</f>
        <v>0</v>
      </c>
      <c r="BN49" s="200">
        <f t="shared" si="12"/>
        <v>0</v>
      </c>
      <c r="BO49" s="200">
        <f t="shared" si="12"/>
        <v>0</v>
      </c>
      <c r="BP49" s="200">
        <f t="shared" si="12"/>
        <v>0</v>
      </c>
      <c r="BQ49" s="200">
        <f t="shared" si="12"/>
        <v>0</v>
      </c>
      <c r="BR49" s="200">
        <f t="shared" si="12"/>
        <v>0</v>
      </c>
      <c r="BS49" s="200">
        <f t="shared" si="12"/>
        <v>0</v>
      </c>
      <c r="BT49" s="200">
        <f t="shared" si="12"/>
        <v>0</v>
      </c>
      <c r="BU49" s="200">
        <f t="shared" si="12"/>
        <v>0</v>
      </c>
      <c r="BV49" s="200">
        <f t="shared" si="12"/>
        <v>0</v>
      </c>
      <c r="BW49" s="200">
        <f t="shared" si="12"/>
        <v>0</v>
      </c>
      <c r="BX49" s="200">
        <f t="shared" si="12"/>
        <v>0</v>
      </c>
      <c r="BY49" s="200">
        <f t="shared" si="12"/>
        <v>0</v>
      </c>
      <c r="BZ49" s="200">
        <f t="shared" si="12"/>
        <v>0</v>
      </c>
      <c r="CA49" s="200">
        <f t="shared" si="12"/>
        <v>0</v>
      </c>
      <c r="CB49" s="200">
        <f t="shared" si="12"/>
        <v>0</v>
      </c>
      <c r="CC49" s="200">
        <f t="shared" si="12"/>
        <v>0</v>
      </c>
      <c r="CD49" s="200">
        <f t="shared" si="12"/>
        <v>0</v>
      </c>
      <c r="CE49" s="200">
        <f t="shared" si="12"/>
        <v>0</v>
      </c>
      <c r="CF49" s="200">
        <f t="shared" si="12"/>
        <v>0</v>
      </c>
      <c r="CG49" s="689"/>
      <c r="CH49" s="690"/>
      <c r="CI49" s="691"/>
      <c r="CJ49" s="691"/>
      <c r="CK49" s="692"/>
      <c r="CL49" s="693"/>
    </row>
    <row r="50" spans="3:90" ht="15" thickTop="1" x14ac:dyDescent="0.3">
      <c r="C50" s="346"/>
      <c r="D50" s="495" t="s">
        <v>307</v>
      </c>
      <c r="E50" s="346"/>
      <c r="F50" s="346" t="str">
        <f>IFERROR(_xlfn.XLOOKUP(E50,'Standard Rate Cards'!$BB$11:$BB$23,'Standard Rate Cards'!$BA$11:$BA$23),"")</f>
        <v/>
      </c>
      <c r="G50" s="346"/>
      <c r="H50" s="346" t="str">
        <f>IFERROR(_xlfn.XLOOKUP(G50,'Standard Rate Cards'!$AP$8:$AP$142,'Standard Rate Cards'!$AQ$8:$AQ$142),"")</f>
        <v/>
      </c>
      <c r="I50" s="346"/>
      <c r="J50" s="346"/>
      <c r="K50" s="496" t="s">
        <v>539</v>
      </c>
      <c r="L50" s="496">
        <f t="shared" ref="L50:L114" si="13">O50</f>
        <v>2</v>
      </c>
      <c r="M50" s="496" t="str" cm="1">
        <f t="array" ref="M50">IF(ISBLANK(D50),"",IF(D50&lt;&gt;"CrederaUS",INDEX('Standard Rate Cards'!$D$9:$D$433,MATCH(1,('Standard Rate Cards'!$B$9:$B$433='2. Pricing &amp; Import'!D50)*('Standard Rate Cards'!$C$9:$C$433='2. Pricing &amp; Import'!K50),0)),INDEX('Standard Rate Cards'!$D$9:$D$433,MATCH(1,('Standard Rate Cards'!$B$9:$B$433='2. Pricing &amp; Import'!D50)*('Standard Rate Cards'!$C$9:$C$433='2. Pricing &amp; Import'!K50)*('Standard Rate Cards'!$H$9:$H$433=L50),0))))</f>
        <v>Credera US Consulting - L2 / B1-B3 | Consultant</v>
      </c>
      <c r="N50" s="347" t="s">
        <v>759</v>
      </c>
      <c r="O50" s="110">
        <f>IF(ISBLANK(K50)," ",_xlfn.XLOOKUP(K50,'Standard Rate Cards'!C:C,'Standard Rate Cards'!H:H))</f>
        <v>2</v>
      </c>
      <c r="P50" s="246" t="str">
        <f>IF(ISBLANK($K50)," ",_xlfn.XLOOKUP($K50,'Standard Rate Cards'!C:C,'Standard Rate Cards'!F:F))</f>
        <v>Onshore</v>
      </c>
      <c r="Q50" s="348"/>
      <c r="R50" s="250"/>
      <c r="S50" s="680" t="s">
        <v>2344</v>
      </c>
      <c r="T50" s="681" t="s">
        <v>172</v>
      </c>
      <c r="U50" s="1637" t="s">
        <v>424</v>
      </c>
      <c r="V50" s="1638"/>
      <c r="W50" s="681" t="s">
        <v>172</v>
      </c>
      <c r="X50" s="681">
        <f t="shared" ref="X50:X60" si="14">IF(COUNTIF($AG50:$CF50,"&gt;0")=0,"",COUNTIF($AG50:$CF50,"&gt;0"))</f>
        <v>20</v>
      </c>
      <c r="Y50" s="682">
        <f t="shared" ref="Y50:Y60" si="15">IFERROR(IF(SUM(AG50:CF50)=0,"",IF($AA$49&lt;&gt;"WEEKS",(Z50*$AA$49),SUM(AG50:CF50))),"")</f>
        <v>100</v>
      </c>
      <c r="Z50" s="1630">
        <v>5</v>
      </c>
      <c r="AA50" s="1631"/>
      <c r="AF50" s="163"/>
      <c r="AG50" s="497">
        <f>IF($X$49="WEEKS","",IF($Z50="Manual Entry hrs/wk","",IF($X$49&gt;'FORMULA REFS'!A$1,$Z50,"")))</f>
        <v>5</v>
      </c>
      <c r="AH50" s="497">
        <f>IF($X$49="WEEKS","",IF($Z50="Manual Entry hrs/wk","",IF($X$49&gt;'FORMULA REFS'!B$1,$Z50,"")))</f>
        <v>5</v>
      </c>
      <c r="AI50" s="497">
        <f>IF($X$49="WEEKS","",IF($Z50="Manual Entry hrs/wk","",IF($X$49&gt;'FORMULA REFS'!C$1,$Z50,"")))</f>
        <v>5</v>
      </c>
      <c r="AJ50" s="497">
        <f>IF($X$49="WEEKS","",IF($Z50="Manual Entry hrs/wk","",IF($X$49&gt;'FORMULA REFS'!D$1,$Z50,"")))</f>
        <v>5</v>
      </c>
      <c r="AK50" s="497">
        <f>IF($X$49="WEEKS","",IF($Z50="Manual Entry hrs/wk","",IF($X$49&gt;'FORMULA REFS'!E$1,$Z50,"")))</f>
        <v>5</v>
      </c>
      <c r="AL50" s="497">
        <f>IF($X$49="WEEKS","",IF($Z50="Manual Entry hrs/wk","",IF($X$49&gt;'FORMULA REFS'!F$1,$Z50,"")))</f>
        <v>5</v>
      </c>
      <c r="AM50" s="497">
        <f>IF($X$49="WEEKS","",IF($Z50="Manual Entry hrs/wk","",IF($X$49&gt;'FORMULA REFS'!G$1,$Z50,"")))</f>
        <v>5</v>
      </c>
      <c r="AN50" s="497">
        <f>IF($X$49="WEEKS","",IF($Z50="Manual Entry hrs/wk","",IF($X$49&gt;'FORMULA REFS'!H$1,$Z50,"")))</f>
        <v>5</v>
      </c>
      <c r="AO50" s="497">
        <f>IF($X$49="WEEKS","",IF($Z50="Manual Entry hrs/wk","",IF($X$49&gt;'FORMULA REFS'!I$1,$Z50,"")))</f>
        <v>5</v>
      </c>
      <c r="AP50" s="497">
        <f>IF($X$49="WEEKS","",IF($Z50="Manual Entry hrs/wk","",IF($X$49&gt;'FORMULA REFS'!J$1,$Z50,"")))</f>
        <v>5</v>
      </c>
      <c r="AQ50" s="497">
        <f>IF($X$49="WEEKS","",IF($Z50="Manual Entry hrs/wk","",IF($X$49&gt;'FORMULA REFS'!K$1,$Z50,"")))</f>
        <v>5</v>
      </c>
      <c r="AR50" s="497">
        <f>IF($X$49="WEEKS","",IF($Z50="Manual Entry hrs/wk","",IF($X$49&gt;'FORMULA REFS'!L$1,$Z50,"")))</f>
        <v>5</v>
      </c>
      <c r="AS50" s="497">
        <f>IF($X$49="WEEKS","",IF($Z50="Manual Entry hrs/wk","",IF($X$49&gt;'FORMULA REFS'!M$1,$Z50,"")))</f>
        <v>5</v>
      </c>
      <c r="AT50" s="497">
        <f>IF($X$49="WEEKS","",IF($Z50="Manual Entry hrs/wk","",IF($X$49&gt;'FORMULA REFS'!N$1,$Z50,"")))</f>
        <v>5</v>
      </c>
      <c r="AU50" s="497">
        <f>IF($X$49="WEEKS","",IF($Z50="Manual Entry hrs/wk","",IF($X$49&gt;'FORMULA REFS'!O$1,$Z50,"")))</f>
        <v>5</v>
      </c>
      <c r="AV50" s="497">
        <f>IF($X$49="WEEKS","",IF($Z50="Manual Entry hrs/wk","",IF($X$49&gt;'FORMULA REFS'!P$1,$Z50,"")))</f>
        <v>5</v>
      </c>
      <c r="AW50" s="497">
        <f>IF($X$49="WEEKS","",IF($Z50="Manual Entry hrs/wk","",IF($X$49&gt;'FORMULA REFS'!Q$1,$Z50,"")))</f>
        <v>5</v>
      </c>
      <c r="AX50" s="497">
        <f>IF($X$49="WEEKS","",IF($Z50="Manual Entry hrs/wk","",IF($X$49&gt;'FORMULA REFS'!R$1,$Z50,"")))</f>
        <v>5</v>
      </c>
      <c r="AY50" s="497">
        <f>IF($X$49="WEEKS","",IF($Z50="Manual Entry hrs/wk","",IF($X$49&gt;'FORMULA REFS'!S$1,$Z50,"")))</f>
        <v>5</v>
      </c>
      <c r="AZ50" s="497">
        <f>IF($X$49="WEEKS","",IF($Z50="Manual Entry hrs/wk","",IF($X$49&gt;'FORMULA REFS'!T$1,$Z50,"")))</f>
        <v>5</v>
      </c>
      <c r="BA50" s="497" t="str">
        <f>IF($X$49="WEEKS","",IF($Z50="Manual Entry hrs/wk","",IF($X$49&gt;'FORMULA REFS'!U$1,$Z50,"")))</f>
        <v/>
      </c>
      <c r="BB50" s="497" t="str">
        <f>IF($X$49="WEEKS","",IF($Z50="Manual Entry hrs/wk","",IF($X$49&gt;'FORMULA REFS'!V$1,$Z50,"")))</f>
        <v/>
      </c>
      <c r="BC50" s="497" t="str">
        <f>IF($X$49="WEEKS","",IF($Z50="Manual Entry hrs/wk","",IF($X$49&gt;'FORMULA REFS'!W$1,$Z50,"")))</f>
        <v/>
      </c>
      <c r="BD50" s="497" t="str">
        <f>IF($X$49="WEEKS","",IF($Z50="Manual Entry hrs/wk","",IF($X$49&gt;'FORMULA REFS'!X$1,$Z50,"")))</f>
        <v/>
      </c>
      <c r="BE50" s="497" t="str">
        <f>IF($X$49="WEEKS","",IF($Z50="Manual Entry hrs/wk","",IF($X$49&gt;'FORMULA REFS'!Y$1,$Z50,"")))</f>
        <v/>
      </c>
      <c r="BF50" s="497" t="str">
        <f>IF($X$49="WEEKS","",IF($Z50="Manual Entry hrs/wk","",IF($X$49&gt;'FORMULA REFS'!Z$1,$Z50,"")))</f>
        <v/>
      </c>
      <c r="BG50" s="497" t="str">
        <f>IF($X$49="WEEKS","",IF($Z50="Manual Entry hrs/wk","",IF($X$49&gt;'FORMULA REFS'!AA$1,$Z50,"")))</f>
        <v/>
      </c>
      <c r="BH50" s="497" t="str">
        <f>IF($X$49="WEEKS","",IF($Z50="Manual Entry hrs/wk","",IF($X$49&gt;'FORMULA REFS'!AB$1,$Z50,"")))</f>
        <v/>
      </c>
      <c r="BI50" s="497" t="str">
        <f>IF($X$49="WEEKS","",IF($Z50="Manual Entry hrs/wk","",IF($X$49&gt;'FORMULA REFS'!AC$1,$Z50,"")))</f>
        <v/>
      </c>
      <c r="BJ50" s="497" t="str">
        <f>IF($X$49="WEEKS","",IF($Z50="Manual Entry hrs/wk","",IF($X$49&gt;'FORMULA REFS'!AD$1,$Z50,"")))</f>
        <v/>
      </c>
      <c r="BK50" s="497" t="str">
        <f>IF($X$49="WEEKS","",IF($Z50="Manual Entry hrs/wk","",IF($X$49&gt;'FORMULA REFS'!AE$1,$Z50,"")))</f>
        <v/>
      </c>
      <c r="BL50" s="497" t="str">
        <f>IF($X$49="WEEKS","",IF($Z50="Manual Entry hrs/wk","",IF($X$49&gt;'FORMULA REFS'!AF$1,$Z50,"")))</f>
        <v/>
      </c>
      <c r="BM50" s="497" t="str">
        <f>IF($X$49="WEEKS","",IF($Z50="Manual Entry hrs/wk","",IF($X$49&gt;'FORMULA REFS'!AG$1,$Z50,"")))</f>
        <v/>
      </c>
      <c r="BN50" s="497" t="str">
        <f>IF($X$49="WEEKS","",IF($Z50="Manual Entry hrs/wk","",IF($X$49&gt;'FORMULA REFS'!AH$1,$Z50,"")))</f>
        <v/>
      </c>
      <c r="BO50" s="497" t="str">
        <f>IF($X$49="WEEKS","",IF($Z50="Manual Entry hrs/wk","",IF($X$49&gt;'FORMULA REFS'!AI$1,$Z50,"")))</f>
        <v/>
      </c>
      <c r="BP50" s="497" t="str">
        <f>IF($X$49="WEEKS","",IF($Z50="Manual Entry hrs/wk","",IF($X$49&gt;'FORMULA REFS'!AJ$1,$Z50,"")))</f>
        <v/>
      </c>
      <c r="BQ50" s="497" t="str">
        <f>IF($X$49="WEEKS","",IF($Z50="Manual Entry hrs/wk","",IF($X$49&gt;'FORMULA REFS'!AK$1,$Z50,"")))</f>
        <v/>
      </c>
      <c r="BR50" s="497" t="str">
        <f>IF($X$49="WEEKS","",IF($Z50="Manual Entry hrs/wk","",IF($X$49&gt;'FORMULA REFS'!AL$1,$Z50,"")))</f>
        <v/>
      </c>
      <c r="BS50" s="497" t="str">
        <f>IF($X$49="WEEKS","",IF($Z50="Manual Entry hrs/wk","",IF($X$49&gt;'FORMULA REFS'!AM$1,$Z50,"")))</f>
        <v/>
      </c>
      <c r="BT50" s="497" t="str">
        <f>IF($X$49="WEEKS","",IF($Z50="Manual Entry hrs/wk","",IF($X$49&gt;'FORMULA REFS'!AN$1,$Z50,"")))</f>
        <v/>
      </c>
      <c r="BU50" s="497" t="str">
        <f>IF($X$49="WEEKS","",IF($Z50="Manual Entry hrs/wk","",IF($X$49&gt;'FORMULA REFS'!AO$1,$Z50,"")))</f>
        <v/>
      </c>
      <c r="BV50" s="497" t="str">
        <f>IF($X$49="WEEKS","",IF($Z50="Manual Entry hrs/wk","",IF($X$49&gt;'FORMULA REFS'!AP$1,$Z50,"")))</f>
        <v/>
      </c>
      <c r="BW50" s="497" t="str">
        <f>IF($X$49="WEEKS","",IF($Z50="Manual Entry hrs/wk","",IF($X$49&gt;'FORMULA REFS'!AQ$1,$Z50,"")))</f>
        <v/>
      </c>
      <c r="BX50" s="497" t="str">
        <f>IF($X$49="WEEKS","",IF($Z50="Manual Entry hrs/wk","",IF($X$49&gt;'FORMULA REFS'!AR$1,$Z50,"")))</f>
        <v/>
      </c>
      <c r="BY50" s="497" t="str">
        <f>IF($X$49="WEEKS","",IF($Z50="Manual Entry hrs/wk","",IF($X$49&gt;'FORMULA REFS'!AS$1,$Z50,"")))</f>
        <v/>
      </c>
      <c r="BZ50" s="497" t="str">
        <f>IF($X$49="WEEKS","",IF($Z50="Manual Entry hrs/wk","",IF($X$49&gt;'FORMULA REFS'!AT$1,$Z50,"")))</f>
        <v/>
      </c>
      <c r="CA50" s="497" t="str">
        <f>IF($X$49="WEEKS","",IF($Z50="Manual Entry hrs/wk","",IF($X$49&gt;'FORMULA REFS'!AU$1,$Z50,"")))</f>
        <v/>
      </c>
      <c r="CB50" s="497" t="str">
        <f>IF($X$49="WEEKS","",IF($Z50="Manual Entry hrs/wk","",IF($X$49&gt;'FORMULA REFS'!AV$1,$Z50,"")))</f>
        <v/>
      </c>
      <c r="CC50" s="497" t="str">
        <f>IF($X$49="WEEKS","",IF($Z50="Manual Entry hrs/wk","",IF($X$49&gt;'FORMULA REFS'!AW$1,$Z50,"")))</f>
        <v/>
      </c>
      <c r="CD50" s="497" t="str">
        <f>IF($X$49="WEEKS","",IF($Z50="Manual Entry hrs/wk","",IF($X$49&gt;'FORMULA REFS'!AX$1,$Z50,"")))</f>
        <v/>
      </c>
      <c r="CE50" s="497" t="str">
        <f>IF($X$49="WEEKS","",IF($Z50="Manual Entry hrs/wk","",IF($X$49&gt;'FORMULA REFS'!AY$1,$Z50,"")))</f>
        <v/>
      </c>
      <c r="CF50" s="497" t="str">
        <f>IF($X$49="WEEKS","",IF($Z50="Manual Entry hrs/wk","",IF($X$49&gt;'FORMULA REFS'!AZ$1,$Z50,"")))</f>
        <v/>
      </c>
      <c r="CG50" s="113"/>
      <c r="CH50" s="349">
        <f t="shared" ref="CH50:CH81" si="16">IFERROR(IF(ISBLANK($CL50),(IF($D$16="Select Type","Select Margin Class",IF($D$16="Standard Rates",CJ50*Y50,IF($D$16="Client Custom Rates",CK50*Y50)))),CL50*Y50),"")</f>
        <v>50000</v>
      </c>
      <c r="CI50" s="349">
        <f>IFERROR((_xlfn.XLOOKUP($M50,'Standard Rate Cards'!D:D,'Standard Rate Cards'!E:E))*Y50,0)</f>
        <v>7700</v>
      </c>
      <c r="CJ50" s="349" t="str">
        <f>IF(CL50&lt;&gt;"","",IF($D$16="Select Type","Select Margin Class",IFERROR(IF($M50="",0,IF($D$16="Client Custom Rates",0,IF($D$16="Standard Rates",_xlfn.XLOOKUP($M50,'Standard Rate Cards'!$D:$D,'Standard Rate Cards'!G:G)))),0)))</f>
        <v/>
      </c>
      <c r="CK50" s="349" t="str" cm="1">
        <f t="array" ref="CK50">IF(CL50&lt;&gt;"","",IFERROR(IF($D$16&lt;&gt;"Client Custom Rates",0,INDEX('Client Rate Cards'!E:E,MATCH(1,('Client Rate Cards'!B:B='2. Pricing &amp; Import'!$D$17)*('Client Rate Cards'!D:D='2. Pricing &amp; Import'!N50),0))),0))</f>
        <v/>
      </c>
      <c r="CL50" s="350">
        <v>500</v>
      </c>
    </row>
    <row r="51" spans="3:90" ht="16.05" customHeight="1" x14ac:dyDescent="0.3">
      <c r="C51" s="346"/>
      <c r="D51" s="495" t="s">
        <v>307</v>
      </c>
      <c r="E51" s="346"/>
      <c r="F51" s="346" t="str">
        <f>IFERROR(_xlfn.XLOOKUP(E51,'Standard Rate Cards'!$BB$11:$BB$23,'Standard Rate Cards'!$BA$11:$BA$23),"")</f>
        <v/>
      </c>
      <c r="G51" s="346"/>
      <c r="H51" s="346" t="str">
        <f>IFERROR(_xlfn.XLOOKUP(G51,'Standard Rate Cards'!$AP$8:$AP$142,'Standard Rate Cards'!$AQ$8:$AQ$142),"")</f>
        <v/>
      </c>
      <c r="I51" s="346"/>
      <c r="J51" s="346"/>
      <c r="K51" s="496" t="s">
        <v>535</v>
      </c>
      <c r="L51" s="496">
        <v>3</v>
      </c>
      <c r="M51" s="496" t="str" cm="1">
        <f t="array" ref="M51">IF(ISBLANK(D51),"",IF(D51&lt;&gt;"CrederaUS",INDEX('Standard Rate Cards'!$D$9:$D$433,MATCH(1,('Standard Rate Cards'!$B$9:$B$433='2. Pricing &amp; Import'!D51)*('Standard Rate Cards'!$C$9:$C$433='2. Pricing &amp; Import'!K51),0)),INDEX('Standard Rate Cards'!$D$9:$D$433,MATCH(1,('Standard Rate Cards'!$B$9:$B$433='2. Pricing &amp; Import'!D51)*('Standard Rate Cards'!$C$9:$C$433='2. Pricing &amp; Import'!K51)*('Standard Rate Cards'!$H$9:$H$433=L51),0))))</f>
        <v>Credera US Consulting - L3 / C1-C2 | Senior Consultant</v>
      </c>
      <c r="N51" s="347"/>
      <c r="O51" s="110">
        <f>IF(ISBLANK(K51)," ",_xlfn.XLOOKUP(K51,'Standard Rate Cards'!C:C,'Standard Rate Cards'!H:H))</f>
        <v>2</v>
      </c>
      <c r="P51" s="246" t="str">
        <f>IF(ISBLANK($K51)," ",_xlfn.XLOOKUP($K51,'Standard Rate Cards'!C:C,'Standard Rate Cards'!F:F))</f>
        <v>Onshore</v>
      </c>
      <c r="Q51" s="348"/>
      <c r="R51" s="250"/>
      <c r="S51" s="680" t="s">
        <v>2350</v>
      </c>
      <c r="T51" s="681" t="s">
        <v>172</v>
      </c>
      <c r="U51" s="1647" t="s">
        <v>424</v>
      </c>
      <c r="V51" s="1648"/>
      <c r="W51" s="681"/>
      <c r="X51" s="681">
        <f t="shared" si="14"/>
        <v>20</v>
      </c>
      <c r="Y51" s="682">
        <f t="shared" si="15"/>
        <v>700</v>
      </c>
      <c r="Z51" s="1630">
        <v>35</v>
      </c>
      <c r="AA51" s="1631"/>
      <c r="AG51" s="497">
        <f>IF($X$49="WEEKS","",IF($Z51="Manual Entry hrs/wk","",IF($X$49&gt;'FORMULA REFS'!A$1,$Z51,"")))</f>
        <v>35</v>
      </c>
      <c r="AH51" s="497">
        <f>IF($X$49="WEEKS","",IF($Z51="Manual Entry hrs/wk","",IF($X$49&gt;'FORMULA REFS'!B$1,$Z51,"")))</f>
        <v>35</v>
      </c>
      <c r="AI51" s="497">
        <f>IF($X$49="WEEKS","",IF($Z51="Manual Entry hrs/wk","",IF($X$49&gt;'FORMULA REFS'!C$1,$Z51,"")))</f>
        <v>35</v>
      </c>
      <c r="AJ51" s="497">
        <f>IF($X$49="WEEKS","",IF($Z51="Manual Entry hrs/wk","",IF($X$49&gt;'FORMULA REFS'!D$1,$Z51,"")))</f>
        <v>35</v>
      </c>
      <c r="AK51" s="497">
        <f>IF($X$49="WEEKS","",IF($Z51="Manual Entry hrs/wk","",IF($X$49&gt;'FORMULA REFS'!E$1,$Z51,"")))</f>
        <v>35</v>
      </c>
      <c r="AL51" s="497">
        <f>IF($X$49="WEEKS","",IF($Z51="Manual Entry hrs/wk","",IF($X$49&gt;'FORMULA REFS'!F$1,$Z51,"")))</f>
        <v>35</v>
      </c>
      <c r="AM51" s="497">
        <f>IF($X$49="WEEKS","",IF($Z51="Manual Entry hrs/wk","",IF($X$49&gt;'FORMULA REFS'!G$1,$Z51,"")))</f>
        <v>35</v>
      </c>
      <c r="AN51" s="497">
        <f>IF($X$49="WEEKS","",IF($Z51="Manual Entry hrs/wk","",IF($X$49&gt;'FORMULA REFS'!H$1,$Z51,"")))</f>
        <v>35</v>
      </c>
      <c r="AO51" s="497">
        <f>IF($X$49="WEEKS","",IF($Z51="Manual Entry hrs/wk","",IF($X$49&gt;'FORMULA REFS'!I$1,$Z51,"")))</f>
        <v>35</v>
      </c>
      <c r="AP51" s="497">
        <f>IF($X$49="WEEKS","",IF($Z51="Manual Entry hrs/wk","",IF($X$49&gt;'FORMULA REFS'!J$1,$Z51,"")))</f>
        <v>35</v>
      </c>
      <c r="AQ51" s="497">
        <f>IF($X$49="WEEKS","",IF($Z51="Manual Entry hrs/wk","",IF($X$49&gt;'FORMULA REFS'!K$1,$Z51,"")))</f>
        <v>35</v>
      </c>
      <c r="AR51" s="497">
        <f>IF($X$49="WEEKS","",IF($Z51="Manual Entry hrs/wk","",IF($X$49&gt;'FORMULA REFS'!L$1,$Z51,"")))</f>
        <v>35</v>
      </c>
      <c r="AS51" s="497">
        <f>IF($X$49="WEEKS","",IF($Z51="Manual Entry hrs/wk","",IF($X$49&gt;'FORMULA REFS'!M$1,$Z51,"")))</f>
        <v>35</v>
      </c>
      <c r="AT51" s="497">
        <f>IF($X$49="WEEKS","",IF($Z51="Manual Entry hrs/wk","",IF($X$49&gt;'FORMULA REFS'!N$1,$Z51,"")))</f>
        <v>35</v>
      </c>
      <c r="AU51" s="497">
        <f>IF($X$49="WEEKS","",IF($Z51="Manual Entry hrs/wk","",IF($X$49&gt;'FORMULA REFS'!O$1,$Z51,"")))</f>
        <v>35</v>
      </c>
      <c r="AV51" s="497">
        <f>IF($X$49="WEEKS","",IF($Z51="Manual Entry hrs/wk","",IF($X$49&gt;'FORMULA REFS'!P$1,$Z51,"")))</f>
        <v>35</v>
      </c>
      <c r="AW51" s="497">
        <f>IF($X$49="WEEKS","",IF($Z51="Manual Entry hrs/wk","",IF($X$49&gt;'FORMULA REFS'!Q$1,$Z51,"")))</f>
        <v>35</v>
      </c>
      <c r="AX51" s="497">
        <f>IF($X$49="WEEKS","",IF($Z51="Manual Entry hrs/wk","",IF($X$49&gt;'FORMULA REFS'!R$1,$Z51,"")))</f>
        <v>35</v>
      </c>
      <c r="AY51" s="497">
        <f>IF($X$49="WEEKS","",IF($Z51="Manual Entry hrs/wk","",IF($X$49&gt;'FORMULA REFS'!S$1,$Z51,"")))</f>
        <v>35</v>
      </c>
      <c r="AZ51" s="497">
        <f>IF($X$49="WEEKS","",IF($Z51="Manual Entry hrs/wk","",IF($X$49&gt;'FORMULA REFS'!T$1,$Z51,"")))</f>
        <v>35</v>
      </c>
      <c r="BA51" s="497" t="str">
        <f>IF($X$49="WEEKS","",IF($Z51="Manual Entry hrs/wk","",IF($X$49&gt;'FORMULA REFS'!U$1,$Z51,"")))</f>
        <v/>
      </c>
      <c r="BB51" s="497" t="str">
        <f>IF($X$49="WEEKS","",IF($Z51="Manual Entry hrs/wk","",IF($X$49&gt;'FORMULA REFS'!V$1,$Z51,"")))</f>
        <v/>
      </c>
      <c r="BC51" s="497" t="str">
        <f>IF($X$49="WEEKS","",IF($Z51="Manual Entry hrs/wk","",IF($X$49&gt;'FORMULA REFS'!W$1,$Z51,"")))</f>
        <v/>
      </c>
      <c r="BD51" s="497" t="str">
        <f>IF($X$49="WEEKS","",IF($Z51="Manual Entry hrs/wk","",IF($X$49&gt;'FORMULA REFS'!X$1,$Z51,"")))</f>
        <v/>
      </c>
      <c r="BE51" s="497" t="str">
        <f>IF($X$49="WEEKS","",IF($Z51="Manual Entry hrs/wk","",IF($X$49&gt;'FORMULA REFS'!Y$1,$Z51,"")))</f>
        <v/>
      </c>
      <c r="BF51" s="497" t="str">
        <f>IF($X$49="WEEKS","",IF($Z51="Manual Entry hrs/wk","",IF($X$49&gt;'FORMULA REFS'!Z$1,$Z51,"")))</f>
        <v/>
      </c>
      <c r="BG51" s="497" t="str">
        <f>IF($X$49="WEEKS","",IF($Z51="Manual Entry hrs/wk","",IF($X$49&gt;'FORMULA REFS'!AA$1,$Z51,"")))</f>
        <v/>
      </c>
      <c r="BH51" s="497" t="str">
        <f>IF($X$49="WEEKS","",IF($Z51="Manual Entry hrs/wk","",IF($X$49&gt;'FORMULA REFS'!AB$1,$Z51,"")))</f>
        <v/>
      </c>
      <c r="BI51" s="497" t="str">
        <f>IF($X$49="WEEKS","",IF($Z51="Manual Entry hrs/wk","",IF($X$49&gt;'FORMULA REFS'!AC$1,$Z51,"")))</f>
        <v/>
      </c>
      <c r="BJ51" s="497" t="str">
        <f>IF($X$49="WEEKS","",IF($Z51="Manual Entry hrs/wk","",IF($X$49&gt;'FORMULA REFS'!AD$1,$Z51,"")))</f>
        <v/>
      </c>
      <c r="BK51" s="497" t="str">
        <f>IF($X$49="WEEKS","",IF($Z51="Manual Entry hrs/wk","",IF($X$49&gt;'FORMULA REFS'!AE$1,$Z51,"")))</f>
        <v/>
      </c>
      <c r="BL51" s="497" t="str">
        <f>IF($X$49="WEEKS","",IF($Z51="Manual Entry hrs/wk","",IF($X$49&gt;'FORMULA REFS'!AF$1,$Z51,"")))</f>
        <v/>
      </c>
      <c r="BM51" s="497" t="str">
        <f>IF($X$49="WEEKS","",IF($Z51="Manual Entry hrs/wk","",IF($X$49&gt;'FORMULA REFS'!AG$1,$Z51,"")))</f>
        <v/>
      </c>
      <c r="BN51" s="497" t="str">
        <f>IF($X$49="WEEKS","",IF($Z51="Manual Entry hrs/wk","",IF($X$49&gt;'FORMULA REFS'!AH$1,$Z51,"")))</f>
        <v/>
      </c>
      <c r="BO51" s="497" t="str">
        <f>IF($X$49="WEEKS","",IF($Z51="Manual Entry hrs/wk","",IF($X$49&gt;'FORMULA REFS'!AI$1,$Z51,"")))</f>
        <v/>
      </c>
      <c r="BP51" s="497" t="str">
        <f>IF($X$49="WEEKS","",IF($Z51="Manual Entry hrs/wk","",IF($X$49&gt;'FORMULA REFS'!AJ$1,$Z51,"")))</f>
        <v/>
      </c>
      <c r="BQ51" s="497" t="str">
        <f>IF($X$49="WEEKS","",IF($Z51="Manual Entry hrs/wk","",IF($X$49&gt;'FORMULA REFS'!AK$1,$Z51,"")))</f>
        <v/>
      </c>
      <c r="BR51" s="497" t="str">
        <f>IF($X$49="WEEKS","",IF($Z51="Manual Entry hrs/wk","",IF($X$49&gt;'FORMULA REFS'!AL$1,$Z51,"")))</f>
        <v/>
      </c>
      <c r="BS51" s="497" t="str">
        <f>IF($X$49="WEEKS","",IF($Z51="Manual Entry hrs/wk","",IF($X$49&gt;'FORMULA REFS'!AM$1,$Z51,"")))</f>
        <v/>
      </c>
      <c r="BT51" s="497" t="str">
        <f>IF($X$49="WEEKS","",IF($Z51="Manual Entry hrs/wk","",IF($X$49&gt;'FORMULA REFS'!AN$1,$Z51,"")))</f>
        <v/>
      </c>
      <c r="BU51" s="497" t="str">
        <f>IF($X$49="WEEKS","",IF($Z51="Manual Entry hrs/wk","",IF($X$49&gt;'FORMULA REFS'!AO$1,$Z51,"")))</f>
        <v/>
      </c>
      <c r="BV51" s="497" t="str">
        <f>IF($X$49="WEEKS","",IF($Z51="Manual Entry hrs/wk","",IF($X$49&gt;'FORMULA REFS'!AP$1,$Z51,"")))</f>
        <v/>
      </c>
      <c r="BW51" s="497" t="str">
        <f>IF($X$49="WEEKS","",IF($Z51="Manual Entry hrs/wk","",IF($X$49&gt;'FORMULA REFS'!AQ$1,$Z51,"")))</f>
        <v/>
      </c>
      <c r="BX51" s="497" t="str">
        <f>IF($X$49="WEEKS","",IF($Z51="Manual Entry hrs/wk","",IF($X$49&gt;'FORMULA REFS'!AR$1,$Z51,"")))</f>
        <v/>
      </c>
      <c r="BY51" s="497" t="str">
        <f>IF($X$49="WEEKS","",IF($Z51="Manual Entry hrs/wk","",IF($X$49&gt;'FORMULA REFS'!AS$1,$Z51,"")))</f>
        <v/>
      </c>
      <c r="BZ51" s="497" t="str">
        <f>IF($X$49="WEEKS","",IF($Z51="Manual Entry hrs/wk","",IF($X$49&gt;'FORMULA REFS'!AT$1,$Z51,"")))</f>
        <v/>
      </c>
      <c r="CA51" s="497" t="str">
        <f>IF($X$49="WEEKS","",IF($Z51="Manual Entry hrs/wk","",IF($X$49&gt;'FORMULA REFS'!AU$1,$Z51,"")))</f>
        <v/>
      </c>
      <c r="CB51" s="497" t="str">
        <f>IF($X$49="WEEKS","",IF($Z51="Manual Entry hrs/wk","",IF($X$49&gt;'FORMULA REFS'!AV$1,$Z51,"")))</f>
        <v/>
      </c>
      <c r="CC51" s="497" t="str">
        <f>IF($X$49="WEEKS","",IF($Z51="Manual Entry hrs/wk","",IF($X$49&gt;'FORMULA REFS'!AW$1,$Z51,"")))</f>
        <v/>
      </c>
      <c r="CD51" s="497" t="str">
        <f>IF($X$49="WEEKS","",IF($Z51="Manual Entry hrs/wk","",IF($X$49&gt;'FORMULA REFS'!AX$1,$Z51,"")))</f>
        <v/>
      </c>
      <c r="CE51" s="497" t="str">
        <f>IF($X$49="WEEKS","",IF($Z51="Manual Entry hrs/wk","",IF($X$49&gt;'FORMULA REFS'!AY$1,$Z51,"")))</f>
        <v/>
      </c>
      <c r="CF51" s="497" t="str">
        <f>IF($X$49="WEEKS","",IF($Z51="Manual Entry hrs/wk","",IF($X$49&gt;'FORMULA REFS'!AZ$1,$Z51,"")))</f>
        <v/>
      </c>
      <c r="CG51" s="113"/>
      <c r="CH51" s="349">
        <f>IFERROR(IF(ISBLANK($CL51),(IF($D$16="Select Type","Select Margin Class",IF($D$16="Standard Rates",CJ51*Y51,IF($D$16="Client Custom Rates",CK51*Y51)))),CL51*Y51),"")</f>
        <v>168000</v>
      </c>
      <c r="CI51" s="349">
        <f>IFERROR((_xlfn.XLOOKUP($M51,'Standard Rate Cards'!D:D,'Standard Rate Cards'!E:E))*Y51,0)</f>
        <v>67200</v>
      </c>
      <c r="CJ51" s="349">
        <f>IF(CL51&lt;&gt;"","",IF($D$16="Select Type","Select Margin Class",IFERROR(IF($M51="",0,IF($D$16="Client Custom Rates",0,IF($D$16="Standard Rates",_xlfn.XLOOKUP($M51,'Standard Rate Cards'!$D:$D,'Standard Rate Cards'!G:G)))),0)))</f>
        <v>240</v>
      </c>
      <c r="CK51" s="349" cm="1">
        <f t="array" ref="CK51">IF(CL51&lt;&gt;"","",IFERROR(IF($D$16&lt;&gt;"Client Custom Rates",0,INDEX('Client Rate Cards'!E:E,MATCH(1,('Client Rate Cards'!B:B='2. Pricing &amp; Import'!$D$17)*('Client Rate Cards'!D:D='2. Pricing &amp; Import'!N51),0))),0))</f>
        <v>0</v>
      </c>
      <c r="CL51" s="350"/>
    </row>
    <row r="52" spans="3:90" ht="16.05" customHeight="1" x14ac:dyDescent="0.3">
      <c r="C52" s="346"/>
      <c r="D52" s="495" t="s">
        <v>307</v>
      </c>
      <c r="E52" s="346"/>
      <c r="F52" s="346" t="str">
        <f>IFERROR(_xlfn.XLOOKUP(E52,'Standard Rate Cards'!$BB$11:$BB$23,'Standard Rate Cards'!$BA$11:$BA$23),"")</f>
        <v/>
      </c>
      <c r="G52" s="346"/>
      <c r="H52" s="346" t="str">
        <f>IFERROR(_xlfn.XLOOKUP(G52,'Standard Rate Cards'!$AP$8:$AP$142,'Standard Rate Cards'!$AQ$8:$AQ$142),"")</f>
        <v/>
      </c>
      <c r="I52" s="346"/>
      <c r="J52" s="346"/>
      <c r="K52" s="496" t="s">
        <v>538</v>
      </c>
      <c r="L52" s="496">
        <f t="shared" si="13"/>
        <v>4</v>
      </c>
      <c r="M52" s="496" t="str" cm="1">
        <f t="array" ref="M52">IF(ISBLANK(D52),"",IF(D52&lt;&gt;"CrederaUS",INDEX('Standard Rate Cards'!$D$9:$D$433,MATCH(1,('Standard Rate Cards'!$B$9:$B$433='2. Pricing &amp; Import'!D52)*('Standard Rate Cards'!$C$9:$C$433='2. Pricing &amp; Import'!K52),0)),INDEX('Standard Rate Cards'!$D$9:$D$433,MATCH(1,('Standard Rate Cards'!$B$9:$B$433='2. Pricing &amp; Import'!D52)*('Standard Rate Cards'!$C$9:$C$433='2. Pricing &amp; Import'!K52)*('Standard Rate Cards'!$H$9:$H$433=L52),0))))</f>
        <v>Credera US Consulting - L4 / D1 | Manager</v>
      </c>
      <c r="N52" s="347"/>
      <c r="O52" s="110">
        <f>IF(ISBLANK(K52)," ",_xlfn.XLOOKUP(K52,'Standard Rate Cards'!C:C,'Standard Rate Cards'!H:H))</f>
        <v>4</v>
      </c>
      <c r="P52" s="246" t="str">
        <f>IF(ISBLANK($K52)," ",_xlfn.XLOOKUP($K52,'Standard Rate Cards'!C:C,'Standard Rate Cards'!F:F))</f>
        <v>Onshore</v>
      </c>
      <c r="Q52" s="348"/>
      <c r="R52" s="250"/>
      <c r="S52" s="680"/>
      <c r="T52" s="681"/>
      <c r="U52" s="1647"/>
      <c r="V52" s="1648"/>
      <c r="W52" s="681"/>
      <c r="X52" s="681">
        <f t="shared" si="14"/>
        <v>16</v>
      </c>
      <c r="Y52" s="682">
        <f t="shared" si="15"/>
        <v>800</v>
      </c>
      <c r="Z52" s="1630">
        <v>40</v>
      </c>
      <c r="AA52" s="1631"/>
      <c r="AF52" s="163"/>
      <c r="AG52" s="497">
        <v>0</v>
      </c>
      <c r="AH52" s="497">
        <v>0</v>
      </c>
      <c r="AI52" s="497">
        <v>0</v>
      </c>
      <c r="AJ52" s="497">
        <v>0</v>
      </c>
      <c r="AK52" s="497">
        <f>IF($X$49="WEEKS","",IF($Z52="Manual Entry hrs/wk","",IF($X$49&gt;'FORMULA REFS'!E$1,$Z52,"")))</f>
        <v>40</v>
      </c>
      <c r="AL52" s="497">
        <f>IF($X$49="WEEKS","",IF($Z52="Manual Entry hrs/wk","",IF($X$49&gt;'FORMULA REFS'!F$1,$Z52,"")))</f>
        <v>40</v>
      </c>
      <c r="AM52" s="497">
        <f>IF($X$49="WEEKS","",IF($Z52="Manual Entry hrs/wk","",IF($X$49&gt;'FORMULA REFS'!G$1,$Z52,"")))</f>
        <v>40</v>
      </c>
      <c r="AN52" s="497">
        <f>IF($X$49="WEEKS","",IF($Z52="Manual Entry hrs/wk","",IF($X$49&gt;'FORMULA REFS'!H$1,$Z52,"")))</f>
        <v>40</v>
      </c>
      <c r="AO52" s="497">
        <f>IF($X$49="WEEKS","",IF($Z52="Manual Entry hrs/wk","",IF($X$49&gt;'FORMULA REFS'!I$1,$Z52,"")))</f>
        <v>40</v>
      </c>
      <c r="AP52" s="497">
        <f>IF($X$49="WEEKS","",IF($Z52="Manual Entry hrs/wk","",IF($X$49&gt;'FORMULA REFS'!J$1,$Z52,"")))</f>
        <v>40</v>
      </c>
      <c r="AQ52" s="497">
        <f>IF($X$49="WEEKS","",IF($Z52="Manual Entry hrs/wk","",IF($X$49&gt;'FORMULA REFS'!K$1,$Z52,"")))</f>
        <v>40</v>
      </c>
      <c r="AR52" s="497">
        <f>IF($X$49="WEEKS","",IF($Z52="Manual Entry hrs/wk","",IF($X$49&gt;'FORMULA REFS'!L$1,$Z52,"")))</f>
        <v>40</v>
      </c>
      <c r="AS52" s="497">
        <f>IF($X$49="WEEKS","",IF($Z52="Manual Entry hrs/wk","",IF($X$49&gt;'FORMULA REFS'!M$1,$Z52,"")))</f>
        <v>40</v>
      </c>
      <c r="AT52" s="497">
        <f>IF($X$49="WEEKS","",IF($Z52="Manual Entry hrs/wk","",IF($X$49&gt;'FORMULA REFS'!N$1,$Z52,"")))</f>
        <v>40</v>
      </c>
      <c r="AU52" s="497">
        <f>IF($X$49="WEEKS","",IF($Z52="Manual Entry hrs/wk","",IF($X$49&gt;'FORMULA REFS'!O$1,$Z52,"")))</f>
        <v>40</v>
      </c>
      <c r="AV52" s="497">
        <f>IF($X$49="WEEKS","",IF($Z52="Manual Entry hrs/wk","",IF($X$49&gt;'FORMULA REFS'!P$1,$Z52,"")))</f>
        <v>40</v>
      </c>
      <c r="AW52" s="497">
        <f>IF($X$49="WEEKS","",IF($Z52="Manual Entry hrs/wk","",IF($X$49&gt;'FORMULA REFS'!Q$1,$Z52,"")))</f>
        <v>40</v>
      </c>
      <c r="AX52" s="497">
        <f>IF($X$49="WEEKS","",IF($Z52="Manual Entry hrs/wk","",IF($X$49&gt;'FORMULA REFS'!R$1,$Z52,"")))</f>
        <v>40</v>
      </c>
      <c r="AY52" s="497">
        <f>IF($X$49="WEEKS","",IF($Z52="Manual Entry hrs/wk","",IF($X$49&gt;'FORMULA REFS'!S$1,$Z52,"")))</f>
        <v>40</v>
      </c>
      <c r="AZ52" s="497">
        <f>IF($X$49="WEEKS","",IF($Z52="Manual Entry hrs/wk","",IF($X$49&gt;'FORMULA REFS'!T$1,$Z52,"")))</f>
        <v>40</v>
      </c>
      <c r="BA52" s="497" t="str">
        <f>IF($X$49="WEEKS","",IF($Z52="Manual Entry hrs/wk","",IF($X$49&gt;'FORMULA REFS'!U$1,$Z52,"")))</f>
        <v/>
      </c>
      <c r="BB52" s="497" t="str">
        <f>IF($X$49="WEEKS","",IF($Z52="Manual Entry hrs/wk","",IF($X$49&gt;'FORMULA REFS'!V$1,$Z52,"")))</f>
        <v/>
      </c>
      <c r="BC52" s="497" t="str">
        <f>IF($X$49="WEEKS","",IF($Z52="Manual Entry hrs/wk","",IF($X$49&gt;'FORMULA REFS'!W$1,$Z52,"")))</f>
        <v/>
      </c>
      <c r="BD52" s="497" t="str">
        <f>IF($X$49="WEEKS","",IF($Z52="Manual Entry hrs/wk","",IF($X$49&gt;'FORMULA REFS'!X$1,$Z52,"")))</f>
        <v/>
      </c>
      <c r="BE52" s="497" t="str">
        <f>IF($X$49="WEEKS","",IF($Z52="Manual Entry hrs/wk","",IF($X$49&gt;'FORMULA REFS'!Y$1,$Z52,"")))</f>
        <v/>
      </c>
      <c r="BF52" s="497" t="str">
        <f>IF($X$49="WEEKS","",IF($Z52="Manual Entry hrs/wk","",IF($X$49&gt;'FORMULA REFS'!Z$1,$Z52,"")))</f>
        <v/>
      </c>
      <c r="BG52" s="497" t="str">
        <f>IF($X$49="WEEKS","",IF($Z52="Manual Entry hrs/wk","",IF($X$49&gt;'FORMULA REFS'!AA$1,$Z52,"")))</f>
        <v/>
      </c>
      <c r="BH52" s="497" t="str">
        <f>IF($X$49="WEEKS","",IF($Z52="Manual Entry hrs/wk","",IF($X$49&gt;'FORMULA REFS'!AB$1,$Z52,"")))</f>
        <v/>
      </c>
      <c r="BI52" s="497" t="str">
        <f>IF($X$49="WEEKS","",IF($Z52="Manual Entry hrs/wk","",IF($X$49&gt;'FORMULA REFS'!AC$1,$Z52,"")))</f>
        <v/>
      </c>
      <c r="BJ52" s="497" t="str">
        <f>IF($X$49="WEEKS","",IF($Z52="Manual Entry hrs/wk","",IF($X$49&gt;'FORMULA REFS'!AD$1,$Z52,"")))</f>
        <v/>
      </c>
      <c r="BK52" s="497" t="str">
        <f>IF($X$49="WEEKS","",IF($Z52="Manual Entry hrs/wk","",IF($X$49&gt;'FORMULA REFS'!AE$1,$Z52,"")))</f>
        <v/>
      </c>
      <c r="BL52" s="497" t="str">
        <f>IF($X$49="WEEKS","",IF($Z52="Manual Entry hrs/wk","",IF($X$49&gt;'FORMULA REFS'!AF$1,$Z52,"")))</f>
        <v/>
      </c>
      <c r="BM52" s="497" t="str">
        <f>IF($X$49="WEEKS","",IF($Z52="Manual Entry hrs/wk","",IF($X$49&gt;'FORMULA REFS'!AG$1,$Z52,"")))</f>
        <v/>
      </c>
      <c r="BN52" s="497" t="str">
        <f>IF($X$49="WEEKS","",IF($Z52="Manual Entry hrs/wk","",IF($X$49&gt;'FORMULA REFS'!AH$1,$Z52,"")))</f>
        <v/>
      </c>
      <c r="BO52" s="497" t="str">
        <f>IF($X$49="WEEKS","",IF($Z52="Manual Entry hrs/wk","",IF($X$49&gt;'FORMULA REFS'!AI$1,$Z52,"")))</f>
        <v/>
      </c>
      <c r="BP52" s="497" t="str">
        <f>IF($X$49="WEEKS","",IF($Z52="Manual Entry hrs/wk","",IF($X$49&gt;'FORMULA REFS'!AJ$1,$Z52,"")))</f>
        <v/>
      </c>
      <c r="BQ52" s="497" t="str">
        <f>IF($X$49="WEEKS","",IF($Z52="Manual Entry hrs/wk","",IF($X$49&gt;'FORMULA REFS'!AK$1,$Z52,"")))</f>
        <v/>
      </c>
      <c r="BR52" s="497" t="str">
        <f>IF($X$49="WEEKS","",IF($Z52="Manual Entry hrs/wk","",IF($X$49&gt;'FORMULA REFS'!AL$1,$Z52,"")))</f>
        <v/>
      </c>
      <c r="BS52" s="497" t="str">
        <f>IF($X$49="WEEKS","",IF($Z52="Manual Entry hrs/wk","",IF($X$49&gt;'FORMULA REFS'!AM$1,$Z52,"")))</f>
        <v/>
      </c>
      <c r="BT52" s="497" t="str">
        <f>IF($X$49="WEEKS","",IF($Z52="Manual Entry hrs/wk","",IF($X$49&gt;'FORMULA REFS'!AN$1,$Z52,"")))</f>
        <v/>
      </c>
      <c r="BU52" s="497" t="str">
        <f>IF($X$49="WEEKS","",IF($Z52="Manual Entry hrs/wk","",IF($X$49&gt;'FORMULA REFS'!AO$1,$Z52,"")))</f>
        <v/>
      </c>
      <c r="BV52" s="497" t="str">
        <f>IF($X$49="WEEKS","",IF($Z52="Manual Entry hrs/wk","",IF($X$49&gt;'FORMULA REFS'!AP$1,$Z52,"")))</f>
        <v/>
      </c>
      <c r="BW52" s="497" t="str">
        <f>IF($X$49="WEEKS","",IF($Z52="Manual Entry hrs/wk","",IF($X$49&gt;'FORMULA REFS'!AQ$1,$Z52,"")))</f>
        <v/>
      </c>
      <c r="BX52" s="497" t="str">
        <f>IF($X$49="WEEKS","",IF($Z52="Manual Entry hrs/wk","",IF($X$49&gt;'FORMULA REFS'!AR$1,$Z52,"")))</f>
        <v/>
      </c>
      <c r="BY52" s="497" t="str">
        <f>IF($X$49="WEEKS","",IF($Z52="Manual Entry hrs/wk","",IF($X$49&gt;'FORMULA REFS'!AS$1,$Z52,"")))</f>
        <v/>
      </c>
      <c r="BZ52" s="497" t="str">
        <f>IF($X$49="WEEKS","",IF($Z52="Manual Entry hrs/wk","",IF($X$49&gt;'FORMULA REFS'!AT$1,$Z52,"")))</f>
        <v/>
      </c>
      <c r="CA52" s="497" t="str">
        <f>IF($X$49="WEEKS","",IF($Z52="Manual Entry hrs/wk","",IF($X$49&gt;'FORMULA REFS'!AU$1,$Z52,"")))</f>
        <v/>
      </c>
      <c r="CB52" s="497" t="str">
        <f>IF($X$49="WEEKS","",IF($Z52="Manual Entry hrs/wk","",IF($X$49&gt;'FORMULA REFS'!AV$1,$Z52,"")))</f>
        <v/>
      </c>
      <c r="CC52" s="497" t="str">
        <f>IF($X$49="WEEKS","",IF($Z52="Manual Entry hrs/wk","",IF($X$49&gt;'FORMULA REFS'!AW$1,$Z52,"")))</f>
        <v/>
      </c>
      <c r="CD52" s="497" t="str">
        <f>IF($X$49="WEEKS","",IF($Z52="Manual Entry hrs/wk","",IF($X$49&gt;'FORMULA REFS'!AX$1,$Z52,"")))</f>
        <v/>
      </c>
      <c r="CE52" s="497" t="str">
        <f>IF($X$49="WEEKS","",IF($Z52="Manual Entry hrs/wk","",IF($X$49&gt;'FORMULA REFS'!AY$1,$Z52,"")))</f>
        <v/>
      </c>
      <c r="CF52" s="497" t="str">
        <f>IF($X$49="WEEKS","",IF($Z52="Manual Entry hrs/wk","",IF($X$49&gt;'FORMULA REFS'!AZ$1,$Z52,"")))</f>
        <v/>
      </c>
      <c r="CG52" s="113"/>
      <c r="CH52" s="349">
        <f>IFERROR(IF(ISBLANK($CL52),(IF($D$16="Select Type","Select Margin Class",IF($D$16="Standard Rates",CJ52*Y52,IF($D$16="Client Custom Rates",CK52*Y52)))),CL52*Y52),"")</f>
        <v>80000</v>
      </c>
      <c r="CI52" s="349">
        <f>IFERROR((_xlfn.XLOOKUP($M52,'Standard Rate Cards'!D:D,'Standard Rate Cards'!E:E))*Y52,0)</f>
        <v>102400</v>
      </c>
      <c r="CJ52" s="349" t="str">
        <f>IF(CL52&lt;&gt;"","",IF($D$16="Select Type","Select Margin Class",IFERROR(IF($M52="",0,IF($D$16="Client Custom Rates",0,IF($D$16="Standard Rates",_xlfn.XLOOKUP($M52,'Standard Rate Cards'!$D:$D,'Standard Rate Cards'!G:G)))),0)))</f>
        <v/>
      </c>
      <c r="CK52" s="349" t="str" cm="1">
        <f t="array" ref="CK52">IF(CL52&lt;&gt;"","",IFERROR(IF($D$16&lt;&gt;"Client Custom Rates",0,INDEX('Client Rate Cards'!E:E,MATCH(1,('Client Rate Cards'!B:B='2. Pricing &amp; Import'!$D$17)*('Client Rate Cards'!D:D='2. Pricing &amp; Import'!N52),0))),0))</f>
        <v/>
      </c>
      <c r="CL52" s="350">
        <v>100</v>
      </c>
    </row>
    <row r="53" spans="3:90" ht="16.05" customHeight="1" x14ac:dyDescent="0.3">
      <c r="C53" s="346"/>
      <c r="D53" s="495" t="s">
        <v>418</v>
      </c>
      <c r="E53" s="346" t="s">
        <v>447</v>
      </c>
      <c r="F53" s="346" t="str">
        <f>IFERROR(_xlfn.XLOOKUP(E53,'Standard Rate Cards'!$BB$11:$BB$23,'Standard Rate Cards'!$BA$11:$BA$23),"")</f>
        <v>DOTNET</v>
      </c>
      <c r="G53" s="346" t="s">
        <v>2052</v>
      </c>
      <c r="H53" s="346" t="str">
        <f>IFERROR(_xlfn.XLOOKUP(G53,'Standard Rate Cards'!$AP$8:$AP$142,'Standard Rate Cards'!$AQ$8:$AQ$142),"")</f>
        <v>DOTNET_MS_Dynamics</v>
      </c>
      <c r="I53" s="346" t="s">
        <v>1927</v>
      </c>
      <c r="J53" s="346"/>
      <c r="K53" s="496" t="s">
        <v>1633</v>
      </c>
      <c r="L53" s="496">
        <f t="shared" si="13"/>
        <v>2</v>
      </c>
      <c r="M53" s="496" t="str" cm="1">
        <f t="array" ref="M53">IF(ISBLANK(D53),"",IF(D53&lt;&gt;"CrederaUS",INDEX('Standard Rate Cards'!$D$9:$D$433,MATCH(1,('Standard Rate Cards'!$B$9:$B$433='2. Pricing &amp; Import'!D53)*('Standard Rate Cards'!$C$9:$C$433='2. Pricing &amp; Import'!K53),0)),INDEX('Standard Rate Cards'!$D$9:$D$433,MATCH(1,('Standard Rate Cards'!$B$9:$B$433='2. Pricing &amp; Import'!D53)*('Standard Rate Cards'!$C$9:$C$433='2. Pricing &amp; Import'!K53)*('Standard Rate Cards'!$H$9:$H$433=L53),0))))</f>
        <v>TADigital India Consulting | Cloud &amp; Engineering - L2 / B1-B3 | Engineer</v>
      </c>
      <c r="N53" s="347"/>
      <c r="O53" s="110">
        <f>IF(ISBLANK(K53)," ",_xlfn.XLOOKUP(K53,'Standard Rate Cards'!C:C,'Standard Rate Cards'!H:H))</f>
        <v>2</v>
      </c>
      <c r="P53" s="246" t="str">
        <f>IF(ISBLANK($K53)," ",_xlfn.XLOOKUP($K53,'Standard Rate Cards'!C:C,'Standard Rate Cards'!F:F))</f>
        <v>Offshore</v>
      </c>
      <c r="Q53" s="348"/>
      <c r="R53" s="250"/>
      <c r="S53" s="680"/>
      <c r="T53" s="681"/>
      <c r="U53" s="1637"/>
      <c r="V53" s="1638"/>
      <c r="W53" s="681"/>
      <c r="X53" s="681">
        <f t="shared" si="14"/>
        <v>20</v>
      </c>
      <c r="Y53" s="682">
        <f t="shared" si="15"/>
        <v>800</v>
      </c>
      <c r="Z53" s="1630">
        <v>40</v>
      </c>
      <c r="AA53" s="1631"/>
      <c r="AG53" s="497">
        <f>IF($X$49="WEEKS","",IF($Z53="Manual Entry hrs/wk","",IF($X$49&gt;'FORMULA REFS'!A$1,$Z53,"")))</f>
        <v>40</v>
      </c>
      <c r="AH53" s="497">
        <f>IF($X$49="WEEKS","",IF($Z53="Manual Entry hrs/wk","",IF($X$49&gt;'FORMULA REFS'!B$1,$Z53,"")))</f>
        <v>40</v>
      </c>
      <c r="AI53" s="497">
        <f>IF($X$49="WEEKS","",IF($Z53="Manual Entry hrs/wk","",IF($X$49&gt;'FORMULA REFS'!C$1,$Z53,"")))</f>
        <v>40</v>
      </c>
      <c r="AJ53" s="497">
        <f>IF($X$49="WEEKS","",IF($Z53="Manual Entry hrs/wk","",IF($X$49&gt;'FORMULA REFS'!D$1,$Z53,"")))</f>
        <v>40</v>
      </c>
      <c r="AK53" s="497">
        <f>IF($X$49="WEEKS","",IF($Z53="Manual Entry hrs/wk","",IF($X$49&gt;'FORMULA REFS'!E$1,$Z53,"")))</f>
        <v>40</v>
      </c>
      <c r="AL53" s="497">
        <f>IF($X$49="WEEKS","",IF($Z53="Manual Entry hrs/wk","",IF($X$49&gt;'FORMULA REFS'!F$1,$Z53,"")))</f>
        <v>40</v>
      </c>
      <c r="AM53" s="497">
        <f>IF($X$49="WEEKS","",IF($Z53="Manual Entry hrs/wk","",IF($X$49&gt;'FORMULA REFS'!G$1,$Z53,"")))</f>
        <v>40</v>
      </c>
      <c r="AN53" s="497">
        <f>IF($X$49="WEEKS","",IF($Z53="Manual Entry hrs/wk","",IF($X$49&gt;'FORMULA REFS'!H$1,$Z53,"")))</f>
        <v>40</v>
      </c>
      <c r="AO53" s="497">
        <f>IF($X$49="WEEKS","",IF($Z53="Manual Entry hrs/wk","",IF($X$49&gt;'FORMULA REFS'!I$1,$Z53,"")))</f>
        <v>40</v>
      </c>
      <c r="AP53" s="497">
        <f>IF($X$49="WEEKS","",IF($Z53="Manual Entry hrs/wk","",IF($X$49&gt;'FORMULA REFS'!J$1,$Z53,"")))</f>
        <v>40</v>
      </c>
      <c r="AQ53" s="497">
        <f>IF($X$49="WEEKS","",IF($Z53="Manual Entry hrs/wk","",IF($X$49&gt;'FORMULA REFS'!K$1,$Z53,"")))</f>
        <v>40</v>
      </c>
      <c r="AR53" s="497">
        <f>IF($X$49="WEEKS","",IF($Z53="Manual Entry hrs/wk","",IF($X$49&gt;'FORMULA REFS'!L$1,$Z53,"")))</f>
        <v>40</v>
      </c>
      <c r="AS53" s="497">
        <f>IF($X$49="WEEKS","",IF($Z53="Manual Entry hrs/wk","",IF($X$49&gt;'FORMULA REFS'!M$1,$Z53,"")))</f>
        <v>40</v>
      </c>
      <c r="AT53" s="497">
        <f>IF($X$49="WEEKS","",IF($Z53="Manual Entry hrs/wk","",IF($X$49&gt;'FORMULA REFS'!N$1,$Z53,"")))</f>
        <v>40</v>
      </c>
      <c r="AU53" s="497">
        <f>IF($X$49="WEEKS","",IF($Z53="Manual Entry hrs/wk","",IF($X$49&gt;'FORMULA REFS'!O$1,$Z53,"")))</f>
        <v>40</v>
      </c>
      <c r="AV53" s="497">
        <f>IF($X$49="WEEKS","",IF($Z53="Manual Entry hrs/wk","",IF($X$49&gt;'FORMULA REFS'!P$1,$Z53,"")))</f>
        <v>40</v>
      </c>
      <c r="AW53" s="497">
        <f>IF($X$49="WEEKS","",IF($Z53="Manual Entry hrs/wk","",IF($X$49&gt;'FORMULA REFS'!Q$1,$Z53,"")))</f>
        <v>40</v>
      </c>
      <c r="AX53" s="497">
        <f>IF($X$49="WEEKS","",IF($Z53="Manual Entry hrs/wk","",IF($X$49&gt;'FORMULA REFS'!R$1,$Z53,"")))</f>
        <v>40</v>
      </c>
      <c r="AY53" s="497">
        <f>IF($X$49="WEEKS","",IF($Z53="Manual Entry hrs/wk","",IF($X$49&gt;'FORMULA REFS'!S$1,$Z53,"")))</f>
        <v>40</v>
      </c>
      <c r="AZ53" s="497">
        <f>IF($X$49="WEEKS","",IF($Z53="Manual Entry hrs/wk","",IF($X$49&gt;'FORMULA REFS'!T$1,$Z53,"")))</f>
        <v>40</v>
      </c>
      <c r="BA53" s="497" t="str">
        <f>IF($X$49="WEEKS","",IF($Z53="Manual Entry hrs/wk","",IF($X$49&gt;'FORMULA REFS'!U$1,$Z53,"")))</f>
        <v/>
      </c>
      <c r="BB53" s="497" t="str">
        <f>IF($X$49="WEEKS","",IF($Z53="Manual Entry hrs/wk","",IF($X$49&gt;'FORMULA REFS'!V$1,$Z53,"")))</f>
        <v/>
      </c>
      <c r="BC53" s="497" t="str">
        <f>IF($X$49="WEEKS","",IF($Z53="Manual Entry hrs/wk","",IF($X$49&gt;'FORMULA REFS'!W$1,$Z53,"")))</f>
        <v/>
      </c>
      <c r="BD53" s="497" t="str">
        <f>IF($X$49="WEEKS","",IF($Z53="Manual Entry hrs/wk","",IF($X$49&gt;'FORMULA REFS'!X$1,$Z53,"")))</f>
        <v/>
      </c>
      <c r="BE53" s="497" t="str">
        <f>IF($X$49="WEEKS","",IF($Z53="Manual Entry hrs/wk","",IF($X$49&gt;'FORMULA REFS'!Y$1,$Z53,"")))</f>
        <v/>
      </c>
      <c r="BF53" s="497" t="str">
        <f>IF($X$49="WEEKS","",IF($Z53="Manual Entry hrs/wk","",IF($X$49&gt;'FORMULA REFS'!Z$1,$Z53,"")))</f>
        <v/>
      </c>
      <c r="BG53" s="497" t="str">
        <f>IF($X$49="WEEKS","",IF($Z53="Manual Entry hrs/wk","",IF($X$49&gt;'FORMULA REFS'!AA$1,$Z53,"")))</f>
        <v/>
      </c>
      <c r="BH53" s="497" t="str">
        <f>IF($X$49="WEEKS","",IF($Z53="Manual Entry hrs/wk","",IF($X$49&gt;'FORMULA REFS'!AB$1,$Z53,"")))</f>
        <v/>
      </c>
      <c r="BI53" s="497" t="str">
        <f>IF($X$49="WEEKS","",IF($Z53="Manual Entry hrs/wk","",IF($X$49&gt;'FORMULA REFS'!AC$1,$Z53,"")))</f>
        <v/>
      </c>
      <c r="BJ53" s="497" t="str">
        <f>IF($X$49="WEEKS","",IF($Z53="Manual Entry hrs/wk","",IF($X$49&gt;'FORMULA REFS'!AD$1,$Z53,"")))</f>
        <v/>
      </c>
      <c r="BK53" s="497" t="str">
        <f>IF($X$49="WEEKS","",IF($Z53="Manual Entry hrs/wk","",IF($X$49&gt;'FORMULA REFS'!AE$1,$Z53,"")))</f>
        <v/>
      </c>
      <c r="BL53" s="497" t="str">
        <f>IF($X$49="WEEKS","",IF($Z53="Manual Entry hrs/wk","",IF($X$49&gt;'FORMULA REFS'!AF$1,$Z53,"")))</f>
        <v/>
      </c>
      <c r="BM53" s="497" t="str">
        <f>IF($X$49="WEEKS","",IF($Z53="Manual Entry hrs/wk","",IF($X$49&gt;'FORMULA REFS'!AG$1,$Z53,"")))</f>
        <v/>
      </c>
      <c r="BN53" s="497" t="str">
        <f>IF($X$49="WEEKS","",IF($Z53="Manual Entry hrs/wk","",IF($X$49&gt;'FORMULA REFS'!AH$1,$Z53,"")))</f>
        <v/>
      </c>
      <c r="BO53" s="497" t="str">
        <f>IF($X$49="WEEKS","",IF($Z53="Manual Entry hrs/wk","",IF($X$49&gt;'FORMULA REFS'!AI$1,$Z53,"")))</f>
        <v/>
      </c>
      <c r="BP53" s="497" t="str">
        <f>IF($X$49="WEEKS","",IF($Z53="Manual Entry hrs/wk","",IF($X$49&gt;'FORMULA REFS'!AJ$1,$Z53,"")))</f>
        <v/>
      </c>
      <c r="BQ53" s="497" t="str">
        <f>IF($X$49="WEEKS","",IF($Z53="Manual Entry hrs/wk","",IF($X$49&gt;'FORMULA REFS'!AK$1,$Z53,"")))</f>
        <v/>
      </c>
      <c r="BR53" s="497" t="str">
        <f>IF($X$49="WEEKS","",IF($Z53="Manual Entry hrs/wk","",IF($X$49&gt;'FORMULA REFS'!AL$1,$Z53,"")))</f>
        <v/>
      </c>
      <c r="BS53" s="497" t="str">
        <f>IF($X$49="WEEKS","",IF($Z53="Manual Entry hrs/wk","",IF($X$49&gt;'FORMULA REFS'!AM$1,$Z53,"")))</f>
        <v/>
      </c>
      <c r="BT53" s="497" t="str">
        <f>IF($X$49="WEEKS","",IF($Z53="Manual Entry hrs/wk","",IF($X$49&gt;'FORMULA REFS'!AN$1,$Z53,"")))</f>
        <v/>
      </c>
      <c r="BU53" s="497" t="str">
        <f>IF($X$49="WEEKS","",IF($Z53="Manual Entry hrs/wk","",IF($X$49&gt;'FORMULA REFS'!AO$1,$Z53,"")))</f>
        <v/>
      </c>
      <c r="BV53" s="497" t="str">
        <f>IF($X$49="WEEKS","",IF($Z53="Manual Entry hrs/wk","",IF($X$49&gt;'FORMULA REFS'!AP$1,$Z53,"")))</f>
        <v/>
      </c>
      <c r="BW53" s="497" t="str">
        <f>IF($X$49="WEEKS","",IF($Z53="Manual Entry hrs/wk","",IF($X$49&gt;'FORMULA REFS'!AQ$1,$Z53,"")))</f>
        <v/>
      </c>
      <c r="BX53" s="497" t="str">
        <f>IF($X$49="WEEKS","",IF($Z53="Manual Entry hrs/wk","",IF($X$49&gt;'FORMULA REFS'!AR$1,$Z53,"")))</f>
        <v/>
      </c>
      <c r="BY53" s="497" t="str">
        <f>IF($X$49="WEEKS","",IF($Z53="Manual Entry hrs/wk","",IF($X$49&gt;'FORMULA REFS'!AS$1,$Z53,"")))</f>
        <v/>
      </c>
      <c r="BZ53" s="497" t="str">
        <f>IF($X$49="WEEKS","",IF($Z53="Manual Entry hrs/wk","",IF($X$49&gt;'FORMULA REFS'!AT$1,$Z53,"")))</f>
        <v/>
      </c>
      <c r="CA53" s="497" t="str">
        <f>IF($X$49="WEEKS","",IF($Z53="Manual Entry hrs/wk","",IF($X$49&gt;'FORMULA REFS'!AU$1,$Z53,"")))</f>
        <v/>
      </c>
      <c r="CB53" s="497" t="str">
        <f>IF($X$49="WEEKS","",IF($Z53="Manual Entry hrs/wk","",IF($X$49&gt;'FORMULA REFS'!AV$1,$Z53,"")))</f>
        <v/>
      </c>
      <c r="CC53" s="497" t="str">
        <f>IF($X$49="WEEKS","",IF($Z53="Manual Entry hrs/wk","",IF($X$49&gt;'FORMULA REFS'!AW$1,$Z53,"")))</f>
        <v/>
      </c>
      <c r="CD53" s="497" t="str">
        <f>IF($X$49="WEEKS","",IF($Z53="Manual Entry hrs/wk","",IF($X$49&gt;'FORMULA REFS'!AX$1,$Z53,"")))</f>
        <v/>
      </c>
      <c r="CE53" s="497" t="str">
        <f>IF($X$49="WEEKS","",IF($Z53="Manual Entry hrs/wk","",IF($X$49&gt;'FORMULA REFS'!AY$1,$Z53,"")))</f>
        <v/>
      </c>
      <c r="CF53" s="497" t="str">
        <f>IF($X$49="WEEKS","",IF($Z53="Manual Entry hrs/wk","",IF($X$49&gt;'FORMULA REFS'!AZ$1,$Z53,"")))</f>
        <v/>
      </c>
      <c r="CG53" s="113"/>
      <c r="CH53" s="349">
        <f t="shared" si="16"/>
        <v>60000</v>
      </c>
      <c r="CI53" s="349">
        <f>IFERROR((_xlfn.XLOOKUP($M53,'Standard Rate Cards'!D:D,'Standard Rate Cards'!E:E))*Y53,0)</f>
        <v>16800</v>
      </c>
      <c r="CJ53" s="349" t="str">
        <f>IF(CL53&lt;&gt;"","",IF($D$16="Select Type","Select Margin Class",IFERROR(IF($M53="",0,IF($D$16="Client Custom Rates",0,IF($D$16="Standard Rates",_xlfn.XLOOKUP($M53,'Standard Rate Cards'!$D:$D,'Standard Rate Cards'!G:G)))),0)))</f>
        <v/>
      </c>
      <c r="CK53" s="349" t="str" cm="1">
        <f t="array" ref="CK53">IF(CL53&lt;&gt;"","",IFERROR(IF($D$16&lt;&gt;"Client Custom Rates",0,INDEX('Client Rate Cards'!E:E,MATCH(1,('Client Rate Cards'!B:B='2. Pricing &amp; Import'!$D$17)*('Client Rate Cards'!D:D='2. Pricing &amp; Import'!N53),0))),0))</f>
        <v/>
      </c>
      <c r="CL53" s="350">
        <v>75</v>
      </c>
    </row>
    <row r="54" spans="3:90" ht="16.05" customHeight="1" x14ac:dyDescent="0.3">
      <c r="C54" s="346"/>
      <c r="D54" s="495" t="s">
        <v>418</v>
      </c>
      <c r="E54" s="346" t="s">
        <v>437</v>
      </c>
      <c r="F54" s="346" t="str">
        <f>IFERROR(_xlfn.XLOOKUP(E54,'Standard Rate Cards'!$BB$11:$BB$23,'Standard Rate Cards'!$BA$11:$BA$23),"")</f>
        <v>MACH</v>
      </c>
      <c r="G54" s="346"/>
      <c r="H54" s="346" t="str">
        <f>IFERROR(_xlfn.XLOOKUP(G54,'Standard Rate Cards'!$AP$8:$AP$142,'Standard Rate Cards'!$AQ$8:$AQ$142),"")</f>
        <v/>
      </c>
      <c r="I54" s="346"/>
      <c r="J54" s="346"/>
      <c r="K54" s="496"/>
      <c r="L54" s="496" t="str">
        <f t="shared" si="13"/>
        <v xml:space="preserve"> </v>
      </c>
      <c r="M54" s="496" t="e" cm="1">
        <f t="array" ref="M54">IF(ISBLANK(D54),"",IF(D54&lt;&gt;"CrederaUS",INDEX('Standard Rate Cards'!$D$9:$D$433,MATCH(1,('Standard Rate Cards'!$B$9:$B$433='2. Pricing &amp; Import'!D54)*('Standard Rate Cards'!$C$9:$C$433='2. Pricing &amp; Import'!K54),0)),INDEX('Standard Rate Cards'!$D$9:$D$433,MATCH(1,('Standard Rate Cards'!$B$9:$B$433='2. Pricing &amp; Import'!D54)*('Standard Rate Cards'!$C$9:$C$433='2. Pricing &amp; Import'!K54)*('Standard Rate Cards'!$H$9:$H$433=L54),0))))</f>
        <v>#N/A</v>
      </c>
      <c r="N54" s="347"/>
      <c r="O54" s="110" t="str">
        <f>IF(ISBLANK(K54)," ",_xlfn.XLOOKUP(K54,'Standard Rate Cards'!C:C,'Standard Rate Cards'!H:H))</f>
        <v xml:space="preserve"> </v>
      </c>
      <c r="P54" s="246" t="str">
        <f>IF(ISBLANK($K54)," ",_xlfn.XLOOKUP($K54,'Standard Rate Cards'!C:C,'Standard Rate Cards'!F:F))</f>
        <v xml:space="preserve"> </v>
      </c>
      <c r="Q54" s="348"/>
      <c r="R54" s="250"/>
      <c r="S54" s="680"/>
      <c r="T54" s="681"/>
      <c r="U54" s="1637"/>
      <c r="V54" s="1638"/>
      <c r="W54" s="681"/>
      <c r="X54" s="681" t="str">
        <f t="shared" si="14"/>
        <v/>
      </c>
      <c r="Y54" s="682" t="str">
        <f t="shared" si="15"/>
        <v/>
      </c>
      <c r="Z54" s="1630" t="s">
        <v>309</v>
      </c>
      <c r="AA54" s="1631"/>
      <c r="AG54" s="497" t="str">
        <f>IF($X$49="WEEKS","",IF($Z54="Manual Entry hrs/wk","",IF($X$49&gt;'FORMULA REFS'!A$1,$Z54,"")))</f>
        <v/>
      </c>
      <c r="AH54" s="497" t="str">
        <f>IF($X$49="WEEKS","",IF($Z54="Manual Entry hrs/wk","",IF($X$49&gt;'FORMULA REFS'!B$1,$Z54,"")))</f>
        <v/>
      </c>
      <c r="AI54" s="497" t="str">
        <f>IF($X$49="WEEKS","",IF($Z54="Manual Entry hrs/wk","",IF($X$49&gt;'FORMULA REFS'!C$1,$Z54,"")))</f>
        <v/>
      </c>
      <c r="AJ54" s="497" t="str">
        <f>IF($X$49="WEEKS","",IF($Z54="Manual Entry hrs/wk","",IF($X$49&gt;'FORMULA REFS'!D$1,$Z54,"")))</f>
        <v/>
      </c>
      <c r="AK54" s="497" t="str">
        <f>IF($X$49="WEEKS","",IF($Z54="Manual Entry hrs/wk","",IF($X$49&gt;'FORMULA REFS'!E$1,$Z54,"")))</f>
        <v/>
      </c>
      <c r="AL54" s="497" t="str">
        <f>IF($X$49="WEEKS","",IF($Z54="Manual Entry hrs/wk","",IF($X$49&gt;'FORMULA REFS'!F$1,$Z54,"")))</f>
        <v/>
      </c>
      <c r="AM54" s="497" t="str">
        <f>IF($X$49="WEEKS","",IF($Z54="Manual Entry hrs/wk","",IF($X$49&gt;'FORMULA REFS'!G$1,$Z54,"")))</f>
        <v/>
      </c>
      <c r="AN54" s="497" t="str">
        <f>IF($X$49="WEEKS","",IF($Z54="Manual Entry hrs/wk","",IF($X$49&gt;'FORMULA REFS'!H$1,$Z54,"")))</f>
        <v/>
      </c>
      <c r="AO54" s="497" t="str">
        <f>IF($X$49="WEEKS","",IF($Z54="Manual Entry hrs/wk","",IF($X$49&gt;'FORMULA REFS'!I$1,$Z54,"")))</f>
        <v/>
      </c>
      <c r="AP54" s="497" t="str">
        <f>IF($X$49="WEEKS","",IF($Z54="Manual Entry hrs/wk","",IF($X$49&gt;'FORMULA REFS'!J$1,$Z54,"")))</f>
        <v/>
      </c>
      <c r="AQ54" s="497" t="str">
        <f>IF($X$49="WEEKS","",IF($Z54="Manual Entry hrs/wk","",IF($X$49&gt;'FORMULA REFS'!K$1,$Z54,"")))</f>
        <v/>
      </c>
      <c r="AR54" s="497" t="str">
        <f>IF($X$49="WEEKS","",IF($Z54="Manual Entry hrs/wk","",IF($X$49&gt;'FORMULA REFS'!L$1,$Z54,"")))</f>
        <v/>
      </c>
      <c r="AS54" s="497" t="str">
        <f>IF($X$49="WEEKS","",IF($Z54="Manual Entry hrs/wk","",IF($X$49&gt;'FORMULA REFS'!M$1,$Z54,"")))</f>
        <v/>
      </c>
      <c r="AT54" s="497" t="str">
        <f>IF($X$49="WEEKS","",IF($Z54="Manual Entry hrs/wk","",IF($X$49&gt;'FORMULA REFS'!N$1,$Z54,"")))</f>
        <v/>
      </c>
      <c r="AU54" s="497" t="str">
        <f>IF($X$49="WEEKS","",IF($Z54="Manual Entry hrs/wk","",IF($X$49&gt;'FORMULA REFS'!O$1,$Z54,"")))</f>
        <v/>
      </c>
      <c r="AV54" s="497" t="str">
        <f>IF($X$49="WEEKS","",IF($Z54="Manual Entry hrs/wk","",IF($X$49&gt;'FORMULA REFS'!P$1,$Z54,"")))</f>
        <v/>
      </c>
      <c r="AW54" s="497" t="str">
        <f>IF($X$49="WEEKS","",IF($Z54="Manual Entry hrs/wk","",IF($X$49&gt;'FORMULA REFS'!Q$1,$Z54,"")))</f>
        <v/>
      </c>
      <c r="AX54" s="497" t="str">
        <f>IF($X$49="WEEKS","",IF($Z54="Manual Entry hrs/wk","",IF($X$49&gt;'FORMULA REFS'!R$1,$Z54,"")))</f>
        <v/>
      </c>
      <c r="AY54" s="497" t="str">
        <f>IF($X$49="WEEKS","",IF($Z54="Manual Entry hrs/wk","",IF($X$49&gt;'FORMULA REFS'!S$1,$Z54,"")))</f>
        <v/>
      </c>
      <c r="AZ54" s="497" t="str">
        <f>IF($X$49="WEEKS","",IF($Z54="Manual Entry hrs/wk","",IF($X$49&gt;'FORMULA REFS'!T$1,$Z54,"")))</f>
        <v/>
      </c>
      <c r="BA54" s="497" t="str">
        <f>IF($X$49="WEEKS","",IF($Z54="Manual Entry hrs/wk","",IF($X$49&gt;'FORMULA REFS'!U$1,$Z54,"")))</f>
        <v/>
      </c>
      <c r="BB54" s="497" t="str">
        <f>IF($X$49="WEEKS","",IF($Z54="Manual Entry hrs/wk","",IF($X$49&gt;'FORMULA REFS'!V$1,$Z54,"")))</f>
        <v/>
      </c>
      <c r="BC54" s="497" t="str">
        <f>IF($X$49="WEEKS","",IF($Z54="Manual Entry hrs/wk","",IF($X$49&gt;'FORMULA REFS'!W$1,$Z54,"")))</f>
        <v/>
      </c>
      <c r="BD54" s="497" t="str">
        <f>IF($X$49="WEEKS","",IF($Z54="Manual Entry hrs/wk","",IF($X$49&gt;'FORMULA REFS'!X$1,$Z54,"")))</f>
        <v/>
      </c>
      <c r="BE54" s="497" t="str">
        <f>IF($X$49="WEEKS","",IF($Z54="Manual Entry hrs/wk","",IF($X$49&gt;'FORMULA REFS'!Y$1,$Z54,"")))</f>
        <v/>
      </c>
      <c r="BF54" s="497" t="str">
        <f>IF($X$49="WEEKS","",IF($Z54="Manual Entry hrs/wk","",IF($X$49&gt;'FORMULA REFS'!Z$1,$Z54,"")))</f>
        <v/>
      </c>
      <c r="BG54" s="497" t="str">
        <f>IF($X$49="WEEKS","",IF($Z54="Manual Entry hrs/wk","",IF($X$49&gt;'FORMULA REFS'!AA$1,$Z54,"")))</f>
        <v/>
      </c>
      <c r="BH54" s="497" t="str">
        <f>IF($X$49="WEEKS","",IF($Z54="Manual Entry hrs/wk","",IF($X$49&gt;'FORMULA REFS'!AB$1,$Z54,"")))</f>
        <v/>
      </c>
      <c r="BI54" s="497" t="str">
        <f>IF($X$49="WEEKS","",IF($Z54="Manual Entry hrs/wk","",IF($X$49&gt;'FORMULA REFS'!AC$1,$Z54,"")))</f>
        <v/>
      </c>
      <c r="BJ54" s="497" t="str">
        <f>IF($X$49="WEEKS","",IF($Z54="Manual Entry hrs/wk","",IF($X$49&gt;'FORMULA REFS'!AD$1,$Z54,"")))</f>
        <v/>
      </c>
      <c r="BK54" s="497" t="str">
        <f>IF($X$49="WEEKS","",IF($Z54="Manual Entry hrs/wk","",IF($X$49&gt;'FORMULA REFS'!AE$1,$Z54,"")))</f>
        <v/>
      </c>
      <c r="BL54" s="497" t="str">
        <f>IF($X$49="WEEKS","",IF($Z54="Manual Entry hrs/wk","",IF($X$49&gt;'FORMULA REFS'!AF$1,$Z54,"")))</f>
        <v/>
      </c>
      <c r="BM54" s="497" t="str">
        <f>IF($X$49="WEEKS","",IF($Z54="Manual Entry hrs/wk","",IF($X$49&gt;'FORMULA REFS'!AG$1,$Z54,"")))</f>
        <v/>
      </c>
      <c r="BN54" s="497" t="str">
        <f>IF($X$49="WEEKS","",IF($Z54="Manual Entry hrs/wk","",IF($X$49&gt;'FORMULA REFS'!AH$1,$Z54,"")))</f>
        <v/>
      </c>
      <c r="BO54" s="497" t="str">
        <f>IF($X$49="WEEKS","",IF($Z54="Manual Entry hrs/wk","",IF($X$49&gt;'FORMULA REFS'!AI$1,$Z54,"")))</f>
        <v/>
      </c>
      <c r="BP54" s="497" t="str">
        <f>IF($X$49="WEEKS","",IF($Z54="Manual Entry hrs/wk","",IF($X$49&gt;'FORMULA REFS'!AJ$1,$Z54,"")))</f>
        <v/>
      </c>
      <c r="BQ54" s="497" t="str">
        <f>IF($X$49="WEEKS","",IF($Z54="Manual Entry hrs/wk","",IF($X$49&gt;'FORMULA REFS'!AK$1,$Z54,"")))</f>
        <v/>
      </c>
      <c r="BR54" s="497" t="str">
        <f>IF($X$49="WEEKS","",IF($Z54="Manual Entry hrs/wk","",IF($X$49&gt;'FORMULA REFS'!AL$1,$Z54,"")))</f>
        <v/>
      </c>
      <c r="BS54" s="497" t="str">
        <f>IF($X$49="WEEKS","",IF($Z54="Manual Entry hrs/wk","",IF($X$49&gt;'FORMULA REFS'!AM$1,$Z54,"")))</f>
        <v/>
      </c>
      <c r="BT54" s="497" t="str">
        <f>IF($X$49="WEEKS","",IF($Z54="Manual Entry hrs/wk","",IF($X$49&gt;'FORMULA REFS'!AN$1,$Z54,"")))</f>
        <v/>
      </c>
      <c r="BU54" s="497" t="str">
        <f>IF($X$49="WEEKS","",IF($Z54="Manual Entry hrs/wk","",IF($X$49&gt;'FORMULA REFS'!AO$1,$Z54,"")))</f>
        <v/>
      </c>
      <c r="BV54" s="497" t="str">
        <f>IF($X$49="WEEKS","",IF($Z54="Manual Entry hrs/wk","",IF($X$49&gt;'FORMULA REFS'!AP$1,$Z54,"")))</f>
        <v/>
      </c>
      <c r="BW54" s="497" t="str">
        <f>IF($X$49="WEEKS","",IF($Z54="Manual Entry hrs/wk","",IF($X$49&gt;'FORMULA REFS'!AQ$1,$Z54,"")))</f>
        <v/>
      </c>
      <c r="BX54" s="497" t="str">
        <f>IF($X$49="WEEKS","",IF($Z54="Manual Entry hrs/wk","",IF($X$49&gt;'FORMULA REFS'!AR$1,$Z54,"")))</f>
        <v/>
      </c>
      <c r="BY54" s="497" t="str">
        <f>IF($X$49="WEEKS","",IF($Z54="Manual Entry hrs/wk","",IF($X$49&gt;'FORMULA REFS'!AS$1,$Z54,"")))</f>
        <v/>
      </c>
      <c r="BZ54" s="497" t="str">
        <f>IF($X$49="WEEKS","",IF($Z54="Manual Entry hrs/wk","",IF($X$49&gt;'FORMULA REFS'!AT$1,$Z54,"")))</f>
        <v/>
      </c>
      <c r="CA54" s="497" t="str">
        <f>IF($X$49="WEEKS","",IF($Z54="Manual Entry hrs/wk","",IF($X$49&gt;'FORMULA REFS'!AU$1,$Z54,"")))</f>
        <v/>
      </c>
      <c r="CB54" s="497" t="str">
        <f>IF($X$49="WEEKS","",IF($Z54="Manual Entry hrs/wk","",IF($X$49&gt;'FORMULA REFS'!AV$1,$Z54,"")))</f>
        <v/>
      </c>
      <c r="CC54" s="497" t="str">
        <f>IF($X$49="WEEKS","",IF($Z54="Manual Entry hrs/wk","",IF($X$49&gt;'FORMULA REFS'!AW$1,$Z54,"")))</f>
        <v/>
      </c>
      <c r="CD54" s="497" t="str">
        <f>IF($X$49="WEEKS","",IF($Z54="Manual Entry hrs/wk","",IF($X$49&gt;'FORMULA REFS'!AX$1,$Z54,"")))</f>
        <v/>
      </c>
      <c r="CE54" s="497" t="str">
        <f>IF($X$49="WEEKS","",IF($Z54="Manual Entry hrs/wk","",IF($X$49&gt;'FORMULA REFS'!AY$1,$Z54,"")))</f>
        <v/>
      </c>
      <c r="CF54" s="497" t="str">
        <f>IF($X$49="WEEKS","",IF($Z54="Manual Entry hrs/wk","",IF($X$49&gt;'FORMULA REFS'!AZ$1,$Z54,"")))</f>
        <v/>
      </c>
      <c r="CG54" s="113"/>
      <c r="CH54" s="349" t="str">
        <f t="shared" si="16"/>
        <v/>
      </c>
      <c r="CI54" s="349">
        <f>IFERROR((_xlfn.XLOOKUP($M54,'Standard Rate Cards'!D:D,'Standard Rate Cards'!E:E))*Y54,0)</f>
        <v>0</v>
      </c>
      <c r="CJ54" s="349">
        <f>IF(CL54&lt;&gt;"","",IF($D$16="Select Type","Select Margin Class",IFERROR(IF($M54="",0,IF($D$16="Client Custom Rates",0,IF($D$16="Standard Rates",_xlfn.XLOOKUP($M54,'Standard Rate Cards'!$D:$D,'Standard Rate Cards'!G:G)))),0)))</f>
        <v>0</v>
      </c>
      <c r="CK54" s="349" cm="1">
        <f t="array" ref="CK54">IF(CL54&lt;&gt;"","",IFERROR(IF($D$16&lt;&gt;"Client Custom Rates",0,INDEX('Client Rate Cards'!E:E,MATCH(1,('Client Rate Cards'!B:B='2. Pricing &amp; Import'!$D$17)*('Client Rate Cards'!D:D='2. Pricing &amp; Import'!N54),0))),0))</f>
        <v>0</v>
      </c>
      <c r="CL54" s="350"/>
    </row>
    <row r="55" spans="3:90" ht="16.05" customHeight="1" x14ac:dyDescent="0.3">
      <c r="C55" s="346"/>
      <c r="D55" s="495" t="s">
        <v>307</v>
      </c>
      <c r="E55" s="346"/>
      <c r="F55" s="346" t="str">
        <f>IFERROR(_xlfn.XLOOKUP(E55,'Standard Rate Cards'!$BB$11:$BB$23,'Standard Rate Cards'!$BA$11:$BA$23),"")</f>
        <v/>
      </c>
      <c r="G55" s="346"/>
      <c r="H55" s="346" t="str">
        <f>IFERROR(_xlfn.XLOOKUP(G55,'Standard Rate Cards'!$AP$8:$AP$142,'Standard Rate Cards'!$AQ$8:$AQ$142),"")</f>
        <v/>
      </c>
      <c r="I55" s="346"/>
      <c r="J55" s="346"/>
      <c r="K55" s="496"/>
      <c r="L55" s="496" t="str">
        <f t="shared" si="13"/>
        <v xml:space="preserve"> </v>
      </c>
      <c r="M55" s="496" t="e" cm="1">
        <f t="array" ref="M55">IF(ISBLANK(D55),"",IF(D55&lt;&gt;"CrederaUS",INDEX('Standard Rate Cards'!$D$9:$D$433,MATCH(1,('Standard Rate Cards'!$B$9:$B$433='2. Pricing &amp; Import'!D55)*('Standard Rate Cards'!$C$9:$C$433='2. Pricing &amp; Import'!K55),0)),INDEX('Standard Rate Cards'!$D$9:$D$433,MATCH(1,('Standard Rate Cards'!$B$9:$B$433='2. Pricing &amp; Import'!D55)*('Standard Rate Cards'!$C$9:$C$433='2. Pricing &amp; Import'!K55)*('Standard Rate Cards'!$H$9:$H$433=L55),0))))</f>
        <v>#N/A</v>
      </c>
      <c r="N55" s="347"/>
      <c r="O55" s="110" t="str">
        <f>IF(ISBLANK(K55)," ",_xlfn.XLOOKUP(K55,'Standard Rate Cards'!C:C,'Standard Rate Cards'!H:H))</f>
        <v xml:space="preserve"> </v>
      </c>
      <c r="P55" s="246" t="str">
        <f>IF(ISBLANK($K55)," ",_xlfn.XLOOKUP($K55,'Standard Rate Cards'!C:C,'Standard Rate Cards'!F:F))</f>
        <v xml:space="preserve"> </v>
      </c>
      <c r="Q55" s="348"/>
      <c r="R55" s="250"/>
      <c r="S55" s="680"/>
      <c r="T55" s="681"/>
      <c r="U55" s="1637"/>
      <c r="V55" s="1638"/>
      <c r="W55" s="681"/>
      <c r="X55" s="681" t="str">
        <f t="shared" si="14"/>
        <v/>
      </c>
      <c r="Y55" s="682" t="str">
        <f t="shared" si="15"/>
        <v/>
      </c>
      <c r="Z55" s="1630" t="s">
        <v>309</v>
      </c>
      <c r="AA55" s="1631"/>
      <c r="AG55" s="497" t="str">
        <f>IF($X$49="WEEKS","",IF($Z55="Manual Entry hrs/wk","",IF($X$49&gt;'FORMULA REFS'!A$1,$Z55,"")))</f>
        <v/>
      </c>
      <c r="AH55" s="497" t="str">
        <f>IF($X$49="WEEKS","",IF($Z55="Manual Entry hrs/wk","",IF($X$49&gt;'FORMULA REFS'!B$1,$Z55,"")))</f>
        <v/>
      </c>
      <c r="AI55" s="497" t="str">
        <f>IF($X$49="WEEKS","",IF($Z55="Manual Entry hrs/wk","",IF($X$49&gt;'FORMULA REFS'!C$1,$Z55,"")))</f>
        <v/>
      </c>
      <c r="AJ55" s="497" t="str">
        <f>IF($X$49="WEEKS","",IF($Z55="Manual Entry hrs/wk","",IF($X$49&gt;'FORMULA REFS'!D$1,$Z55,"")))</f>
        <v/>
      </c>
      <c r="AK55" s="497" t="str">
        <f>IF($X$49="WEEKS","",IF($Z55="Manual Entry hrs/wk","",IF($X$49&gt;'FORMULA REFS'!E$1,$Z55,"")))</f>
        <v/>
      </c>
      <c r="AL55" s="497" t="str">
        <f>IF($X$49="WEEKS","",IF($Z55="Manual Entry hrs/wk","",IF($X$49&gt;'FORMULA REFS'!F$1,$Z55,"")))</f>
        <v/>
      </c>
      <c r="AM55" s="497" t="str">
        <f>IF($X$49="WEEKS","",IF($Z55="Manual Entry hrs/wk","",IF($X$49&gt;'FORMULA REFS'!G$1,$Z55,"")))</f>
        <v/>
      </c>
      <c r="AN55" s="497" t="str">
        <f>IF($X$49="WEEKS","",IF($Z55="Manual Entry hrs/wk","",IF($X$49&gt;'FORMULA REFS'!H$1,$Z55,"")))</f>
        <v/>
      </c>
      <c r="AO55" s="497" t="str">
        <f>IF($X$49="WEEKS","",IF($Z55="Manual Entry hrs/wk","",IF($X$49&gt;'FORMULA REFS'!I$1,$Z55,"")))</f>
        <v/>
      </c>
      <c r="AP55" s="497" t="str">
        <f>IF($X$49="WEEKS","",IF($Z55="Manual Entry hrs/wk","",IF($X$49&gt;'FORMULA REFS'!J$1,$Z55,"")))</f>
        <v/>
      </c>
      <c r="AQ55" s="497" t="str">
        <f>IF($X$49="WEEKS","",IF($Z55="Manual Entry hrs/wk","",IF($X$49&gt;'FORMULA REFS'!K$1,$Z55,"")))</f>
        <v/>
      </c>
      <c r="AR55" s="497" t="str">
        <f>IF($X$49="WEEKS","",IF($Z55="Manual Entry hrs/wk","",IF($X$49&gt;'FORMULA REFS'!L$1,$Z55,"")))</f>
        <v/>
      </c>
      <c r="AS55" s="497" t="str">
        <f>IF($X$49="WEEKS","",IF($Z55="Manual Entry hrs/wk","",IF($X$49&gt;'FORMULA REFS'!M$1,$Z55,"")))</f>
        <v/>
      </c>
      <c r="AT55" s="497" t="str">
        <f>IF($X$49="WEEKS","",IF($Z55="Manual Entry hrs/wk","",IF($X$49&gt;'FORMULA REFS'!N$1,$Z55,"")))</f>
        <v/>
      </c>
      <c r="AU55" s="497" t="str">
        <f>IF($X$49="WEEKS","",IF($Z55="Manual Entry hrs/wk","",IF($X$49&gt;'FORMULA REFS'!O$1,$Z55,"")))</f>
        <v/>
      </c>
      <c r="AV55" s="497" t="str">
        <f>IF($X$49="WEEKS","",IF($Z55="Manual Entry hrs/wk","",IF($X$49&gt;'FORMULA REFS'!P$1,$Z55,"")))</f>
        <v/>
      </c>
      <c r="AW55" s="497" t="str">
        <f>IF($X$49="WEEKS","",IF($Z55="Manual Entry hrs/wk","",IF($X$49&gt;'FORMULA REFS'!Q$1,$Z55,"")))</f>
        <v/>
      </c>
      <c r="AX55" s="497" t="str">
        <f>IF($X$49="WEEKS","",IF($Z55="Manual Entry hrs/wk","",IF($X$49&gt;'FORMULA REFS'!R$1,$Z55,"")))</f>
        <v/>
      </c>
      <c r="AY55" s="497" t="str">
        <f>IF($X$49="WEEKS","",IF($Z55="Manual Entry hrs/wk","",IF($X$49&gt;'FORMULA REFS'!S$1,$Z55,"")))</f>
        <v/>
      </c>
      <c r="AZ55" s="497" t="str">
        <f>IF($X$49="WEEKS","",IF($Z55="Manual Entry hrs/wk","",IF($X$49&gt;'FORMULA REFS'!T$1,$Z55,"")))</f>
        <v/>
      </c>
      <c r="BA55" s="497" t="str">
        <f>IF($X$49="WEEKS","",IF($Z55="Manual Entry hrs/wk","",IF($X$49&gt;'FORMULA REFS'!U$1,$Z55,"")))</f>
        <v/>
      </c>
      <c r="BB55" s="497" t="str">
        <f>IF($X$49="WEEKS","",IF($Z55="Manual Entry hrs/wk","",IF($X$49&gt;'FORMULA REFS'!V$1,$Z55,"")))</f>
        <v/>
      </c>
      <c r="BC55" s="497" t="str">
        <f>IF($X$49="WEEKS","",IF($Z55="Manual Entry hrs/wk","",IF($X$49&gt;'FORMULA REFS'!W$1,$Z55,"")))</f>
        <v/>
      </c>
      <c r="BD55" s="497" t="str">
        <f>IF($X$49="WEEKS","",IF($Z55="Manual Entry hrs/wk","",IF($X$49&gt;'FORMULA REFS'!X$1,$Z55,"")))</f>
        <v/>
      </c>
      <c r="BE55" s="497" t="str">
        <f>IF($X$49="WEEKS","",IF($Z55="Manual Entry hrs/wk","",IF($X$49&gt;'FORMULA REFS'!Y$1,$Z55,"")))</f>
        <v/>
      </c>
      <c r="BF55" s="497" t="str">
        <f>IF($X$49="WEEKS","",IF($Z55="Manual Entry hrs/wk","",IF($X$49&gt;'FORMULA REFS'!Z$1,$Z55,"")))</f>
        <v/>
      </c>
      <c r="BG55" s="497" t="str">
        <f>IF($X$49="WEEKS","",IF($Z55="Manual Entry hrs/wk","",IF($X$49&gt;'FORMULA REFS'!AA$1,$Z55,"")))</f>
        <v/>
      </c>
      <c r="BH55" s="497" t="str">
        <f>IF($X$49="WEEKS","",IF($Z55="Manual Entry hrs/wk","",IF($X$49&gt;'FORMULA REFS'!AB$1,$Z55,"")))</f>
        <v/>
      </c>
      <c r="BI55" s="497" t="str">
        <f>IF($X$49="WEEKS","",IF($Z55="Manual Entry hrs/wk","",IF($X$49&gt;'FORMULA REFS'!AC$1,$Z55,"")))</f>
        <v/>
      </c>
      <c r="BJ55" s="497" t="str">
        <f>IF($X$49="WEEKS","",IF($Z55="Manual Entry hrs/wk","",IF($X$49&gt;'FORMULA REFS'!AD$1,$Z55,"")))</f>
        <v/>
      </c>
      <c r="BK55" s="497" t="str">
        <f>IF($X$49="WEEKS","",IF($Z55="Manual Entry hrs/wk","",IF($X$49&gt;'FORMULA REFS'!AE$1,$Z55,"")))</f>
        <v/>
      </c>
      <c r="BL55" s="497" t="str">
        <f>IF($X$49="WEEKS","",IF($Z55="Manual Entry hrs/wk","",IF($X$49&gt;'FORMULA REFS'!AF$1,$Z55,"")))</f>
        <v/>
      </c>
      <c r="BM55" s="497" t="str">
        <f>IF($X$49="WEEKS","",IF($Z55="Manual Entry hrs/wk","",IF($X$49&gt;'FORMULA REFS'!AG$1,$Z55,"")))</f>
        <v/>
      </c>
      <c r="BN55" s="497" t="str">
        <f>IF($X$49="WEEKS","",IF($Z55="Manual Entry hrs/wk","",IF($X$49&gt;'FORMULA REFS'!AH$1,$Z55,"")))</f>
        <v/>
      </c>
      <c r="BO55" s="497" t="str">
        <f>IF($X$49="WEEKS","",IF($Z55="Manual Entry hrs/wk","",IF($X$49&gt;'FORMULA REFS'!AI$1,$Z55,"")))</f>
        <v/>
      </c>
      <c r="BP55" s="497" t="str">
        <f>IF($X$49="WEEKS","",IF($Z55="Manual Entry hrs/wk","",IF($X$49&gt;'FORMULA REFS'!AJ$1,$Z55,"")))</f>
        <v/>
      </c>
      <c r="BQ55" s="497" t="str">
        <f>IF($X$49="WEEKS","",IF($Z55="Manual Entry hrs/wk","",IF($X$49&gt;'FORMULA REFS'!AK$1,$Z55,"")))</f>
        <v/>
      </c>
      <c r="BR55" s="497" t="str">
        <f>IF($X$49="WEEKS","",IF($Z55="Manual Entry hrs/wk","",IF($X$49&gt;'FORMULA REFS'!AL$1,$Z55,"")))</f>
        <v/>
      </c>
      <c r="BS55" s="497" t="str">
        <f>IF($X$49="WEEKS","",IF($Z55="Manual Entry hrs/wk","",IF($X$49&gt;'FORMULA REFS'!AM$1,$Z55,"")))</f>
        <v/>
      </c>
      <c r="BT55" s="497" t="str">
        <f>IF($X$49="WEEKS","",IF($Z55="Manual Entry hrs/wk","",IF($X$49&gt;'FORMULA REFS'!AN$1,$Z55,"")))</f>
        <v/>
      </c>
      <c r="BU55" s="497" t="str">
        <f>IF($X$49="WEEKS","",IF($Z55="Manual Entry hrs/wk","",IF($X$49&gt;'FORMULA REFS'!AO$1,$Z55,"")))</f>
        <v/>
      </c>
      <c r="BV55" s="497" t="str">
        <f>IF($X$49="WEEKS","",IF($Z55="Manual Entry hrs/wk","",IF($X$49&gt;'FORMULA REFS'!AP$1,$Z55,"")))</f>
        <v/>
      </c>
      <c r="BW55" s="497" t="str">
        <f>IF($X$49="WEEKS","",IF($Z55="Manual Entry hrs/wk","",IF($X$49&gt;'FORMULA REFS'!AQ$1,$Z55,"")))</f>
        <v/>
      </c>
      <c r="BX55" s="497" t="str">
        <f>IF($X$49="WEEKS","",IF($Z55="Manual Entry hrs/wk","",IF($X$49&gt;'FORMULA REFS'!AR$1,$Z55,"")))</f>
        <v/>
      </c>
      <c r="BY55" s="497" t="str">
        <f>IF($X$49="WEEKS","",IF($Z55="Manual Entry hrs/wk","",IF($X$49&gt;'FORMULA REFS'!AS$1,$Z55,"")))</f>
        <v/>
      </c>
      <c r="BZ55" s="497" t="str">
        <f>IF($X$49="WEEKS","",IF($Z55="Manual Entry hrs/wk","",IF($X$49&gt;'FORMULA REFS'!AT$1,$Z55,"")))</f>
        <v/>
      </c>
      <c r="CA55" s="497" t="str">
        <f>IF($X$49="WEEKS","",IF($Z55="Manual Entry hrs/wk","",IF($X$49&gt;'FORMULA REFS'!AU$1,$Z55,"")))</f>
        <v/>
      </c>
      <c r="CB55" s="497" t="str">
        <f>IF($X$49="WEEKS","",IF($Z55="Manual Entry hrs/wk","",IF($X$49&gt;'FORMULA REFS'!AV$1,$Z55,"")))</f>
        <v/>
      </c>
      <c r="CC55" s="497" t="str">
        <f>IF($X$49="WEEKS","",IF($Z55="Manual Entry hrs/wk","",IF($X$49&gt;'FORMULA REFS'!AW$1,$Z55,"")))</f>
        <v/>
      </c>
      <c r="CD55" s="497" t="str">
        <f>IF($X$49="WEEKS","",IF($Z55="Manual Entry hrs/wk","",IF($X$49&gt;'FORMULA REFS'!AX$1,$Z55,"")))</f>
        <v/>
      </c>
      <c r="CE55" s="497" t="str">
        <f>IF($X$49="WEEKS","",IF($Z55="Manual Entry hrs/wk","",IF($X$49&gt;'FORMULA REFS'!AY$1,$Z55,"")))</f>
        <v/>
      </c>
      <c r="CF55" s="497" t="str">
        <f>IF($X$49="WEEKS","",IF($Z55="Manual Entry hrs/wk","",IF($X$49&gt;'FORMULA REFS'!AZ$1,$Z55,"")))</f>
        <v/>
      </c>
      <c r="CG55" s="113"/>
      <c r="CH55" s="349" t="str">
        <f t="shared" si="16"/>
        <v/>
      </c>
      <c r="CI55" s="349">
        <f>IFERROR((_xlfn.XLOOKUP($M55,'Standard Rate Cards'!D:D,'Standard Rate Cards'!E:E))*Y55,0)</f>
        <v>0</v>
      </c>
      <c r="CJ55" s="349">
        <f>IF(CL55&lt;&gt;"","",IF($D$16="Select Type","Select Margin Class",IFERROR(IF($M55="",0,IF($D$16="Client Custom Rates",0,IF($D$16="Standard Rates",_xlfn.XLOOKUP($M55,'Standard Rate Cards'!$D:$D,'Standard Rate Cards'!G:G)))),0)))</f>
        <v>0</v>
      </c>
      <c r="CK55" s="349" cm="1">
        <f t="array" ref="CK55">IF(CL55&lt;&gt;"","",IFERROR(IF($D$16&lt;&gt;"Client Custom Rates",0,INDEX('Client Rate Cards'!E:E,MATCH(1,('Client Rate Cards'!B:B='2. Pricing &amp; Import'!$D$17)*('Client Rate Cards'!D:D='2. Pricing &amp; Import'!N55),0))),0))</f>
        <v>0</v>
      </c>
      <c r="CL55" s="350"/>
    </row>
    <row r="56" spans="3:90" ht="16.05" customHeight="1" x14ac:dyDescent="0.3">
      <c r="C56" s="346"/>
      <c r="D56" s="495" t="s">
        <v>443</v>
      </c>
      <c r="E56" s="346"/>
      <c r="F56" s="346" t="str">
        <f>IFERROR(_xlfn.XLOOKUP(E56,'Standard Rate Cards'!$BB$11:$BB$23,'Standard Rate Cards'!$BA$11:$BA$23),"")</f>
        <v/>
      </c>
      <c r="G56" s="346"/>
      <c r="H56" s="346" t="str">
        <f>IFERROR(_xlfn.XLOOKUP(G56,'Standard Rate Cards'!$AP$8:$AP$142,'Standard Rate Cards'!$AQ$8:$AQ$142),"")</f>
        <v/>
      </c>
      <c r="I56" s="346"/>
      <c r="J56" s="346"/>
      <c r="K56" s="496"/>
      <c r="L56" s="496" t="str">
        <f t="shared" si="13"/>
        <v xml:space="preserve"> </v>
      </c>
      <c r="M56" s="496" t="e" cm="1">
        <f t="array" ref="M56">IF(ISBLANK(D56),"",IF(D56&lt;&gt;"CrederaUS",INDEX('Standard Rate Cards'!$D$9:$D$433,MATCH(1,('Standard Rate Cards'!$B$9:$B$433='2. Pricing &amp; Import'!D56)*('Standard Rate Cards'!$C$9:$C$433='2. Pricing &amp; Import'!K56),0)),INDEX('Standard Rate Cards'!$D$9:$D$433,MATCH(1,('Standard Rate Cards'!$B$9:$B$433='2. Pricing &amp; Import'!D56)*('Standard Rate Cards'!$C$9:$C$433='2. Pricing &amp; Import'!K56)*('Standard Rate Cards'!$H$9:$H$433=L56),0))))</f>
        <v>#N/A</v>
      </c>
      <c r="N56" s="347"/>
      <c r="O56" s="110" t="str">
        <f>IF(ISBLANK(K56)," ",_xlfn.XLOOKUP(K56,'Standard Rate Cards'!C:C,'Standard Rate Cards'!H:H))</f>
        <v xml:space="preserve"> </v>
      </c>
      <c r="P56" s="246" t="str">
        <f>IF(ISBLANK($K56)," ",_xlfn.XLOOKUP($K56,'Standard Rate Cards'!C:C,'Standard Rate Cards'!F:F))</f>
        <v xml:space="preserve"> </v>
      </c>
      <c r="Q56" s="348"/>
      <c r="R56" s="250"/>
      <c r="S56" s="680"/>
      <c r="T56" s="681"/>
      <c r="U56" s="1637"/>
      <c r="V56" s="1638"/>
      <c r="W56" s="681"/>
      <c r="X56" s="681" t="str">
        <f t="shared" si="14"/>
        <v/>
      </c>
      <c r="Y56" s="682" t="str">
        <f t="shared" si="15"/>
        <v/>
      </c>
      <c r="Z56" s="1630" t="s">
        <v>309</v>
      </c>
      <c r="AA56" s="1631"/>
      <c r="AG56" s="497" t="str">
        <f>IF($X$49="WEEKS","",IF($Z56="Manual Entry hrs/wk","",IF($X$49&gt;'FORMULA REFS'!A$1,$Z56,"")))</f>
        <v/>
      </c>
      <c r="AH56" s="497" t="str">
        <f>IF($X$49="WEEKS","",IF($Z56="Manual Entry hrs/wk","",IF($X$49&gt;'FORMULA REFS'!B$1,$Z56,"")))</f>
        <v/>
      </c>
      <c r="AI56" s="497" t="str">
        <f>IF($X$49="WEEKS","",IF($Z56="Manual Entry hrs/wk","",IF($X$49&gt;'FORMULA REFS'!C$1,$Z56,"")))</f>
        <v/>
      </c>
      <c r="AJ56" s="497" t="str">
        <f>IF($X$49="WEEKS","",IF($Z56="Manual Entry hrs/wk","",IF($X$49&gt;'FORMULA REFS'!D$1,$Z56,"")))</f>
        <v/>
      </c>
      <c r="AK56" s="497" t="str">
        <f>IF($X$49="WEEKS","",IF($Z56="Manual Entry hrs/wk","",IF($X$49&gt;'FORMULA REFS'!E$1,$Z56,"")))</f>
        <v/>
      </c>
      <c r="AL56" s="497" t="str">
        <f>IF($X$49="WEEKS","",IF($Z56="Manual Entry hrs/wk","",IF($X$49&gt;'FORMULA REFS'!F$1,$Z56,"")))</f>
        <v/>
      </c>
      <c r="AM56" s="497" t="str">
        <f>IF($X$49="WEEKS","",IF($Z56="Manual Entry hrs/wk","",IF($X$49&gt;'FORMULA REFS'!G$1,$Z56,"")))</f>
        <v/>
      </c>
      <c r="AN56" s="497" t="str">
        <f>IF($X$49="WEEKS","",IF($Z56="Manual Entry hrs/wk","",IF($X$49&gt;'FORMULA REFS'!H$1,$Z56,"")))</f>
        <v/>
      </c>
      <c r="AO56" s="497" t="str">
        <f>IF($X$49="WEEKS","",IF($Z56="Manual Entry hrs/wk","",IF($X$49&gt;'FORMULA REFS'!I$1,$Z56,"")))</f>
        <v/>
      </c>
      <c r="AP56" s="497" t="str">
        <f>IF($X$49="WEEKS","",IF($Z56="Manual Entry hrs/wk","",IF($X$49&gt;'FORMULA REFS'!J$1,$Z56,"")))</f>
        <v/>
      </c>
      <c r="AQ56" s="497" t="str">
        <f>IF($X$49="WEEKS","",IF($Z56="Manual Entry hrs/wk","",IF($X$49&gt;'FORMULA REFS'!K$1,$Z56,"")))</f>
        <v/>
      </c>
      <c r="AR56" s="497" t="str">
        <f>IF($X$49="WEEKS","",IF($Z56="Manual Entry hrs/wk","",IF($X$49&gt;'FORMULA REFS'!L$1,$Z56,"")))</f>
        <v/>
      </c>
      <c r="AS56" s="497" t="str">
        <f>IF($X$49="WEEKS","",IF($Z56="Manual Entry hrs/wk","",IF($X$49&gt;'FORMULA REFS'!M$1,$Z56,"")))</f>
        <v/>
      </c>
      <c r="AT56" s="497" t="str">
        <f>IF($X$49="WEEKS","",IF($Z56="Manual Entry hrs/wk","",IF($X$49&gt;'FORMULA REFS'!N$1,$Z56,"")))</f>
        <v/>
      </c>
      <c r="AU56" s="497" t="str">
        <f>IF($X$49="WEEKS","",IF($Z56="Manual Entry hrs/wk","",IF($X$49&gt;'FORMULA REFS'!O$1,$Z56,"")))</f>
        <v/>
      </c>
      <c r="AV56" s="497" t="str">
        <f>IF($X$49="WEEKS","",IF($Z56="Manual Entry hrs/wk","",IF($X$49&gt;'FORMULA REFS'!P$1,$Z56,"")))</f>
        <v/>
      </c>
      <c r="AW56" s="497" t="str">
        <f>IF($X$49="WEEKS","",IF($Z56="Manual Entry hrs/wk","",IF($X$49&gt;'FORMULA REFS'!Q$1,$Z56,"")))</f>
        <v/>
      </c>
      <c r="AX56" s="497" t="str">
        <f>IF($X$49="WEEKS","",IF($Z56="Manual Entry hrs/wk","",IF($X$49&gt;'FORMULA REFS'!R$1,$Z56,"")))</f>
        <v/>
      </c>
      <c r="AY56" s="497" t="str">
        <f>IF($X$49="WEEKS","",IF($Z56="Manual Entry hrs/wk","",IF($X$49&gt;'FORMULA REFS'!S$1,$Z56,"")))</f>
        <v/>
      </c>
      <c r="AZ56" s="497" t="str">
        <f>IF($X$49="WEEKS","",IF($Z56="Manual Entry hrs/wk","",IF($X$49&gt;'FORMULA REFS'!T$1,$Z56,"")))</f>
        <v/>
      </c>
      <c r="BA56" s="497" t="str">
        <f>IF($X$49="WEEKS","",IF($Z56="Manual Entry hrs/wk","",IF($X$49&gt;'FORMULA REFS'!U$1,$Z56,"")))</f>
        <v/>
      </c>
      <c r="BB56" s="497" t="str">
        <f>IF($X$49="WEEKS","",IF($Z56="Manual Entry hrs/wk","",IF($X$49&gt;'FORMULA REFS'!V$1,$Z56,"")))</f>
        <v/>
      </c>
      <c r="BC56" s="497" t="str">
        <f>IF($X$49="WEEKS","",IF($Z56="Manual Entry hrs/wk","",IF($X$49&gt;'FORMULA REFS'!W$1,$Z56,"")))</f>
        <v/>
      </c>
      <c r="BD56" s="497" t="str">
        <f>IF($X$49="WEEKS","",IF($Z56="Manual Entry hrs/wk","",IF($X$49&gt;'FORMULA REFS'!X$1,$Z56,"")))</f>
        <v/>
      </c>
      <c r="BE56" s="497" t="str">
        <f>IF($X$49="WEEKS","",IF($Z56="Manual Entry hrs/wk","",IF($X$49&gt;'FORMULA REFS'!Y$1,$Z56,"")))</f>
        <v/>
      </c>
      <c r="BF56" s="497" t="str">
        <f>IF($X$49="WEEKS","",IF($Z56="Manual Entry hrs/wk","",IF($X$49&gt;'FORMULA REFS'!Z$1,$Z56,"")))</f>
        <v/>
      </c>
      <c r="BG56" s="497" t="str">
        <f>IF($X$49="WEEKS","",IF($Z56="Manual Entry hrs/wk","",IF($X$49&gt;'FORMULA REFS'!AA$1,$Z56,"")))</f>
        <v/>
      </c>
      <c r="BH56" s="497" t="str">
        <f>IF($X$49="WEEKS","",IF($Z56="Manual Entry hrs/wk","",IF($X$49&gt;'FORMULA REFS'!AB$1,$Z56,"")))</f>
        <v/>
      </c>
      <c r="BI56" s="497" t="str">
        <f>IF($X$49="WEEKS","",IF($Z56="Manual Entry hrs/wk","",IF($X$49&gt;'FORMULA REFS'!AC$1,$Z56,"")))</f>
        <v/>
      </c>
      <c r="BJ56" s="497" t="str">
        <f>IF($X$49="WEEKS","",IF($Z56="Manual Entry hrs/wk","",IF($X$49&gt;'FORMULA REFS'!AD$1,$Z56,"")))</f>
        <v/>
      </c>
      <c r="BK56" s="497" t="str">
        <f>IF($X$49="WEEKS","",IF($Z56="Manual Entry hrs/wk","",IF($X$49&gt;'FORMULA REFS'!AE$1,$Z56,"")))</f>
        <v/>
      </c>
      <c r="BL56" s="497" t="str">
        <f>IF($X$49="WEEKS","",IF($Z56="Manual Entry hrs/wk","",IF($X$49&gt;'FORMULA REFS'!AF$1,$Z56,"")))</f>
        <v/>
      </c>
      <c r="BM56" s="497" t="str">
        <f>IF($X$49="WEEKS","",IF($Z56="Manual Entry hrs/wk","",IF($X$49&gt;'FORMULA REFS'!AG$1,$Z56,"")))</f>
        <v/>
      </c>
      <c r="BN56" s="497" t="str">
        <f>IF($X$49="WEEKS","",IF($Z56="Manual Entry hrs/wk","",IF($X$49&gt;'FORMULA REFS'!AH$1,$Z56,"")))</f>
        <v/>
      </c>
      <c r="BO56" s="497" t="str">
        <f>IF($X$49="WEEKS","",IF($Z56="Manual Entry hrs/wk","",IF($X$49&gt;'FORMULA REFS'!AI$1,$Z56,"")))</f>
        <v/>
      </c>
      <c r="BP56" s="497" t="str">
        <f>IF($X$49="WEEKS","",IF($Z56="Manual Entry hrs/wk","",IF($X$49&gt;'FORMULA REFS'!AJ$1,$Z56,"")))</f>
        <v/>
      </c>
      <c r="BQ56" s="497" t="str">
        <f>IF($X$49="WEEKS","",IF($Z56="Manual Entry hrs/wk","",IF($X$49&gt;'FORMULA REFS'!AK$1,$Z56,"")))</f>
        <v/>
      </c>
      <c r="BR56" s="497" t="str">
        <f>IF($X$49="WEEKS","",IF($Z56="Manual Entry hrs/wk","",IF($X$49&gt;'FORMULA REFS'!AL$1,$Z56,"")))</f>
        <v/>
      </c>
      <c r="BS56" s="497" t="str">
        <f>IF($X$49="WEEKS","",IF($Z56="Manual Entry hrs/wk","",IF($X$49&gt;'FORMULA REFS'!AM$1,$Z56,"")))</f>
        <v/>
      </c>
      <c r="BT56" s="497" t="str">
        <f>IF($X$49="WEEKS","",IF($Z56="Manual Entry hrs/wk","",IF($X$49&gt;'FORMULA REFS'!AN$1,$Z56,"")))</f>
        <v/>
      </c>
      <c r="BU56" s="497" t="str">
        <f>IF($X$49="WEEKS","",IF($Z56="Manual Entry hrs/wk","",IF($X$49&gt;'FORMULA REFS'!AO$1,$Z56,"")))</f>
        <v/>
      </c>
      <c r="BV56" s="497" t="str">
        <f>IF($X$49="WEEKS","",IF($Z56="Manual Entry hrs/wk","",IF($X$49&gt;'FORMULA REFS'!AP$1,$Z56,"")))</f>
        <v/>
      </c>
      <c r="BW56" s="497" t="str">
        <f>IF($X$49="WEEKS","",IF($Z56="Manual Entry hrs/wk","",IF($X$49&gt;'FORMULA REFS'!AQ$1,$Z56,"")))</f>
        <v/>
      </c>
      <c r="BX56" s="497" t="str">
        <f>IF($X$49="WEEKS","",IF($Z56="Manual Entry hrs/wk","",IF($X$49&gt;'FORMULA REFS'!AR$1,$Z56,"")))</f>
        <v/>
      </c>
      <c r="BY56" s="497" t="str">
        <f>IF($X$49="WEEKS","",IF($Z56="Manual Entry hrs/wk","",IF($X$49&gt;'FORMULA REFS'!AS$1,$Z56,"")))</f>
        <v/>
      </c>
      <c r="BZ56" s="497" t="str">
        <f>IF($X$49="WEEKS","",IF($Z56="Manual Entry hrs/wk","",IF($X$49&gt;'FORMULA REFS'!AT$1,$Z56,"")))</f>
        <v/>
      </c>
      <c r="CA56" s="497" t="str">
        <f>IF($X$49="WEEKS","",IF($Z56="Manual Entry hrs/wk","",IF($X$49&gt;'FORMULA REFS'!AU$1,$Z56,"")))</f>
        <v/>
      </c>
      <c r="CB56" s="497" t="str">
        <f>IF($X$49="WEEKS","",IF($Z56="Manual Entry hrs/wk","",IF($X$49&gt;'FORMULA REFS'!AV$1,$Z56,"")))</f>
        <v/>
      </c>
      <c r="CC56" s="497" t="str">
        <f>IF($X$49="WEEKS","",IF($Z56="Manual Entry hrs/wk","",IF($X$49&gt;'FORMULA REFS'!AW$1,$Z56,"")))</f>
        <v/>
      </c>
      <c r="CD56" s="497" t="str">
        <f>IF($X$49="WEEKS","",IF($Z56="Manual Entry hrs/wk","",IF($X$49&gt;'FORMULA REFS'!AX$1,$Z56,"")))</f>
        <v/>
      </c>
      <c r="CE56" s="497" t="str">
        <f>IF($X$49="WEEKS","",IF($Z56="Manual Entry hrs/wk","",IF($X$49&gt;'FORMULA REFS'!AY$1,$Z56,"")))</f>
        <v/>
      </c>
      <c r="CF56" s="497" t="str">
        <f>IF($X$49="WEEKS","",IF($Z56="Manual Entry hrs/wk","",IF($X$49&gt;'FORMULA REFS'!AZ$1,$Z56,"")))</f>
        <v/>
      </c>
      <c r="CG56" s="113"/>
      <c r="CH56" s="349" t="str">
        <f t="shared" si="16"/>
        <v/>
      </c>
      <c r="CI56" s="349">
        <f>IFERROR((_xlfn.XLOOKUP($M56,'Standard Rate Cards'!D:D,'Standard Rate Cards'!E:E))*Y56,0)</f>
        <v>0</v>
      </c>
      <c r="CJ56" s="349">
        <f>IF(CL56&lt;&gt;"","",IF($D$16="Select Type","Select Margin Class",IFERROR(IF($M56="",0,IF($D$16="Client Custom Rates",0,IF($D$16="Standard Rates",_xlfn.XLOOKUP($M56,'Standard Rate Cards'!$D:$D,'Standard Rate Cards'!G:G)))),0)))</f>
        <v>0</v>
      </c>
      <c r="CK56" s="349" cm="1">
        <f t="array" ref="CK56">IF(CL56&lt;&gt;"","",IFERROR(IF($D$16&lt;&gt;"Client Custom Rates",0,INDEX('Client Rate Cards'!E:E,MATCH(1,('Client Rate Cards'!B:B='2. Pricing &amp; Import'!$D$17)*('Client Rate Cards'!D:D='2. Pricing &amp; Import'!N56),0))),0))</f>
        <v>0</v>
      </c>
      <c r="CL56" s="350"/>
    </row>
    <row r="57" spans="3:90" ht="16.05" customHeight="1" x14ac:dyDescent="0.3">
      <c r="C57" s="346"/>
      <c r="D57" s="495" t="s">
        <v>432</v>
      </c>
      <c r="E57" s="346"/>
      <c r="F57" s="346" t="str">
        <f>IFERROR(_xlfn.XLOOKUP(E57,'Standard Rate Cards'!$BB$11:$BB$23,'Standard Rate Cards'!$BA$11:$BA$23),"")</f>
        <v/>
      </c>
      <c r="G57" s="346"/>
      <c r="H57" s="346" t="str">
        <f>IFERROR(_xlfn.XLOOKUP(G57,'Standard Rate Cards'!$AP$8:$AP$142,'Standard Rate Cards'!$AQ$8:$AQ$142),"")</f>
        <v/>
      </c>
      <c r="I57" s="346"/>
      <c r="J57" s="346"/>
      <c r="K57" s="496"/>
      <c r="L57" s="496" t="str">
        <f t="shared" si="13"/>
        <v xml:space="preserve"> </v>
      </c>
      <c r="M57" s="496" t="e" cm="1">
        <f t="array" ref="M57">IF(ISBLANK(D57),"",IF(D57&lt;&gt;"CrederaUS",INDEX('Standard Rate Cards'!$D$9:$D$433,MATCH(1,('Standard Rate Cards'!$B$9:$B$433='2. Pricing &amp; Import'!D57)*('Standard Rate Cards'!$C$9:$C$433='2. Pricing &amp; Import'!K57),0)),INDEX('Standard Rate Cards'!$D$9:$D$433,MATCH(1,('Standard Rate Cards'!$B$9:$B$433='2. Pricing &amp; Import'!D57)*('Standard Rate Cards'!$C$9:$C$433='2. Pricing &amp; Import'!K57)*('Standard Rate Cards'!$H$9:$H$433=L57),0))))</f>
        <v>#N/A</v>
      </c>
      <c r="N57" s="347"/>
      <c r="O57" s="110" t="str">
        <f>IF(ISBLANK(K57)," ",_xlfn.XLOOKUP(K57,'Standard Rate Cards'!C:C,'Standard Rate Cards'!H:H))</f>
        <v xml:space="preserve"> </v>
      </c>
      <c r="P57" s="246" t="str">
        <f>IF(ISBLANK($K57)," ",_xlfn.XLOOKUP($K57,'Standard Rate Cards'!C:C,'Standard Rate Cards'!F:F))</f>
        <v xml:space="preserve"> </v>
      </c>
      <c r="Q57" s="348"/>
      <c r="R57" s="250"/>
      <c r="S57" s="680"/>
      <c r="T57" s="681"/>
      <c r="U57" s="1637"/>
      <c r="V57" s="1638"/>
      <c r="W57" s="681"/>
      <c r="X57" s="681" t="str">
        <f t="shared" si="14"/>
        <v/>
      </c>
      <c r="Y57" s="682" t="str">
        <f t="shared" si="15"/>
        <v/>
      </c>
      <c r="Z57" s="1630" t="s">
        <v>309</v>
      </c>
      <c r="AA57" s="1631"/>
      <c r="AG57" s="497" t="str">
        <f>IF($X$49="WEEKS","",IF($Z57="Manual Entry hrs/wk","",IF($X$49&gt;'FORMULA REFS'!A$1,$Z57,"")))</f>
        <v/>
      </c>
      <c r="AH57" s="497" t="str">
        <f>IF($X$49="WEEKS","",IF($Z57="Manual Entry hrs/wk","",IF($X$49&gt;'FORMULA REFS'!B$1,$Z57,"")))</f>
        <v/>
      </c>
      <c r="AI57" s="497" t="str">
        <f>IF($X$49="WEEKS","",IF($Z57="Manual Entry hrs/wk","",IF($X$49&gt;'FORMULA REFS'!C$1,$Z57,"")))</f>
        <v/>
      </c>
      <c r="AJ57" s="497" t="str">
        <f>IF($X$49="WEEKS","",IF($Z57="Manual Entry hrs/wk","",IF($X$49&gt;'FORMULA REFS'!D$1,$Z57,"")))</f>
        <v/>
      </c>
      <c r="AK57" s="497" t="str">
        <f>IF($X$49="WEEKS","",IF($Z57="Manual Entry hrs/wk","",IF($X$49&gt;'FORMULA REFS'!E$1,$Z57,"")))</f>
        <v/>
      </c>
      <c r="AL57" s="497" t="str">
        <f>IF($X$49="WEEKS","",IF($Z57="Manual Entry hrs/wk","",IF($X$49&gt;'FORMULA REFS'!F$1,$Z57,"")))</f>
        <v/>
      </c>
      <c r="AM57" s="497" t="str">
        <f>IF($X$49="WEEKS","",IF($Z57="Manual Entry hrs/wk","",IF($X$49&gt;'FORMULA REFS'!G$1,$Z57,"")))</f>
        <v/>
      </c>
      <c r="AN57" s="497" t="str">
        <f>IF($X$49="WEEKS","",IF($Z57="Manual Entry hrs/wk","",IF($X$49&gt;'FORMULA REFS'!H$1,$Z57,"")))</f>
        <v/>
      </c>
      <c r="AO57" s="497" t="str">
        <f>IF($X$49="WEEKS","",IF($Z57="Manual Entry hrs/wk","",IF($X$49&gt;'FORMULA REFS'!I$1,$Z57,"")))</f>
        <v/>
      </c>
      <c r="AP57" s="497" t="str">
        <f>IF($X$49="WEEKS","",IF($Z57="Manual Entry hrs/wk","",IF($X$49&gt;'FORMULA REFS'!J$1,$Z57,"")))</f>
        <v/>
      </c>
      <c r="AQ57" s="497" t="str">
        <f>IF($X$49="WEEKS","",IF($Z57="Manual Entry hrs/wk","",IF($X$49&gt;'FORMULA REFS'!K$1,$Z57,"")))</f>
        <v/>
      </c>
      <c r="AR57" s="497" t="str">
        <f>IF($X$49="WEEKS","",IF($Z57="Manual Entry hrs/wk","",IF($X$49&gt;'FORMULA REFS'!L$1,$Z57,"")))</f>
        <v/>
      </c>
      <c r="AS57" s="497" t="str">
        <f>IF($X$49="WEEKS","",IF($Z57="Manual Entry hrs/wk","",IF($X$49&gt;'FORMULA REFS'!M$1,$Z57,"")))</f>
        <v/>
      </c>
      <c r="AT57" s="497" t="str">
        <f>IF($X$49="WEEKS","",IF($Z57="Manual Entry hrs/wk","",IF($X$49&gt;'FORMULA REFS'!N$1,$Z57,"")))</f>
        <v/>
      </c>
      <c r="AU57" s="497" t="str">
        <f>IF($X$49="WEEKS","",IF($Z57="Manual Entry hrs/wk","",IF($X$49&gt;'FORMULA REFS'!O$1,$Z57,"")))</f>
        <v/>
      </c>
      <c r="AV57" s="497" t="str">
        <f>IF($X$49="WEEKS","",IF($Z57="Manual Entry hrs/wk","",IF($X$49&gt;'FORMULA REFS'!P$1,$Z57,"")))</f>
        <v/>
      </c>
      <c r="AW57" s="497" t="str">
        <f>IF($X$49="WEEKS","",IF($Z57="Manual Entry hrs/wk","",IF($X$49&gt;'FORMULA REFS'!Q$1,$Z57,"")))</f>
        <v/>
      </c>
      <c r="AX57" s="497" t="str">
        <f>IF($X$49="WEEKS","",IF($Z57="Manual Entry hrs/wk","",IF($X$49&gt;'FORMULA REFS'!R$1,$Z57,"")))</f>
        <v/>
      </c>
      <c r="AY57" s="497" t="str">
        <f>IF($X$49="WEEKS","",IF($Z57="Manual Entry hrs/wk","",IF($X$49&gt;'FORMULA REFS'!S$1,$Z57,"")))</f>
        <v/>
      </c>
      <c r="AZ57" s="497" t="str">
        <f>IF($X$49="WEEKS","",IF($Z57="Manual Entry hrs/wk","",IF($X$49&gt;'FORMULA REFS'!T$1,$Z57,"")))</f>
        <v/>
      </c>
      <c r="BA57" s="497" t="str">
        <f>IF($X$49="WEEKS","",IF($Z57="Manual Entry hrs/wk","",IF($X$49&gt;'FORMULA REFS'!U$1,$Z57,"")))</f>
        <v/>
      </c>
      <c r="BB57" s="497" t="str">
        <f>IF($X$49="WEEKS","",IF($Z57="Manual Entry hrs/wk","",IF($X$49&gt;'FORMULA REFS'!V$1,$Z57,"")))</f>
        <v/>
      </c>
      <c r="BC57" s="497" t="str">
        <f>IF($X$49="WEEKS","",IF($Z57="Manual Entry hrs/wk","",IF($X$49&gt;'FORMULA REFS'!W$1,$Z57,"")))</f>
        <v/>
      </c>
      <c r="BD57" s="497" t="str">
        <f>IF($X$49="WEEKS","",IF($Z57="Manual Entry hrs/wk","",IF($X$49&gt;'FORMULA REFS'!X$1,$Z57,"")))</f>
        <v/>
      </c>
      <c r="BE57" s="497" t="str">
        <f>IF($X$49="WEEKS","",IF($Z57="Manual Entry hrs/wk","",IF($X$49&gt;'FORMULA REFS'!Y$1,$Z57,"")))</f>
        <v/>
      </c>
      <c r="BF57" s="497" t="str">
        <f>IF($X$49="WEEKS","",IF($Z57="Manual Entry hrs/wk","",IF($X$49&gt;'FORMULA REFS'!Z$1,$Z57,"")))</f>
        <v/>
      </c>
      <c r="BG57" s="497" t="str">
        <f>IF($X$49="WEEKS","",IF($Z57="Manual Entry hrs/wk","",IF($X$49&gt;'FORMULA REFS'!AA$1,$Z57,"")))</f>
        <v/>
      </c>
      <c r="BH57" s="497" t="str">
        <f>IF($X$49="WEEKS","",IF($Z57="Manual Entry hrs/wk","",IF($X$49&gt;'FORMULA REFS'!AB$1,$Z57,"")))</f>
        <v/>
      </c>
      <c r="BI57" s="497" t="str">
        <f>IF($X$49="WEEKS","",IF($Z57="Manual Entry hrs/wk","",IF($X$49&gt;'FORMULA REFS'!AC$1,$Z57,"")))</f>
        <v/>
      </c>
      <c r="BJ57" s="497" t="str">
        <f>IF($X$49="WEEKS","",IF($Z57="Manual Entry hrs/wk","",IF($X$49&gt;'FORMULA REFS'!AD$1,$Z57,"")))</f>
        <v/>
      </c>
      <c r="BK57" s="497" t="str">
        <f>IF($X$49="WEEKS","",IF($Z57="Manual Entry hrs/wk","",IF($X$49&gt;'FORMULA REFS'!AE$1,$Z57,"")))</f>
        <v/>
      </c>
      <c r="BL57" s="497" t="str">
        <f>IF($X$49="WEEKS","",IF($Z57="Manual Entry hrs/wk","",IF($X$49&gt;'FORMULA REFS'!AF$1,$Z57,"")))</f>
        <v/>
      </c>
      <c r="BM57" s="497" t="str">
        <f>IF($X$49="WEEKS","",IF($Z57="Manual Entry hrs/wk","",IF($X$49&gt;'FORMULA REFS'!AG$1,$Z57,"")))</f>
        <v/>
      </c>
      <c r="BN57" s="497" t="str">
        <f>IF($X$49="WEEKS","",IF($Z57="Manual Entry hrs/wk","",IF($X$49&gt;'FORMULA REFS'!AH$1,$Z57,"")))</f>
        <v/>
      </c>
      <c r="BO57" s="497" t="str">
        <f>IF($X$49="WEEKS","",IF($Z57="Manual Entry hrs/wk","",IF($X$49&gt;'FORMULA REFS'!AI$1,$Z57,"")))</f>
        <v/>
      </c>
      <c r="BP57" s="497" t="str">
        <f>IF($X$49="WEEKS","",IF($Z57="Manual Entry hrs/wk","",IF($X$49&gt;'FORMULA REFS'!AJ$1,$Z57,"")))</f>
        <v/>
      </c>
      <c r="BQ57" s="497" t="str">
        <f>IF($X$49="WEEKS","",IF($Z57="Manual Entry hrs/wk","",IF($X$49&gt;'FORMULA REFS'!AK$1,$Z57,"")))</f>
        <v/>
      </c>
      <c r="BR57" s="497" t="str">
        <f>IF($X$49="WEEKS","",IF($Z57="Manual Entry hrs/wk","",IF($X$49&gt;'FORMULA REFS'!AL$1,$Z57,"")))</f>
        <v/>
      </c>
      <c r="BS57" s="497" t="str">
        <f>IF($X$49="WEEKS","",IF($Z57="Manual Entry hrs/wk","",IF($X$49&gt;'FORMULA REFS'!AM$1,$Z57,"")))</f>
        <v/>
      </c>
      <c r="BT57" s="497" t="str">
        <f>IF($X$49="WEEKS","",IF($Z57="Manual Entry hrs/wk","",IF($X$49&gt;'FORMULA REFS'!AN$1,$Z57,"")))</f>
        <v/>
      </c>
      <c r="BU57" s="497" t="str">
        <f>IF($X$49="WEEKS","",IF($Z57="Manual Entry hrs/wk","",IF($X$49&gt;'FORMULA REFS'!AO$1,$Z57,"")))</f>
        <v/>
      </c>
      <c r="BV57" s="497" t="str">
        <f>IF($X$49="WEEKS","",IF($Z57="Manual Entry hrs/wk","",IF($X$49&gt;'FORMULA REFS'!AP$1,$Z57,"")))</f>
        <v/>
      </c>
      <c r="BW57" s="497" t="str">
        <f>IF($X$49="WEEKS","",IF($Z57="Manual Entry hrs/wk","",IF($X$49&gt;'FORMULA REFS'!AQ$1,$Z57,"")))</f>
        <v/>
      </c>
      <c r="BX57" s="497" t="str">
        <f>IF($X$49="WEEKS","",IF($Z57="Manual Entry hrs/wk","",IF($X$49&gt;'FORMULA REFS'!AR$1,$Z57,"")))</f>
        <v/>
      </c>
      <c r="BY57" s="497" t="str">
        <f>IF($X$49="WEEKS","",IF($Z57="Manual Entry hrs/wk","",IF($X$49&gt;'FORMULA REFS'!AS$1,$Z57,"")))</f>
        <v/>
      </c>
      <c r="BZ57" s="497" t="str">
        <f>IF($X$49="WEEKS","",IF($Z57="Manual Entry hrs/wk","",IF($X$49&gt;'FORMULA REFS'!AT$1,$Z57,"")))</f>
        <v/>
      </c>
      <c r="CA57" s="497" t="str">
        <f>IF($X$49="WEEKS","",IF($Z57="Manual Entry hrs/wk","",IF($X$49&gt;'FORMULA REFS'!AU$1,$Z57,"")))</f>
        <v/>
      </c>
      <c r="CB57" s="497" t="str">
        <f>IF($X$49="WEEKS","",IF($Z57="Manual Entry hrs/wk","",IF($X$49&gt;'FORMULA REFS'!AV$1,$Z57,"")))</f>
        <v/>
      </c>
      <c r="CC57" s="497" t="str">
        <f>IF($X$49="WEEKS","",IF($Z57="Manual Entry hrs/wk","",IF($X$49&gt;'FORMULA REFS'!AW$1,$Z57,"")))</f>
        <v/>
      </c>
      <c r="CD57" s="497" t="str">
        <f>IF($X$49="WEEKS","",IF($Z57="Manual Entry hrs/wk","",IF($X$49&gt;'FORMULA REFS'!AX$1,$Z57,"")))</f>
        <v/>
      </c>
      <c r="CE57" s="497" t="str">
        <f>IF($X$49="WEEKS","",IF($Z57="Manual Entry hrs/wk","",IF($X$49&gt;'FORMULA REFS'!AY$1,$Z57,"")))</f>
        <v/>
      </c>
      <c r="CF57" s="497" t="str">
        <f>IF($X$49="WEEKS","",IF($Z57="Manual Entry hrs/wk","",IF($X$49&gt;'FORMULA REFS'!AZ$1,$Z57,"")))</f>
        <v/>
      </c>
      <c r="CG57" s="113"/>
      <c r="CH57" s="349" t="str">
        <f t="shared" si="16"/>
        <v/>
      </c>
      <c r="CI57" s="349">
        <f>IFERROR((_xlfn.XLOOKUP($M57,'Standard Rate Cards'!D:D,'Standard Rate Cards'!E:E))*Y57,0)</f>
        <v>0</v>
      </c>
      <c r="CJ57" s="349">
        <f>IF(CL57&lt;&gt;"","",IF($D$16="Select Type","Select Margin Class",IFERROR(IF($M57="",0,IF($D$16="Client Custom Rates",0,IF($D$16="Standard Rates",_xlfn.XLOOKUP($M57,'Standard Rate Cards'!$D:$D,'Standard Rate Cards'!G:G)))),0)))</f>
        <v>0</v>
      </c>
      <c r="CK57" s="349" cm="1">
        <f t="array" ref="CK57">IF(CL57&lt;&gt;"","",IFERROR(IF($D$16&lt;&gt;"Client Custom Rates",0,INDEX('Client Rate Cards'!E:E,MATCH(1,('Client Rate Cards'!B:B='2. Pricing &amp; Import'!$D$17)*('Client Rate Cards'!D:D='2. Pricing &amp; Import'!N57),0))),0))</f>
        <v>0</v>
      </c>
      <c r="CL57" s="350"/>
    </row>
    <row r="58" spans="3:90" ht="16.05" customHeight="1" x14ac:dyDescent="0.3">
      <c r="C58" s="346"/>
      <c r="D58" s="495"/>
      <c r="E58" s="346"/>
      <c r="F58" s="346" t="str">
        <f>IFERROR(_xlfn.XLOOKUP(E58,'Standard Rate Cards'!$BB$11:$BB$23,'Standard Rate Cards'!$BA$11:$BA$23),"")</f>
        <v/>
      </c>
      <c r="G58" s="346"/>
      <c r="H58" s="346" t="str">
        <f>IFERROR(_xlfn.XLOOKUP(G58,'Standard Rate Cards'!$AP$8:$AP$142,'Standard Rate Cards'!$AQ$8:$AQ$142),"")</f>
        <v/>
      </c>
      <c r="I58" s="346"/>
      <c r="J58" s="346"/>
      <c r="K58" s="496"/>
      <c r="L58" s="496" t="str">
        <f t="shared" si="13"/>
        <v xml:space="preserve"> </v>
      </c>
      <c r="M58" s="496" t="str" cm="1">
        <f t="array" ref="M58">IF(ISBLANK(D58),"",IF(D58&lt;&gt;"CrederaUS",INDEX('Standard Rate Cards'!$D$9:$D$433,MATCH(1,('Standard Rate Cards'!$B$9:$B$433='2. Pricing &amp; Import'!D58)*('Standard Rate Cards'!$C$9:$C$433='2. Pricing &amp; Import'!K58),0)),INDEX('Standard Rate Cards'!$D$9:$D$433,MATCH(1,('Standard Rate Cards'!$B$9:$B$433='2. Pricing &amp; Import'!D58)*('Standard Rate Cards'!$C$9:$C$433='2. Pricing &amp; Import'!K58)*('Standard Rate Cards'!$H$9:$H$433=L58),0))))</f>
        <v/>
      </c>
      <c r="N58" s="347"/>
      <c r="O58" s="110" t="str">
        <f>IF(ISBLANK(K58)," ",_xlfn.XLOOKUP(K58,'Standard Rate Cards'!C:C,'Standard Rate Cards'!H:H))</f>
        <v xml:space="preserve"> </v>
      </c>
      <c r="P58" s="246" t="str">
        <f>IF(ISBLANK($K58)," ",_xlfn.XLOOKUP($K58,'Standard Rate Cards'!C:C,'Standard Rate Cards'!F:F))</f>
        <v xml:space="preserve"> </v>
      </c>
      <c r="Q58" s="348"/>
      <c r="R58" s="250"/>
      <c r="S58" s="680"/>
      <c r="T58" s="681"/>
      <c r="U58" s="1637"/>
      <c r="V58" s="1638"/>
      <c r="W58" s="681"/>
      <c r="X58" s="681" t="str">
        <f t="shared" si="14"/>
        <v/>
      </c>
      <c r="Y58" s="682" t="str">
        <f t="shared" si="15"/>
        <v/>
      </c>
      <c r="Z58" s="1630" t="s">
        <v>309</v>
      </c>
      <c r="AA58" s="1631"/>
      <c r="AG58" s="497" t="str">
        <f>IF($X$49="WEEKS","",IF($Z58="Manual Entry hrs/wk","",IF($X$49&gt;'FORMULA REFS'!A$1,$Z58,"")))</f>
        <v/>
      </c>
      <c r="AH58" s="497" t="str">
        <f>IF($X$49="WEEKS","",IF($Z58="Manual Entry hrs/wk","",IF($X$49&gt;'FORMULA REFS'!B$1,$Z58,"")))</f>
        <v/>
      </c>
      <c r="AI58" s="497" t="str">
        <f>IF($X$49="WEEKS","",IF($Z58="Manual Entry hrs/wk","",IF($X$49&gt;'FORMULA REFS'!C$1,$Z58,"")))</f>
        <v/>
      </c>
      <c r="AJ58" s="497" t="str">
        <f>IF($X$49="WEEKS","",IF($Z58="Manual Entry hrs/wk","",IF($X$49&gt;'FORMULA REFS'!D$1,$Z58,"")))</f>
        <v/>
      </c>
      <c r="AK58" s="497" t="str">
        <f>IF($X$49="WEEKS","",IF($Z58="Manual Entry hrs/wk","",IF($X$49&gt;'FORMULA REFS'!E$1,$Z58,"")))</f>
        <v/>
      </c>
      <c r="AL58" s="497" t="str">
        <f>IF($X$49="WEEKS","",IF($Z58="Manual Entry hrs/wk","",IF($X$49&gt;'FORMULA REFS'!F$1,$Z58,"")))</f>
        <v/>
      </c>
      <c r="AM58" s="497" t="str">
        <f>IF($X$49="WEEKS","",IF($Z58="Manual Entry hrs/wk","",IF($X$49&gt;'FORMULA REFS'!G$1,$Z58,"")))</f>
        <v/>
      </c>
      <c r="AN58" s="497" t="str">
        <f>IF($X$49="WEEKS","",IF($Z58="Manual Entry hrs/wk","",IF($X$49&gt;'FORMULA REFS'!H$1,$Z58,"")))</f>
        <v/>
      </c>
      <c r="AO58" s="497" t="str">
        <f>IF($X$49="WEEKS","",IF($Z58="Manual Entry hrs/wk","",IF($X$49&gt;'FORMULA REFS'!I$1,$Z58,"")))</f>
        <v/>
      </c>
      <c r="AP58" s="497" t="str">
        <f>IF($X$49="WEEKS","",IF($Z58="Manual Entry hrs/wk","",IF($X$49&gt;'FORMULA REFS'!J$1,$Z58,"")))</f>
        <v/>
      </c>
      <c r="AQ58" s="497" t="str">
        <f>IF($X$49="WEEKS","",IF($Z58="Manual Entry hrs/wk","",IF($X$49&gt;'FORMULA REFS'!K$1,$Z58,"")))</f>
        <v/>
      </c>
      <c r="AR58" s="497" t="str">
        <f>IF($X$49="WEEKS","",IF($Z58="Manual Entry hrs/wk","",IF($X$49&gt;'FORMULA REFS'!L$1,$Z58,"")))</f>
        <v/>
      </c>
      <c r="AS58" s="497" t="str">
        <f>IF($X$49="WEEKS","",IF($Z58="Manual Entry hrs/wk","",IF($X$49&gt;'FORMULA REFS'!M$1,$Z58,"")))</f>
        <v/>
      </c>
      <c r="AT58" s="497" t="str">
        <f>IF($X$49="WEEKS","",IF($Z58="Manual Entry hrs/wk","",IF($X$49&gt;'FORMULA REFS'!N$1,$Z58,"")))</f>
        <v/>
      </c>
      <c r="AU58" s="497" t="str">
        <f>IF($X$49="WEEKS","",IF($Z58="Manual Entry hrs/wk","",IF($X$49&gt;'FORMULA REFS'!O$1,$Z58,"")))</f>
        <v/>
      </c>
      <c r="AV58" s="497" t="str">
        <f>IF($X$49="WEEKS","",IF($Z58="Manual Entry hrs/wk","",IF($X$49&gt;'FORMULA REFS'!P$1,$Z58,"")))</f>
        <v/>
      </c>
      <c r="AW58" s="497" t="str">
        <f>IF($X$49="WEEKS","",IF($Z58="Manual Entry hrs/wk","",IF($X$49&gt;'FORMULA REFS'!Q$1,$Z58,"")))</f>
        <v/>
      </c>
      <c r="AX58" s="497" t="str">
        <f>IF($X$49="WEEKS","",IF($Z58="Manual Entry hrs/wk","",IF($X$49&gt;'FORMULA REFS'!R$1,$Z58,"")))</f>
        <v/>
      </c>
      <c r="AY58" s="497" t="str">
        <f>IF($X$49="WEEKS","",IF($Z58="Manual Entry hrs/wk","",IF($X$49&gt;'FORMULA REFS'!S$1,$Z58,"")))</f>
        <v/>
      </c>
      <c r="AZ58" s="497" t="str">
        <f>IF($X$49="WEEKS","",IF($Z58="Manual Entry hrs/wk","",IF($X$49&gt;'FORMULA REFS'!T$1,$Z58,"")))</f>
        <v/>
      </c>
      <c r="BA58" s="497" t="str">
        <f>IF($X$49="WEEKS","",IF($Z58="Manual Entry hrs/wk","",IF($X$49&gt;'FORMULA REFS'!U$1,$Z58,"")))</f>
        <v/>
      </c>
      <c r="BB58" s="497" t="str">
        <f>IF($X$49="WEEKS","",IF($Z58="Manual Entry hrs/wk","",IF($X$49&gt;'FORMULA REFS'!V$1,$Z58,"")))</f>
        <v/>
      </c>
      <c r="BC58" s="497" t="str">
        <f>IF($X$49="WEEKS","",IF($Z58="Manual Entry hrs/wk","",IF($X$49&gt;'FORMULA REFS'!W$1,$Z58,"")))</f>
        <v/>
      </c>
      <c r="BD58" s="497" t="str">
        <f>IF($X$49="WEEKS","",IF($Z58="Manual Entry hrs/wk","",IF($X$49&gt;'FORMULA REFS'!X$1,$Z58,"")))</f>
        <v/>
      </c>
      <c r="BE58" s="497" t="str">
        <f>IF($X$49="WEEKS","",IF($Z58="Manual Entry hrs/wk","",IF($X$49&gt;'FORMULA REFS'!Y$1,$Z58,"")))</f>
        <v/>
      </c>
      <c r="BF58" s="497" t="str">
        <f>IF($X$49="WEEKS","",IF($Z58="Manual Entry hrs/wk","",IF($X$49&gt;'FORMULA REFS'!Z$1,$Z58,"")))</f>
        <v/>
      </c>
      <c r="BG58" s="497" t="str">
        <f>IF($X$49="WEEKS","",IF($Z58="Manual Entry hrs/wk","",IF($X$49&gt;'FORMULA REFS'!AA$1,$Z58,"")))</f>
        <v/>
      </c>
      <c r="BH58" s="497" t="str">
        <f>IF($X$49="WEEKS","",IF($Z58="Manual Entry hrs/wk","",IF($X$49&gt;'FORMULA REFS'!AB$1,$Z58,"")))</f>
        <v/>
      </c>
      <c r="BI58" s="497" t="str">
        <f>IF($X$49="WEEKS","",IF($Z58="Manual Entry hrs/wk","",IF($X$49&gt;'FORMULA REFS'!AC$1,$Z58,"")))</f>
        <v/>
      </c>
      <c r="BJ58" s="497" t="str">
        <f>IF($X$49="WEEKS","",IF($Z58="Manual Entry hrs/wk","",IF($X$49&gt;'FORMULA REFS'!AD$1,$Z58,"")))</f>
        <v/>
      </c>
      <c r="BK58" s="497" t="str">
        <f>IF($X$49="WEEKS","",IF($Z58="Manual Entry hrs/wk","",IF($X$49&gt;'FORMULA REFS'!AE$1,$Z58,"")))</f>
        <v/>
      </c>
      <c r="BL58" s="497" t="str">
        <f>IF($X$49="WEEKS","",IF($Z58="Manual Entry hrs/wk","",IF($X$49&gt;'FORMULA REFS'!AF$1,$Z58,"")))</f>
        <v/>
      </c>
      <c r="BM58" s="497" t="str">
        <f>IF($X$49="WEEKS","",IF($Z58="Manual Entry hrs/wk","",IF($X$49&gt;'FORMULA REFS'!AG$1,$Z58,"")))</f>
        <v/>
      </c>
      <c r="BN58" s="497" t="str">
        <f>IF($X$49="WEEKS","",IF($Z58="Manual Entry hrs/wk","",IF($X$49&gt;'FORMULA REFS'!AH$1,$Z58,"")))</f>
        <v/>
      </c>
      <c r="BO58" s="497" t="str">
        <f>IF($X$49="WEEKS","",IF($Z58="Manual Entry hrs/wk","",IF($X$49&gt;'FORMULA REFS'!AI$1,$Z58,"")))</f>
        <v/>
      </c>
      <c r="BP58" s="497" t="str">
        <f>IF($X$49="WEEKS","",IF($Z58="Manual Entry hrs/wk","",IF($X$49&gt;'FORMULA REFS'!AJ$1,$Z58,"")))</f>
        <v/>
      </c>
      <c r="BQ58" s="497" t="str">
        <f>IF($X$49="WEEKS","",IF($Z58="Manual Entry hrs/wk","",IF($X$49&gt;'FORMULA REFS'!AK$1,$Z58,"")))</f>
        <v/>
      </c>
      <c r="BR58" s="497" t="str">
        <f>IF($X$49="WEEKS","",IF($Z58="Manual Entry hrs/wk","",IF($X$49&gt;'FORMULA REFS'!AL$1,$Z58,"")))</f>
        <v/>
      </c>
      <c r="BS58" s="497" t="str">
        <f>IF($X$49="WEEKS","",IF($Z58="Manual Entry hrs/wk","",IF($X$49&gt;'FORMULA REFS'!AM$1,$Z58,"")))</f>
        <v/>
      </c>
      <c r="BT58" s="497" t="str">
        <f>IF($X$49="WEEKS","",IF($Z58="Manual Entry hrs/wk","",IF($X$49&gt;'FORMULA REFS'!AN$1,$Z58,"")))</f>
        <v/>
      </c>
      <c r="BU58" s="497" t="str">
        <f>IF($X$49="WEEKS","",IF($Z58="Manual Entry hrs/wk","",IF($X$49&gt;'FORMULA REFS'!AO$1,$Z58,"")))</f>
        <v/>
      </c>
      <c r="BV58" s="497" t="str">
        <f>IF($X$49="WEEKS","",IF($Z58="Manual Entry hrs/wk","",IF($X$49&gt;'FORMULA REFS'!AP$1,$Z58,"")))</f>
        <v/>
      </c>
      <c r="BW58" s="497" t="str">
        <f>IF($X$49="WEEKS","",IF($Z58="Manual Entry hrs/wk","",IF($X$49&gt;'FORMULA REFS'!AQ$1,$Z58,"")))</f>
        <v/>
      </c>
      <c r="BX58" s="497" t="str">
        <f>IF($X$49="WEEKS","",IF($Z58="Manual Entry hrs/wk","",IF($X$49&gt;'FORMULA REFS'!AR$1,$Z58,"")))</f>
        <v/>
      </c>
      <c r="BY58" s="497" t="str">
        <f>IF($X$49="WEEKS","",IF($Z58="Manual Entry hrs/wk","",IF($X$49&gt;'FORMULA REFS'!AS$1,$Z58,"")))</f>
        <v/>
      </c>
      <c r="BZ58" s="497" t="str">
        <f>IF($X$49="WEEKS","",IF($Z58="Manual Entry hrs/wk","",IF($X$49&gt;'FORMULA REFS'!AT$1,$Z58,"")))</f>
        <v/>
      </c>
      <c r="CA58" s="497" t="str">
        <f>IF($X$49="WEEKS","",IF($Z58="Manual Entry hrs/wk","",IF($X$49&gt;'FORMULA REFS'!AU$1,$Z58,"")))</f>
        <v/>
      </c>
      <c r="CB58" s="497" t="str">
        <f>IF($X$49="WEEKS","",IF($Z58="Manual Entry hrs/wk","",IF($X$49&gt;'FORMULA REFS'!AV$1,$Z58,"")))</f>
        <v/>
      </c>
      <c r="CC58" s="497" t="str">
        <f>IF($X$49="WEEKS","",IF($Z58="Manual Entry hrs/wk","",IF($X$49&gt;'FORMULA REFS'!AW$1,$Z58,"")))</f>
        <v/>
      </c>
      <c r="CD58" s="497" t="str">
        <f>IF($X$49="WEEKS","",IF($Z58="Manual Entry hrs/wk","",IF($X$49&gt;'FORMULA REFS'!AX$1,$Z58,"")))</f>
        <v/>
      </c>
      <c r="CE58" s="497" t="str">
        <f>IF($X$49="WEEKS","",IF($Z58="Manual Entry hrs/wk","",IF($X$49&gt;'FORMULA REFS'!AY$1,$Z58,"")))</f>
        <v/>
      </c>
      <c r="CF58" s="497" t="str">
        <f>IF($X$49="WEEKS","",IF($Z58="Manual Entry hrs/wk","",IF($X$49&gt;'FORMULA REFS'!AZ$1,$Z58,"")))</f>
        <v/>
      </c>
      <c r="CG58" s="113"/>
      <c r="CH58" s="349" t="str">
        <f t="shared" si="16"/>
        <v/>
      </c>
      <c r="CI58" s="349">
        <f>IFERROR((_xlfn.XLOOKUP($M58,'Standard Rate Cards'!D:D,'Standard Rate Cards'!E:E))*Y58,0)</f>
        <v>0</v>
      </c>
      <c r="CJ58" s="349">
        <f>IF(CL58&lt;&gt;"","",IF($D$16="Select Type","Select Margin Class",IFERROR(IF($M58="",0,IF($D$16="Client Custom Rates",0,IF($D$16="Standard Rates",_xlfn.XLOOKUP($M58,'Standard Rate Cards'!$D:$D,'Standard Rate Cards'!G:G)))),0)))</f>
        <v>0</v>
      </c>
      <c r="CK58" s="349" cm="1">
        <f t="array" ref="CK58">IF(CL58&lt;&gt;"","",IFERROR(IF($D$16&lt;&gt;"Client Custom Rates",0,INDEX('Client Rate Cards'!E:E,MATCH(1,('Client Rate Cards'!B:B='2. Pricing &amp; Import'!$D$17)*('Client Rate Cards'!D:D='2. Pricing &amp; Import'!N58),0))),0))</f>
        <v>0</v>
      </c>
      <c r="CL58" s="350"/>
    </row>
    <row r="59" spans="3:90" ht="16.05" customHeight="1" x14ac:dyDescent="0.3">
      <c r="C59" s="346"/>
      <c r="D59" s="495"/>
      <c r="E59" s="346"/>
      <c r="F59" s="346" t="str">
        <f>IFERROR(_xlfn.XLOOKUP(E59,'Standard Rate Cards'!$BB$11:$BB$23,'Standard Rate Cards'!$BA$11:$BA$23),"")</f>
        <v/>
      </c>
      <c r="G59" s="346"/>
      <c r="H59" s="346" t="str">
        <f>IFERROR(_xlfn.XLOOKUP(G59,'Standard Rate Cards'!$AP$8:$AP$142,'Standard Rate Cards'!$AQ$8:$AQ$142),"")</f>
        <v/>
      </c>
      <c r="I59" s="346"/>
      <c r="J59" s="346"/>
      <c r="K59" s="496"/>
      <c r="L59" s="496" t="str">
        <f t="shared" si="13"/>
        <v xml:space="preserve"> </v>
      </c>
      <c r="M59" s="496" t="str" cm="1">
        <f t="array" ref="M59">IF(ISBLANK(D59),"",IF(D59&lt;&gt;"CrederaUS",INDEX('Standard Rate Cards'!$D$9:$D$433,MATCH(1,('Standard Rate Cards'!$B$9:$B$433='2. Pricing &amp; Import'!D59)*('Standard Rate Cards'!$C$9:$C$433='2. Pricing &amp; Import'!K59),0)),INDEX('Standard Rate Cards'!$D$9:$D$433,MATCH(1,('Standard Rate Cards'!$B$9:$B$433='2. Pricing &amp; Import'!D59)*('Standard Rate Cards'!$C$9:$C$433='2. Pricing &amp; Import'!K59)*('Standard Rate Cards'!$H$9:$H$433=L59),0))))</f>
        <v/>
      </c>
      <c r="N59" s="347"/>
      <c r="O59" s="110" t="str">
        <f>IF(ISBLANK(K59)," ",_xlfn.XLOOKUP(K59,'Standard Rate Cards'!C:C,'Standard Rate Cards'!H:H))</f>
        <v xml:space="preserve"> </v>
      </c>
      <c r="P59" s="246" t="str">
        <f>IF(ISBLANK($K59)," ",_xlfn.XLOOKUP($K59,'Standard Rate Cards'!C:C,'Standard Rate Cards'!F:F))</f>
        <v xml:space="preserve"> </v>
      </c>
      <c r="Q59" s="348"/>
      <c r="R59" s="250"/>
      <c r="S59" s="680"/>
      <c r="T59" s="681"/>
      <c r="U59" s="1637"/>
      <c r="V59" s="1638"/>
      <c r="W59" s="681"/>
      <c r="X59" s="681" t="str">
        <f t="shared" si="14"/>
        <v/>
      </c>
      <c r="Y59" s="682" t="str">
        <f t="shared" si="15"/>
        <v/>
      </c>
      <c r="Z59" s="1630" t="s">
        <v>309</v>
      </c>
      <c r="AA59" s="1631"/>
      <c r="AG59" s="497" t="str">
        <f>IF($X$49="WEEKS","",IF($Z59="Manual Entry hrs/wk","",IF($X$49&gt;'FORMULA REFS'!A$1,$Z59,"")))</f>
        <v/>
      </c>
      <c r="AH59" s="497" t="str">
        <f>IF($X$49="WEEKS","",IF($Z59="Manual Entry hrs/wk","",IF($X$49&gt;'FORMULA REFS'!B$1,$Z59,"")))</f>
        <v/>
      </c>
      <c r="AI59" s="497" t="str">
        <f>IF($X$49="WEEKS","",IF($Z59="Manual Entry hrs/wk","",IF($X$49&gt;'FORMULA REFS'!C$1,$Z59,"")))</f>
        <v/>
      </c>
      <c r="AJ59" s="497" t="str">
        <f>IF($X$49="WEEKS","",IF($Z59="Manual Entry hrs/wk","",IF($X$49&gt;'FORMULA REFS'!D$1,$Z59,"")))</f>
        <v/>
      </c>
      <c r="AK59" s="497" t="str">
        <f>IF($X$49="WEEKS","",IF($Z59="Manual Entry hrs/wk","",IF($X$49&gt;'FORMULA REFS'!E$1,$Z59,"")))</f>
        <v/>
      </c>
      <c r="AL59" s="497" t="str">
        <f>IF($X$49="WEEKS","",IF($Z59="Manual Entry hrs/wk","",IF($X$49&gt;'FORMULA REFS'!F$1,$Z59,"")))</f>
        <v/>
      </c>
      <c r="AM59" s="497" t="str">
        <f>IF($X$49="WEEKS","",IF($Z59="Manual Entry hrs/wk","",IF($X$49&gt;'FORMULA REFS'!G$1,$Z59,"")))</f>
        <v/>
      </c>
      <c r="AN59" s="497" t="str">
        <f>IF($X$49="WEEKS","",IF($Z59="Manual Entry hrs/wk","",IF($X$49&gt;'FORMULA REFS'!H$1,$Z59,"")))</f>
        <v/>
      </c>
      <c r="AO59" s="497" t="str">
        <f>IF($X$49="WEEKS","",IF($Z59="Manual Entry hrs/wk","",IF($X$49&gt;'FORMULA REFS'!I$1,$Z59,"")))</f>
        <v/>
      </c>
      <c r="AP59" s="497" t="str">
        <f>IF($X$49="WEEKS","",IF($Z59="Manual Entry hrs/wk","",IF($X$49&gt;'FORMULA REFS'!J$1,$Z59,"")))</f>
        <v/>
      </c>
      <c r="AQ59" s="497" t="str">
        <f>IF($X$49="WEEKS","",IF($Z59="Manual Entry hrs/wk","",IF($X$49&gt;'FORMULA REFS'!K$1,$Z59,"")))</f>
        <v/>
      </c>
      <c r="AR59" s="497" t="str">
        <f>IF($X$49="WEEKS","",IF($Z59="Manual Entry hrs/wk","",IF($X$49&gt;'FORMULA REFS'!L$1,$Z59,"")))</f>
        <v/>
      </c>
      <c r="AS59" s="497" t="str">
        <f>IF($X$49="WEEKS","",IF($Z59="Manual Entry hrs/wk","",IF($X$49&gt;'FORMULA REFS'!M$1,$Z59,"")))</f>
        <v/>
      </c>
      <c r="AT59" s="497" t="str">
        <f>IF($X$49="WEEKS","",IF($Z59="Manual Entry hrs/wk","",IF($X$49&gt;'FORMULA REFS'!N$1,$Z59,"")))</f>
        <v/>
      </c>
      <c r="AU59" s="497" t="str">
        <f>IF($X$49="WEEKS","",IF($Z59="Manual Entry hrs/wk","",IF($X$49&gt;'FORMULA REFS'!O$1,$Z59,"")))</f>
        <v/>
      </c>
      <c r="AV59" s="497" t="str">
        <f>IF($X$49="WEEKS","",IF($Z59="Manual Entry hrs/wk","",IF($X$49&gt;'FORMULA REFS'!P$1,$Z59,"")))</f>
        <v/>
      </c>
      <c r="AW59" s="497" t="str">
        <f>IF($X$49="WEEKS","",IF($Z59="Manual Entry hrs/wk","",IF($X$49&gt;'FORMULA REFS'!Q$1,$Z59,"")))</f>
        <v/>
      </c>
      <c r="AX59" s="497" t="str">
        <f>IF($X$49="WEEKS","",IF($Z59="Manual Entry hrs/wk","",IF($X$49&gt;'FORMULA REFS'!R$1,$Z59,"")))</f>
        <v/>
      </c>
      <c r="AY59" s="497" t="str">
        <f>IF($X$49="WEEKS","",IF($Z59="Manual Entry hrs/wk","",IF($X$49&gt;'FORMULA REFS'!S$1,$Z59,"")))</f>
        <v/>
      </c>
      <c r="AZ59" s="497" t="str">
        <f>IF($X$49="WEEKS","",IF($Z59="Manual Entry hrs/wk","",IF($X$49&gt;'FORMULA REFS'!T$1,$Z59,"")))</f>
        <v/>
      </c>
      <c r="BA59" s="497" t="str">
        <f>IF($X$49="WEEKS","",IF($Z59="Manual Entry hrs/wk","",IF($X$49&gt;'FORMULA REFS'!U$1,$Z59,"")))</f>
        <v/>
      </c>
      <c r="BB59" s="497" t="str">
        <f>IF($X$49="WEEKS","",IF($Z59="Manual Entry hrs/wk","",IF($X$49&gt;'FORMULA REFS'!V$1,$Z59,"")))</f>
        <v/>
      </c>
      <c r="BC59" s="497" t="str">
        <f>IF($X$49="WEEKS","",IF($Z59="Manual Entry hrs/wk","",IF($X$49&gt;'FORMULA REFS'!W$1,$Z59,"")))</f>
        <v/>
      </c>
      <c r="BD59" s="497" t="str">
        <f>IF($X$49="WEEKS","",IF($Z59="Manual Entry hrs/wk","",IF($X$49&gt;'FORMULA REFS'!X$1,$Z59,"")))</f>
        <v/>
      </c>
      <c r="BE59" s="497" t="str">
        <f>IF($X$49="WEEKS","",IF($Z59="Manual Entry hrs/wk","",IF($X$49&gt;'FORMULA REFS'!Y$1,$Z59,"")))</f>
        <v/>
      </c>
      <c r="BF59" s="497" t="str">
        <f>IF($X$49="WEEKS","",IF($Z59="Manual Entry hrs/wk","",IF($X$49&gt;'FORMULA REFS'!Z$1,$Z59,"")))</f>
        <v/>
      </c>
      <c r="BG59" s="497" t="str">
        <f>IF($X$49="WEEKS","",IF($Z59="Manual Entry hrs/wk","",IF($X$49&gt;'FORMULA REFS'!AA$1,$Z59,"")))</f>
        <v/>
      </c>
      <c r="BH59" s="497" t="str">
        <f>IF($X$49="WEEKS","",IF($Z59="Manual Entry hrs/wk","",IF($X$49&gt;'FORMULA REFS'!AB$1,$Z59,"")))</f>
        <v/>
      </c>
      <c r="BI59" s="497" t="str">
        <f>IF($X$49="WEEKS","",IF($Z59="Manual Entry hrs/wk","",IF($X$49&gt;'FORMULA REFS'!AC$1,$Z59,"")))</f>
        <v/>
      </c>
      <c r="BJ59" s="497" t="str">
        <f>IF($X$49="WEEKS","",IF($Z59="Manual Entry hrs/wk","",IF($X$49&gt;'FORMULA REFS'!AD$1,$Z59,"")))</f>
        <v/>
      </c>
      <c r="BK59" s="497" t="str">
        <f>IF($X$49="WEEKS","",IF($Z59="Manual Entry hrs/wk","",IF($X$49&gt;'FORMULA REFS'!AE$1,$Z59,"")))</f>
        <v/>
      </c>
      <c r="BL59" s="497" t="str">
        <f>IF($X$49="WEEKS","",IF($Z59="Manual Entry hrs/wk","",IF($X$49&gt;'FORMULA REFS'!AF$1,$Z59,"")))</f>
        <v/>
      </c>
      <c r="BM59" s="497" t="str">
        <f>IF($X$49="WEEKS","",IF($Z59="Manual Entry hrs/wk","",IF($X$49&gt;'FORMULA REFS'!AG$1,$Z59,"")))</f>
        <v/>
      </c>
      <c r="BN59" s="497" t="str">
        <f>IF($X$49="WEEKS","",IF($Z59="Manual Entry hrs/wk","",IF($X$49&gt;'FORMULA REFS'!AH$1,$Z59,"")))</f>
        <v/>
      </c>
      <c r="BO59" s="497" t="str">
        <f>IF($X$49="WEEKS","",IF($Z59="Manual Entry hrs/wk","",IF($X$49&gt;'FORMULA REFS'!AI$1,$Z59,"")))</f>
        <v/>
      </c>
      <c r="BP59" s="497" t="str">
        <f>IF($X$49="WEEKS","",IF($Z59="Manual Entry hrs/wk","",IF($X$49&gt;'FORMULA REFS'!AJ$1,$Z59,"")))</f>
        <v/>
      </c>
      <c r="BQ59" s="497" t="str">
        <f>IF($X$49="WEEKS","",IF($Z59="Manual Entry hrs/wk","",IF($X$49&gt;'FORMULA REFS'!AK$1,$Z59,"")))</f>
        <v/>
      </c>
      <c r="BR59" s="497" t="str">
        <f>IF($X$49="WEEKS","",IF($Z59="Manual Entry hrs/wk","",IF($X$49&gt;'FORMULA REFS'!AL$1,$Z59,"")))</f>
        <v/>
      </c>
      <c r="BS59" s="497" t="str">
        <f>IF($X$49="WEEKS","",IF($Z59="Manual Entry hrs/wk","",IF($X$49&gt;'FORMULA REFS'!AM$1,$Z59,"")))</f>
        <v/>
      </c>
      <c r="BT59" s="497" t="str">
        <f>IF($X$49="WEEKS","",IF($Z59="Manual Entry hrs/wk","",IF($X$49&gt;'FORMULA REFS'!AN$1,$Z59,"")))</f>
        <v/>
      </c>
      <c r="BU59" s="497" t="str">
        <f>IF($X$49="WEEKS","",IF($Z59="Manual Entry hrs/wk","",IF($X$49&gt;'FORMULA REFS'!AO$1,$Z59,"")))</f>
        <v/>
      </c>
      <c r="BV59" s="497" t="str">
        <f>IF($X$49="WEEKS","",IF($Z59="Manual Entry hrs/wk","",IF($X$49&gt;'FORMULA REFS'!AP$1,$Z59,"")))</f>
        <v/>
      </c>
      <c r="BW59" s="497" t="str">
        <f>IF($X$49="WEEKS","",IF($Z59="Manual Entry hrs/wk","",IF($X$49&gt;'FORMULA REFS'!AQ$1,$Z59,"")))</f>
        <v/>
      </c>
      <c r="BX59" s="497" t="str">
        <f>IF($X$49="WEEKS","",IF($Z59="Manual Entry hrs/wk","",IF($X$49&gt;'FORMULA REFS'!AR$1,$Z59,"")))</f>
        <v/>
      </c>
      <c r="BY59" s="497" t="str">
        <f>IF($X$49="WEEKS","",IF($Z59="Manual Entry hrs/wk","",IF($X$49&gt;'FORMULA REFS'!AS$1,$Z59,"")))</f>
        <v/>
      </c>
      <c r="BZ59" s="497" t="str">
        <f>IF($X$49="WEEKS","",IF($Z59="Manual Entry hrs/wk","",IF($X$49&gt;'FORMULA REFS'!AT$1,$Z59,"")))</f>
        <v/>
      </c>
      <c r="CA59" s="497" t="str">
        <f>IF($X$49="WEEKS","",IF($Z59="Manual Entry hrs/wk","",IF($X$49&gt;'FORMULA REFS'!AU$1,$Z59,"")))</f>
        <v/>
      </c>
      <c r="CB59" s="497" t="str">
        <f>IF($X$49="WEEKS","",IF($Z59="Manual Entry hrs/wk","",IF($X$49&gt;'FORMULA REFS'!AV$1,$Z59,"")))</f>
        <v/>
      </c>
      <c r="CC59" s="497" t="str">
        <f>IF($X$49="WEEKS","",IF($Z59="Manual Entry hrs/wk","",IF($X$49&gt;'FORMULA REFS'!AW$1,$Z59,"")))</f>
        <v/>
      </c>
      <c r="CD59" s="497" t="str">
        <f>IF($X$49="WEEKS","",IF($Z59="Manual Entry hrs/wk","",IF($X$49&gt;'FORMULA REFS'!AX$1,$Z59,"")))</f>
        <v/>
      </c>
      <c r="CE59" s="497" t="str">
        <f>IF($X$49="WEEKS","",IF($Z59="Manual Entry hrs/wk","",IF($X$49&gt;'FORMULA REFS'!AY$1,$Z59,"")))</f>
        <v/>
      </c>
      <c r="CF59" s="497" t="str">
        <f>IF($X$49="WEEKS","",IF($Z59="Manual Entry hrs/wk","",IF($X$49&gt;'FORMULA REFS'!AZ$1,$Z59,"")))</f>
        <v/>
      </c>
      <c r="CG59" s="113"/>
      <c r="CH59" s="349" t="str">
        <f t="shared" si="16"/>
        <v/>
      </c>
      <c r="CI59" s="349">
        <f>IFERROR((_xlfn.XLOOKUP($M59,'Standard Rate Cards'!D:D,'Standard Rate Cards'!E:E))*Y59,0)</f>
        <v>0</v>
      </c>
      <c r="CJ59" s="349">
        <f>IF(CL59&lt;&gt;"","",IF($D$16="Select Type","Select Margin Class",IFERROR(IF($M59="",0,IF($D$16="Client Custom Rates",0,IF($D$16="Standard Rates",_xlfn.XLOOKUP($M59,'Standard Rate Cards'!$D:$D,'Standard Rate Cards'!G:G)))),0)))</f>
        <v>0</v>
      </c>
      <c r="CK59" s="349" cm="1">
        <f t="array" ref="CK59">IF(CL59&lt;&gt;"","",IFERROR(IF($D$16&lt;&gt;"Client Custom Rates",0,INDEX('Client Rate Cards'!E:E,MATCH(1,('Client Rate Cards'!B:B='2. Pricing &amp; Import'!$D$17)*('Client Rate Cards'!D:D='2. Pricing &amp; Import'!N59),0))),0))</f>
        <v>0</v>
      </c>
      <c r="CL59" s="350"/>
    </row>
    <row r="60" spans="3:90" ht="16.05" customHeight="1" x14ac:dyDescent="0.3">
      <c r="C60" s="346"/>
      <c r="D60" s="495"/>
      <c r="E60" s="346"/>
      <c r="F60" s="346" t="str">
        <f>IFERROR(_xlfn.XLOOKUP(E60,'Standard Rate Cards'!$BB$11:$BB$23,'Standard Rate Cards'!$BA$11:$BA$23),"")</f>
        <v/>
      </c>
      <c r="G60" s="346"/>
      <c r="H60" s="346" t="str">
        <f>IFERROR(_xlfn.XLOOKUP(G60,'Standard Rate Cards'!$AP$8:$AP$142,'Standard Rate Cards'!$AQ$8:$AQ$142),"")</f>
        <v/>
      </c>
      <c r="I60" s="346"/>
      <c r="J60" s="346"/>
      <c r="K60" s="496"/>
      <c r="L60" s="496" t="str">
        <f t="shared" si="13"/>
        <v xml:space="preserve"> </v>
      </c>
      <c r="M60" s="496" t="str" cm="1">
        <f t="array" ref="M60">IF(ISBLANK(D60),"",IF(D60&lt;&gt;"CrederaUS",INDEX('Standard Rate Cards'!$D$9:$D$433,MATCH(1,('Standard Rate Cards'!$B$9:$B$433='2. Pricing &amp; Import'!D60)*('Standard Rate Cards'!$C$9:$C$433='2. Pricing &amp; Import'!K60),0)),INDEX('Standard Rate Cards'!$D$9:$D$433,MATCH(1,('Standard Rate Cards'!$B$9:$B$433='2. Pricing &amp; Import'!D60)*('Standard Rate Cards'!$C$9:$C$433='2. Pricing &amp; Import'!K60)*('Standard Rate Cards'!$H$9:$H$433=L60),0))))</f>
        <v/>
      </c>
      <c r="N60" s="347"/>
      <c r="O60" s="110" t="str">
        <f>IF(ISBLANK(K60)," ",_xlfn.XLOOKUP(K60,'Standard Rate Cards'!C:C,'Standard Rate Cards'!H:H))</f>
        <v xml:space="preserve"> </v>
      </c>
      <c r="P60" s="246" t="str">
        <f>IF(ISBLANK($K60)," ",_xlfn.XLOOKUP($K60,'Standard Rate Cards'!C:C,'Standard Rate Cards'!F:F))</f>
        <v xml:space="preserve"> </v>
      </c>
      <c r="Q60" s="348"/>
      <c r="R60" s="250"/>
      <c r="S60" s="680"/>
      <c r="T60" s="681"/>
      <c r="U60" s="1637"/>
      <c r="V60" s="1638"/>
      <c r="W60" s="681"/>
      <c r="X60" s="681" t="str">
        <f t="shared" si="14"/>
        <v/>
      </c>
      <c r="Y60" s="682" t="str">
        <f t="shared" si="15"/>
        <v/>
      </c>
      <c r="Z60" s="1630" t="s">
        <v>309</v>
      </c>
      <c r="AA60" s="1631"/>
      <c r="AG60" s="497" t="str">
        <f>IF($X$49="WEEKS","",IF($Z60="Manual Entry hrs/wk","",IF($X$49&gt;'FORMULA REFS'!A$1,$Z60,"")))</f>
        <v/>
      </c>
      <c r="AH60" s="497" t="str">
        <f>IF($X$49="WEEKS","",IF($Z60="Manual Entry hrs/wk","",IF($X$49&gt;'FORMULA REFS'!B$1,$Z60,"")))</f>
        <v/>
      </c>
      <c r="AI60" s="497" t="str">
        <f>IF($X$49="WEEKS","",IF($Z60="Manual Entry hrs/wk","",IF($X$49&gt;'FORMULA REFS'!C$1,$Z60,"")))</f>
        <v/>
      </c>
      <c r="AJ60" s="497" t="str">
        <f>IF($X$49="WEEKS","",IF($Z60="Manual Entry hrs/wk","",IF($X$49&gt;'FORMULA REFS'!D$1,$Z60,"")))</f>
        <v/>
      </c>
      <c r="AK60" s="497" t="str">
        <f>IF($X$49="WEEKS","",IF($Z60="Manual Entry hrs/wk","",IF($X$49&gt;'FORMULA REFS'!E$1,$Z60,"")))</f>
        <v/>
      </c>
      <c r="AL60" s="497" t="str">
        <f>IF($X$49="WEEKS","",IF($Z60="Manual Entry hrs/wk","",IF($X$49&gt;'FORMULA REFS'!F$1,$Z60,"")))</f>
        <v/>
      </c>
      <c r="AM60" s="497" t="str">
        <f>IF($X$49="WEEKS","",IF($Z60="Manual Entry hrs/wk","",IF($X$49&gt;'FORMULA REFS'!G$1,$Z60,"")))</f>
        <v/>
      </c>
      <c r="AN60" s="497" t="str">
        <f>IF($X$49="WEEKS","",IF($Z60="Manual Entry hrs/wk","",IF($X$49&gt;'FORMULA REFS'!H$1,$Z60,"")))</f>
        <v/>
      </c>
      <c r="AO60" s="497" t="str">
        <f>IF($X$49="WEEKS","",IF($Z60="Manual Entry hrs/wk","",IF($X$49&gt;'FORMULA REFS'!I$1,$Z60,"")))</f>
        <v/>
      </c>
      <c r="AP60" s="497" t="str">
        <f>IF($X$49="WEEKS","",IF($Z60="Manual Entry hrs/wk","",IF($X$49&gt;'FORMULA REFS'!J$1,$Z60,"")))</f>
        <v/>
      </c>
      <c r="AQ60" s="497" t="str">
        <f>IF($X$49="WEEKS","",IF($Z60="Manual Entry hrs/wk","",IF($X$49&gt;'FORMULA REFS'!K$1,$Z60,"")))</f>
        <v/>
      </c>
      <c r="AR60" s="497" t="str">
        <f>IF($X$49="WEEKS","",IF($Z60="Manual Entry hrs/wk","",IF($X$49&gt;'FORMULA REFS'!L$1,$Z60,"")))</f>
        <v/>
      </c>
      <c r="AS60" s="497" t="str">
        <f>IF($X$49="WEEKS","",IF($Z60="Manual Entry hrs/wk","",IF($X$49&gt;'FORMULA REFS'!M$1,$Z60,"")))</f>
        <v/>
      </c>
      <c r="AT60" s="497" t="str">
        <f>IF($X$49="WEEKS","",IF($Z60="Manual Entry hrs/wk","",IF($X$49&gt;'FORMULA REFS'!N$1,$Z60,"")))</f>
        <v/>
      </c>
      <c r="AU60" s="497" t="str">
        <f>IF($X$49="WEEKS","",IF($Z60="Manual Entry hrs/wk","",IF($X$49&gt;'FORMULA REFS'!O$1,$Z60,"")))</f>
        <v/>
      </c>
      <c r="AV60" s="497" t="str">
        <f>IF($X$49="WEEKS","",IF($Z60="Manual Entry hrs/wk","",IF($X$49&gt;'FORMULA REFS'!P$1,$Z60,"")))</f>
        <v/>
      </c>
      <c r="AW60" s="497" t="str">
        <f>IF($X$49="WEEKS","",IF($Z60="Manual Entry hrs/wk","",IF($X$49&gt;'FORMULA REFS'!Q$1,$Z60,"")))</f>
        <v/>
      </c>
      <c r="AX60" s="497" t="str">
        <f>IF($X$49="WEEKS","",IF($Z60="Manual Entry hrs/wk","",IF($X$49&gt;'FORMULA REFS'!R$1,$Z60,"")))</f>
        <v/>
      </c>
      <c r="AY60" s="497" t="str">
        <f>IF($X$49="WEEKS","",IF($Z60="Manual Entry hrs/wk","",IF($X$49&gt;'FORMULA REFS'!S$1,$Z60,"")))</f>
        <v/>
      </c>
      <c r="AZ60" s="497" t="str">
        <f>IF($X$49="WEEKS","",IF($Z60="Manual Entry hrs/wk","",IF($X$49&gt;'FORMULA REFS'!T$1,$Z60,"")))</f>
        <v/>
      </c>
      <c r="BA60" s="497" t="str">
        <f>IF($X$49="WEEKS","",IF($Z60="Manual Entry hrs/wk","",IF($X$49&gt;'FORMULA REFS'!U$1,$Z60,"")))</f>
        <v/>
      </c>
      <c r="BB60" s="497" t="str">
        <f>IF($X$49="WEEKS","",IF($Z60="Manual Entry hrs/wk","",IF($X$49&gt;'FORMULA REFS'!V$1,$Z60,"")))</f>
        <v/>
      </c>
      <c r="BC60" s="497" t="str">
        <f>IF($X$49="WEEKS","",IF($Z60="Manual Entry hrs/wk","",IF($X$49&gt;'FORMULA REFS'!W$1,$Z60,"")))</f>
        <v/>
      </c>
      <c r="BD60" s="497" t="str">
        <f>IF($X$49="WEEKS","",IF($Z60="Manual Entry hrs/wk","",IF($X$49&gt;'FORMULA REFS'!X$1,$Z60,"")))</f>
        <v/>
      </c>
      <c r="BE60" s="497" t="str">
        <f>IF($X$49="WEEKS","",IF($Z60="Manual Entry hrs/wk","",IF($X$49&gt;'FORMULA REFS'!Y$1,$Z60,"")))</f>
        <v/>
      </c>
      <c r="BF60" s="497" t="str">
        <f>IF($X$49="WEEKS","",IF($Z60="Manual Entry hrs/wk","",IF($X$49&gt;'FORMULA REFS'!Z$1,$Z60,"")))</f>
        <v/>
      </c>
      <c r="BG60" s="497" t="str">
        <f>IF($X$49="WEEKS","",IF($Z60="Manual Entry hrs/wk","",IF($X$49&gt;'FORMULA REFS'!AA$1,$Z60,"")))</f>
        <v/>
      </c>
      <c r="BH60" s="497" t="str">
        <f>IF($X$49="WEEKS","",IF($Z60="Manual Entry hrs/wk","",IF($X$49&gt;'FORMULA REFS'!AB$1,$Z60,"")))</f>
        <v/>
      </c>
      <c r="BI60" s="497" t="str">
        <f>IF($X$49="WEEKS","",IF($Z60="Manual Entry hrs/wk","",IF($X$49&gt;'FORMULA REFS'!AC$1,$Z60,"")))</f>
        <v/>
      </c>
      <c r="BJ60" s="497" t="str">
        <f>IF($X$49="WEEKS","",IF($Z60="Manual Entry hrs/wk","",IF($X$49&gt;'FORMULA REFS'!AD$1,$Z60,"")))</f>
        <v/>
      </c>
      <c r="BK60" s="497" t="str">
        <f>IF($X$49="WEEKS","",IF($Z60="Manual Entry hrs/wk","",IF($X$49&gt;'FORMULA REFS'!AE$1,$Z60,"")))</f>
        <v/>
      </c>
      <c r="BL60" s="497" t="str">
        <f>IF($X$49="WEEKS","",IF($Z60="Manual Entry hrs/wk","",IF($X$49&gt;'FORMULA REFS'!AF$1,$Z60,"")))</f>
        <v/>
      </c>
      <c r="BM60" s="497" t="str">
        <f>IF($X$49="WEEKS","",IF($Z60="Manual Entry hrs/wk","",IF($X$49&gt;'FORMULA REFS'!AG$1,$Z60,"")))</f>
        <v/>
      </c>
      <c r="BN60" s="497" t="str">
        <f>IF($X$49="WEEKS","",IF($Z60="Manual Entry hrs/wk","",IF($X$49&gt;'FORMULA REFS'!AH$1,$Z60,"")))</f>
        <v/>
      </c>
      <c r="BO60" s="497" t="str">
        <f>IF($X$49="WEEKS","",IF($Z60="Manual Entry hrs/wk","",IF($X$49&gt;'FORMULA REFS'!AI$1,$Z60,"")))</f>
        <v/>
      </c>
      <c r="BP60" s="497" t="str">
        <f>IF($X$49="WEEKS","",IF($Z60="Manual Entry hrs/wk","",IF($X$49&gt;'FORMULA REFS'!AJ$1,$Z60,"")))</f>
        <v/>
      </c>
      <c r="BQ60" s="497" t="str">
        <f>IF($X$49="WEEKS","",IF($Z60="Manual Entry hrs/wk","",IF($X$49&gt;'FORMULA REFS'!AK$1,$Z60,"")))</f>
        <v/>
      </c>
      <c r="BR60" s="497" t="str">
        <f>IF($X$49="WEEKS","",IF($Z60="Manual Entry hrs/wk","",IF($X$49&gt;'FORMULA REFS'!AL$1,$Z60,"")))</f>
        <v/>
      </c>
      <c r="BS60" s="497" t="str">
        <f>IF($X$49="WEEKS","",IF($Z60="Manual Entry hrs/wk","",IF($X$49&gt;'FORMULA REFS'!AM$1,$Z60,"")))</f>
        <v/>
      </c>
      <c r="BT60" s="497" t="str">
        <f>IF($X$49="WEEKS","",IF($Z60="Manual Entry hrs/wk","",IF($X$49&gt;'FORMULA REFS'!AN$1,$Z60,"")))</f>
        <v/>
      </c>
      <c r="BU60" s="497" t="str">
        <f>IF($X$49="WEEKS","",IF($Z60="Manual Entry hrs/wk","",IF($X$49&gt;'FORMULA REFS'!AO$1,$Z60,"")))</f>
        <v/>
      </c>
      <c r="BV60" s="497" t="str">
        <f>IF($X$49="WEEKS","",IF($Z60="Manual Entry hrs/wk","",IF($X$49&gt;'FORMULA REFS'!AP$1,$Z60,"")))</f>
        <v/>
      </c>
      <c r="BW60" s="497" t="str">
        <f>IF($X$49="WEEKS","",IF($Z60="Manual Entry hrs/wk","",IF($X$49&gt;'FORMULA REFS'!AQ$1,$Z60,"")))</f>
        <v/>
      </c>
      <c r="BX60" s="497" t="str">
        <f>IF($X$49="WEEKS","",IF($Z60="Manual Entry hrs/wk","",IF($X$49&gt;'FORMULA REFS'!AR$1,$Z60,"")))</f>
        <v/>
      </c>
      <c r="BY60" s="497" t="str">
        <f>IF($X$49="WEEKS","",IF($Z60="Manual Entry hrs/wk","",IF($X$49&gt;'FORMULA REFS'!AS$1,$Z60,"")))</f>
        <v/>
      </c>
      <c r="BZ60" s="497" t="str">
        <f>IF($X$49="WEEKS","",IF($Z60="Manual Entry hrs/wk","",IF($X$49&gt;'FORMULA REFS'!AT$1,$Z60,"")))</f>
        <v/>
      </c>
      <c r="CA60" s="497" t="str">
        <f>IF($X$49="WEEKS","",IF($Z60="Manual Entry hrs/wk","",IF($X$49&gt;'FORMULA REFS'!AU$1,$Z60,"")))</f>
        <v/>
      </c>
      <c r="CB60" s="497" t="str">
        <f>IF($X$49="WEEKS","",IF($Z60="Manual Entry hrs/wk","",IF($X$49&gt;'FORMULA REFS'!AV$1,$Z60,"")))</f>
        <v/>
      </c>
      <c r="CC60" s="497" t="str">
        <f>IF($X$49="WEEKS","",IF($Z60="Manual Entry hrs/wk","",IF($X$49&gt;'FORMULA REFS'!AW$1,$Z60,"")))</f>
        <v/>
      </c>
      <c r="CD60" s="497" t="str">
        <f>IF($X$49="WEEKS","",IF($Z60="Manual Entry hrs/wk","",IF($X$49&gt;'FORMULA REFS'!AX$1,$Z60,"")))</f>
        <v/>
      </c>
      <c r="CE60" s="497" t="str">
        <f>IF($X$49="WEEKS","",IF($Z60="Manual Entry hrs/wk","",IF($X$49&gt;'FORMULA REFS'!AY$1,$Z60,"")))</f>
        <v/>
      </c>
      <c r="CF60" s="497" t="str">
        <f>IF($X$49="WEEKS","",IF($Z60="Manual Entry hrs/wk","",IF($X$49&gt;'FORMULA REFS'!AZ$1,$Z60,"")))</f>
        <v/>
      </c>
      <c r="CG60" s="113"/>
      <c r="CH60" s="349" t="str">
        <f t="shared" si="16"/>
        <v/>
      </c>
      <c r="CI60" s="349">
        <f>IFERROR((_xlfn.XLOOKUP($M60,'Standard Rate Cards'!D:D,'Standard Rate Cards'!E:E))*Y60,0)</f>
        <v>0</v>
      </c>
      <c r="CJ60" s="349">
        <f>IF(CL60&lt;&gt;"","",IF($D$16="Select Type","Select Margin Class",IFERROR(IF($M60="",0,IF($D$16="Client Custom Rates",0,IF($D$16="Standard Rates",_xlfn.XLOOKUP($M60,'Standard Rate Cards'!$D:$D,'Standard Rate Cards'!G:G)))),0)))</f>
        <v>0</v>
      </c>
      <c r="CK60" s="349" cm="1">
        <f t="array" ref="CK60">IF(CL60&lt;&gt;"","",IFERROR(IF($D$16&lt;&gt;"Client Custom Rates",0,INDEX('Client Rate Cards'!E:E,MATCH(1,('Client Rate Cards'!B:B='2. Pricing &amp; Import'!$D$17)*('Client Rate Cards'!D:D='2. Pricing &amp; Import'!N60),0))),0))</f>
        <v>0</v>
      </c>
      <c r="CL60" s="350"/>
    </row>
    <row r="61" spans="3:90" ht="16.05" customHeight="1" x14ac:dyDescent="0.3">
      <c r="C61" s="346"/>
      <c r="D61" s="495"/>
      <c r="E61" s="346"/>
      <c r="F61" s="346" t="str">
        <f>IFERROR(_xlfn.XLOOKUP(E61,'Standard Rate Cards'!$BB$11:$BB$23,'Standard Rate Cards'!$BA$11:$BA$23),"")</f>
        <v/>
      </c>
      <c r="G61" s="346"/>
      <c r="H61" s="346" t="str">
        <f>IFERROR(_xlfn.XLOOKUP(G61,'Standard Rate Cards'!$AP$8:$AP$142,'Standard Rate Cards'!$AQ$8:$AQ$142),"")</f>
        <v/>
      </c>
      <c r="I61" s="346"/>
      <c r="J61" s="346"/>
      <c r="K61" s="496"/>
      <c r="L61" s="496" t="str">
        <f t="shared" si="13"/>
        <v xml:space="preserve"> </v>
      </c>
      <c r="M61" s="496" t="str" cm="1">
        <f t="array" ref="M61">IF(ISBLANK(D61),"",IF(D61&lt;&gt;"CrederaUS",INDEX('Standard Rate Cards'!$D$9:$D$433,MATCH(1,('Standard Rate Cards'!$B$9:$B$433='2. Pricing &amp; Import'!D61)*('Standard Rate Cards'!$C$9:$C$433='2. Pricing &amp; Import'!K61),0)),INDEX('Standard Rate Cards'!$D$9:$D$433,MATCH(1,('Standard Rate Cards'!$B$9:$B$433='2. Pricing &amp; Import'!D61)*('Standard Rate Cards'!$C$9:$C$433='2. Pricing &amp; Import'!K61)*('Standard Rate Cards'!$H$9:$H$433=L61),0))))</f>
        <v/>
      </c>
      <c r="N61" s="347"/>
      <c r="O61" s="110" t="str">
        <f>IF(ISBLANK(K61)," ",_xlfn.XLOOKUP(K61,'Standard Rate Cards'!C:C,'Standard Rate Cards'!H:H))</f>
        <v xml:space="preserve"> </v>
      </c>
      <c r="P61" s="246" t="str">
        <f>IF(ISBLANK($K61)," ",_xlfn.XLOOKUP($K61,'Standard Rate Cards'!C:C,'Standard Rate Cards'!F:F))</f>
        <v xml:space="preserve"> </v>
      </c>
      <c r="Q61" s="348"/>
      <c r="R61" s="250"/>
      <c r="S61" s="680"/>
      <c r="T61" s="681"/>
      <c r="U61" s="1637"/>
      <c r="V61" s="1638"/>
      <c r="W61" s="681"/>
      <c r="X61" s="681" t="str">
        <f t="shared" ref="X61:X114" si="17">IF(COUNTIF($AG61:$CF61,"&gt;0")=0,"",COUNTIF($AG61:$CF61,"&gt;0"))</f>
        <v/>
      </c>
      <c r="Y61" s="682" t="str">
        <f t="shared" ref="Y61:Y114" si="18">IFERROR(IF(SUM(AG61:CF61)=0,"",IF($AA$49&lt;&gt;"WEEKS",(Z61*$AA$49),SUM(AG61:CF61))),"")</f>
        <v/>
      </c>
      <c r="Z61" s="1630" t="s">
        <v>309</v>
      </c>
      <c r="AA61" s="1631"/>
      <c r="AG61" s="497" t="str">
        <f>IF($X$49="WEEKS","",IF($Z61="Manual Entry hrs/wk","",IF($X$49&gt;'FORMULA REFS'!A$1,$Z61,"")))</f>
        <v/>
      </c>
      <c r="AH61" s="497" t="str">
        <f>IF($X$49="WEEKS","",IF($Z61="Manual Entry hrs/wk","",IF($X$49&gt;'FORMULA REFS'!B$1,$Z61,"")))</f>
        <v/>
      </c>
      <c r="AI61" s="497" t="str">
        <f>IF($X$49="WEEKS","",IF($Z61="Manual Entry hrs/wk","",IF($X$49&gt;'FORMULA REFS'!C$1,$Z61,"")))</f>
        <v/>
      </c>
      <c r="AJ61" s="497" t="str">
        <f>IF($X$49="WEEKS","",IF($Z61="Manual Entry hrs/wk","",IF($X$49&gt;'FORMULA REFS'!D$1,$Z61,"")))</f>
        <v/>
      </c>
      <c r="AK61" s="497" t="str">
        <f>IF($X$49="WEEKS","",IF($Z61="Manual Entry hrs/wk","",IF($X$49&gt;'FORMULA REFS'!E$1,$Z61,"")))</f>
        <v/>
      </c>
      <c r="AL61" s="497" t="str">
        <f>IF($X$49="WEEKS","",IF($Z61="Manual Entry hrs/wk","",IF($X$49&gt;'FORMULA REFS'!F$1,$Z61,"")))</f>
        <v/>
      </c>
      <c r="AM61" s="497" t="str">
        <f>IF($X$49="WEEKS","",IF($Z61="Manual Entry hrs/wk","",IF($X$49&gt;'FORMULA REFS'!G$1,$Z61,"")))</f>
        <v/>
      </c>
      <c r="AN61" s="497" t="str">
        <f>IF($X$49="WEEKS","",IF($Z61="Manual Entry hrs/wk","",IF($X$49&gt;'FORMULA REFS'!H$1,$Z61,"")))</f>
        <v/>
      </c>
      <c r="AO61" s="497" t="str">
        <f>IF($X$49="WEEKS","",IF($Z61="Manual Entry hrs/wk","",IF($X$49&gt;'FORMULA REFS'!I$1,$Z61,"")))</f>
        <v/>
      </c>
      <c r="AP61" s="497" t="str">
        <f>IF($X$49="WEEKS","",IF($Z61="Manual Entry hrs/wk","",IF($X$49&gt;'FORMULA REFS'!J$1,$Z61,"")))</f>
        <v/>
      </c>
      <c r="AQ61" s="497" t="str">
        <f>IF($X$49="WEEKS","",IF($Z61="Manual Entry hrs/wk","",IF($X$49&gt;'FORMULA REFS'!K$1,$Z61,"")))</f>
        <v/>
      </c>
      <c r="AR61" s="497" t="str">
        <f>IF($X$49="WEEKS","",IF($Z61="Manual Entry hrs/wk","",IF($X$49&gt;'FORMULA REFS'!L$1,$Z61,"")))</f>
        <v/>
      </c>
      <c r="AS61" s="497" t="str">
        <f>IF($X$49="WEEKS","",IF($Z61="Manual Entry hrs/wk","",IF($X$49&gt;'FORMULA REFS'!M$1,$Z61,"")))</f>
        <v/>
      </c>
      <c r="AT61" s="497" t="str">
        <f>IF($X$49="WEEKS","",IF($Z61="Manual Entry hrs/wk","",IF($X$49&gt;'FORMULA REFS'!N$1,$Z61,"")))</f>
        <v/>
      </c>
      <c r="AU61" s="497" t="str">
        <f>IF($X$49="WEEKS","",IF($Z61="Manual Entry hrs/wk","",IF($X$49&gt;'FORMULA REFS'!O$1,$Z61,"")))</f>
        <v/>
      </c>
      <c r="AV61" s="497" t="str">
        <f>IF($X$49="WEEKS","",IF($Z61="Manual Entry hrs/wk","",IF($X$49&gt;'FORMULA REFS'!P$1,$Z61,"")))</f>
        <v/>
      </c>
      <c r="AW61" s="497" t="str">
        <f>IF($X$49="WEEKS","",IF($Z61="Manual Entry hrs/wk","",IF($X$49&gt;'FORMULA REFS'!Q$1,$Z61,"")))</f>
        <v/>
      </c>
      <c r="AX61" s="497" t="str">
        <f>IF($X$49="WEEKS","",IF($Z61="Manual Entry hrs/wk","",IF($X$49&gt;'FORMULA REFS'!R$1,$Z61,"")))</f>
        <v/>
      </c>
      <c r="AY61" s="497" t="str">
        <f>IF($X$49="WEEKS","",IF($Z61="Manual Entry hrs/wk","",IF($X$49&gt;'FORMULA REFS'!S$1,$Z61,"")))</f>
        <v/>
      </c>
      <c r="AZ61" s="497" t="str">
        <f>IF($X$49="WEEKS","",IF($Z61="Manual Entry hrs/wk","",IF($X$49&gt;'FORMULA REFS'!T$1,$Z61,"")))</f>
        <v/>
      </c>
      <c r="BA61" s="497" t="str">
        <f>IF($X$49="WEEKS","",IF($Z61="Manual Entry hrs/wk","",IF($X$49&gt;'FORMULA REFS'!U$1,$Z61,"")))</f>
        <v/>
      </c>
      <c r="BB61" s="497" t="str">
        <f>IF($X$49="WEEKS","",IF($Z61="Manual Entry hrs/wk","",IF($X$49&gt;'FORMULA REFS'!V$1,$Z61,"")))</f>
        <v/>
      </c>
      <c r="BC61" s="497" t="str">
        <f>IF($X$49="WEEKS","",IF($Z61="Manual Entry hrs/wk","",IF($X$49&gt;'FORMULA REFS'!W$1,$Z61,"")))</f>
        <v/>
      </c>
      <c r="BD61" s="497" t="str">
        <f>IF($X$49="WEEKS","",IF($Z61="Manual Entry hrs/wk","",IF($X$49&gt;'FORMULA REFS'!X$1,$Z61,"")))</f>
        <v/>
      </c>
      <c r="BE61" s="497" t="str">
        <f>IF($X$49="WEEKS","",IF($Z61="Manual Entry hrs/wk","",IF($X$49&gt;'FORMULA REFS'!Y$1,$Z61,"")))</f>
        <v/>
      </c>
      <c r="BF61" s="497" t="str">
        <f>IF($X$49="WEEKS","",IF($Z61="Manual Entry hrs/wk","",IF($X$49&gt;'FORMULA REFS'!Z$1,$Z61,"")))</f>
        <v/>
      </c>
      <c r="BG61" s="497" t="str">
        <f>IF($X$49="WEEKS","",IF($Z61="Manual Entry hrs/wk","",IF($X$49&gt;'FORMULA REFS'!AA$1,$Z61,"")))</f>
        <v/>
      </c>
      <c r="BH61" s="497" t="str">
        <f>IF($X$49="WEEKS","",IF($Z61="Manual Entry hrs/wk","",IF($X$49&gt;'FORMULA REFS'!AB$1,$Z61,"")))</f>
        <v/>
      </c>
      <c r="BI61" s="497" t="str">
        <f>IF($X$49="WEEKS","",IF($Z61="Manual Entry hrs/wk","",IF($X$49&gt;'FORMULA REFS'!AC$1,$Z61,"")))</f>
        <v/>
      </c>
      <c r="BJ61" s="497" t="str">
        <f>IF($X$49="WEEKS","",IF($Z61="Manual Entry hrs/wk","",IF($X$49&gt;'FORMULA REFS'!AD$1,$Z61,"")))</f>
        <v/>
      </c>
      <c r="BK61" s="497" t="str">
        <f>IF($X$49="WEEKS","",IF($Z61="Manual Entry hrs/wk","",IF($X$49&gt;'FORMULA REFS'!AE$1,$Z61,"")))</f>
        <v/>
      </c>
      <c r="BL61" s="497" t="str">
        <f>IF($X$49="WEEKS","",IF($Z61="Manual Entry hrs/wk","",IF($X$49&gt;'FORMULA REFS'!AF$1,$Z61,"")))</f>
        <v/>
      </c>
      <c r="BM61" s="497" t="str">
        <f>IF($X$49="WEEKS","",IF($Z61="Manual Entry hrs/wk","",IF($X$49&gt;'FORMULA REFS'!AG$1,$Z61,"")))</f>
        <v/>
      </c>
      <c r="BN61" s="497" t="str">
        <f>IF($X$49="WEEKS","",IF($Z61="Manual Entry hrs/wk","",IF($X$49&gt;'FORMULA REFS'!AH$1,$Z61,"")))</f>
        <v/>
      </c>
      <c r="BO61" s="497" t="str">
        <f>IF($X$49="WEEKS","",IF($Z61="Manual Entry hrs/wk","",IF($X$49&gt;'FORMULA REFS'!AI$1,$Z61,"")))</f>
        <v/>
      </c>
      <c r="BP61" s="497" t="str">
        <f>IF($X$49="WEEKS","",IF($Z61="Manual Entry hrs/wk","",IF($X$49&gt;'FORMULA REFS'!AJ$1,$Z61,"")))</f>
        <v/>
      </c>
      <c r="BQ61" s="497" t="str">
        <f>IF($X$49="WEEKS","",IF($Z61="Manual Entry hrs/wk","",IF($X$49&gt;'FORMULA REFS'!AK$1,$Z61,"")))</f>
        <v/>
      </c>
      <c r="BR61" s="497" t="str">
        <f>IF($X$49="WEEKS","",IF($Z61="Manual Entry hrs/wk","",IF($X$49&gt;'FORMULA REFS'!AL$1,$Z61,"")))</f>
        <v/>
      </c>
      <c r="BS61" s="497" t="str">
        <f>IF($X$49="WEEKS","",IF($Z61="Manual Entry hrs/wk","",IF($X$49&gt;'FORMULA REFS'!AM$1,$Z61,"")))</f>
        <v/>
      </c>
      <c r="BT61" s="497" t="str">
        <f>IF($X$49="WEEKS","",IF($Z61="Manual Entry hrs/wk","",IF($X$49&gt;'FORMULA REFS'!AN$1,$Z61,"")))</f>
        <v/>
      </c>
      <c r="BU61" s="497" t="str">
        <f>IF($X$49="WEEKS","",IF($Z61="Manual Entry hrs/wk","",IF($X$49&gt;'FORMULA REFS'!AO$1,$Z61,"")))</f>
        <v/>
      </c>
      <c r="BV61" s="497" t="str">
        <f>IF($X$49="WEEKS","",IF($Z61="Manual Entry hrs/wk","",IF($X$49&gt;'FORMULA REFS'!AP$1,$Z61,"")))</f>
        <v/>
      </c>
      <c r="BW61" s="497" t="str">
        <f>IF($X$49="WEEKS","",IF($Z61="Manual Entry hrs/wk","",IF($X$49&gt;'FORMULA REFS'!AQ$1,$Z61,"")))</f>
        <v/>
      </c>
      <c r="BX61" s="497" t="str">
        <f>IF($X$49="WEEKS","",IF($Z61="Manual Entry hrs/wk","",IF($X$49&gt;'FORMULA REFS'!AR$1,$Z61,"")))</f>
        <v/>
      </c>
      <c r="BY61" s="497" t="str">
        <f>IF($X$49="WEEKS","",IF($Z61="Manual Entry hrs/wk","",IF($X$49&gt;'FORMULA REFS'!AS$1,$Z61,"")))</f>
        <v/>
      </c>
      <c r="BZ61" s="497" t="str">
        <f>IF($X$49="WEEKS","",IF($Z61="Manual Entry hrs/wk","",IF($X$49&gt;'FORMULA REFS'!AT$1,$Z61,"")))</f>
        <v/>
      </c>
      <c r="CA61" s="497" t="str">
        <f>IF($X$49="WEEKS","",IF($Z61="Manual Entry hrs/wk","",IF($X$49&gt;'FORMULA REFS'!AU$1,$Z61,"")))</f>
        <v/>
      </c>
      <c r="CB61" s="497" t="str">
        <f>IF($X$49="WEEKS","",IF($Z61="Manual Entry hrs/wk","",IF($X$49&gt;'FORMULA REFS'!AV$1,$Z61,"")))</f>
        <v/>
      </c>
      <c r="CC61" s="497" t="str">
        <f>IF($X$49="WEEKS","",IF($Z61="Manual Entry hrs/wk","",IF($X$49&gt;'FORMULA REFS'!AW$1,$Z61,"")))</f>
        <v/>
      </c>
      <c r="CD61" s="497" t="str">
        <f>IF($X$49="WEEKS","",IF($Z61="Manual Entry hrs/wk","",IF($X$49&gt;'FORMULA REFS'!AX$1,$Z61,"")))</f>
        <v/>
      </c>
      <c r="CE61" s="497" t="str">
        <f>IF($X$49="WEEKS","",IF($Z61="Manual Entry hrs/wk","",IF($X$49&gt;'FORMULA REFS'!AY$1,$Z61,"")))</f>
        <v/>
      </c>
      <c r="CF61" s="497" t="str">
        <f>IF($X$49="WEEKS","",IF($Z61="Manual Entry hrs/wk","",IF($X$49&gt;'FORMULA REFS'!AZ$1,$Z61,"")))</f>
        <v/>
      </c>
      <c r="CG61" s="113"/>
      <c r="CH61" s="349" t="str">
        <f t="shared" si="16"/>
        <v/>
      </c>
      <c r="CI61" s="349">
        <f>IFERROR((_xlfn.XLOOKUP($M61,'Standard Rate Cards'!D:D,'Standard Rate Cards'!E:E))*Y61,0)</f>
        <v>0</v>
      </c>
      <c r="CJ61" s="349">
        <f>IF(CL61&lt;&gt;"","",IF($D$16="Select Type","Select Margin Class",IFERROR(IF($M61="",0,IF($D$16="Client Custom Rates",0,IF($D$16="Standard Rates",_xlfn.XLOOKUP($M61,'Standard Rate Cards'!$D:$D,'Standard Rate Cards'!G:G)))),0)))</f>
        <v>0</v>
      </c>
      <c r="CK61" s="349" cm="1">
        <f t="array" ref="CK61">IF(CL61&lt;&gt;"","",IFERROR(IF($D$16&lt;&gt;"Client Custom Rates",0,INDEX('Client Rate Cards'!E:E,MATCH(1,('Client Rate Cards'!B:B='2. Pricing &amp; Import'!$D$17)*('Client Rate Cards'!D:D='2. Pricing &amp; Import'!N61),0))),0))</f>
        <v>0</v>
      </c>
      <c r="CL61" s="350"/>
    </row>
    <row r="62" spans="3:90" ht="16.05" customHeight="1" x14ac:dyDescent="0.3">
      <c r="C62" s="346"/>
      <c r="D62" s="495"/>
      <c r="E62" s="346"/>
      <c r="F62" s="346" t="str">
        <f>IFERROR(_xlfn.XLOOKUP(E62,'Standard Rate Cards'!$BB$11:$BB$23,'Standard Rate Cards'!$BA$11:$BA$23),"")</f>
        <v/>
      </c>
      <c r="G62" s="346"/>
      <c r="H62" s="346" t="str">
        <f>IFERROR(_xlfn.XLOOKUP(G62,'Standard Rate Cards'!$AP$8:$AP$142,'Standard Rate Cards'!$AQ$8:$AQ$142),"")</f>
        <v/>
      </c>
      <c r="I62" s="346"/>
      <c r="J62" s="346"/>
      <c r="K62" s="496"/>
      <c r="L62" s="496" t="str">
        <f t="shared" si="13"/>
        <v xml:space="preserve"> </v>
      </c>
      <c r="M62" s="496" t="str" cm="1">
        <f t="array" ref="M62">IF(ISBLANK(D62),"",IF(D62&lt;&gt;"CrederaUS",INDEX('Standard Rate Cards'!$D$9:$D$433,MATCH(1,('Standard Rate Cards'!$B$9:$B$433='2. Pricing &amp; Import'!D62)*('Standard Rate Cards'!$C$9:$C$433='2. Pricing &amp; Import'!K62),0)),INDEX('Standard Rate Cards'!$D$9:$D$433,MATCH(1,('Standard Rate Cards'!$B$9:$B$433='2. Pricing &amp; Import'!D62)*('Standard Rate Cards'!$C$9:$C$433='2. Pricing &amp; Import'!K62)*('Standard Rate Cards'!$H$9:$H$433=L62),0))))</f>
        <v/>
      </c>
      <c r="N62" s="347"/>
      <c r="O62" s="110" t="str">
        <f>IF(ISBLANK(K62)," ",_xlfn.XLOOKUP(K62,'Standard Rate Cards'!C:C,'Standard Rate Cards'!H:H))</f>
        <v xml:space="preserve"> </v>
      </c>
      <c r="P62" s="246" t="str">
        <f>IF(ISBLANK($K62)," ",_xlfn.XLOOKUP($K62,'Standard Rate Cards'!C:C,'Standard Rate Cards'!F:F))</f>
        <v xml:space="preserve"> </v>
      </c>
      <c r="Q62" s="348"/>
      <c r="R62" s="250"/>
      <c r="S62" s="680"/>
      <c r="T62" s="681"/>
      <c r="U62" s="1637"/>
      <c r="V62" s="1638"/>
      <c r="W62" s="681"/>
      <c r="X62" s="681" t="str">
        <f t="shared" si="17"/>
        <v/>
      </c>
      <c r="Y62" s="682" t="str">
        <f t="shared" si="18"/>
        <v/>
      </c>
      <c r="Z62" s="1630" t="s">
        <v>309</v>
      </c>
      <c r="AA62" s="1631"/>
      <c r="AG62" s="497" t="str">
        <f>IF($X$49="WEEKS","",IF($Z62="Manual Entry hrs/wk","",IF($X$49&gt;'FORMULA REFS'!A$1,$Z62,"")))</f>
        <v/>
      </c>
      <c r="AH62" s="497" t="str">
        <f>IF($X$49="WEEKS","",IF($Z62="Manual Entry hrs/wk","",IF($X$49&gt;'FORMULA REFS'!B$1,$Z62,"")))</f>
        <v/>
      </c>
      <c r="AI62" s="497" t="str">
        <f>IF($X$49="WEEKS","",IF($Z62="Manual Entry hrs/wk","",IF($X$49&gt;'FORMULA REFS'!C$1,$Z62,"")))</f>
        <v/>
      </c>
      <c r="AJ62" s="497" t="str">
        <f>IF($X$49="WEEKS","",IF($Z62="Manual Entry hrs/wk","",IF($X$49&gt;'FORMULA REFS'!D$1,$Z62,"")))</f>
        <v/>
      </c>
      <c r="AK62" s="497" t="str">
        <f>IF($X$49="WEEKS","",IF($Z62="Manual Entry hrs/wk","",IF($X$49&gt;'FORMULA REFS'!E$1,$Z62,"")))</f>
        <v/>
      </c>
      <c r="AL62" s="497" t="str">
        <f>IF($X$49="WEEKS","",IF($Z62="Manual Entry hrs/wk","",IF($X$49&gt;'FORMULA REFS'!F$1,$Z62,"")))</f>
        <v/>
      </c>
      <c r="AM62" s="497" t="str">
        <f>IF($X$49="WEEKS","",IF($Z62="Manual Entry hrs/wk","",IF($X$49&gt;'FORMULA REFS'!G$1,$Z62,"")))</f>
        <v/>
      </c>
      <c r="AN62" s="497" t="str">
        <f>IF($X$49="WEEKS","",IF($Z62="Manual Entry hrs/wk","",IF($X$49&gt;'FORMULA REFS'!H$1,$Z62,"")))</f>
        <v/>
      </c>
      <c r="AO62" s="497" t="str">
        <f>IF($X$49="WEEKS","",IF($Z62="Manual Entry hrs/wk","",IF($X$49&gt;'FORMULA REFS'!I$1,$Z62,"")))</f>
        <v/>
      </c>
      <c r="AP62" s="497" t="str">
        <f>IF($X$49="WEEKS","",IF($Z62="Manual Entry hrs/wk","",IF($X$49&gt;'FORMULA REFS'!J$1,$Z62,"")))</f>
        <v/>
      </c>
      <c r="AQ62" s="497" t="str">
        <f>IF($X$49="WEEKS","",IF($Z62="Manual Entry hrs/wk","",IF($X$49&gt;'FORMULA REFS'!K$1,$Z62,"")))</f>
        <v/>
      </c>
      <c r="AR62" s="497" t="str">
        <f>IF($X$49="WEEKS","",IF($Z62="Manual Entry hrs/wk","",IF($X$49&gt;'FORMULA REFS'!L$1,$Z62,"")))</f>
        <v/>
      </c>
      <c r="AS62" s="497" t="str">
        <f>IF($X$49="WEEKS","",IF($Z62="Manual Entry hrs/wk","",IF($X$49&gt;'FORMULA REFS'!M$1,$Z62,"")))</f>
        <v/>
      </c>
      <c r="AT62" s="497" t="str">
        <f>IF($X$49="WEEKS","",IF($Z62="Manual Entry hrs/wk","",IF($X$49&gt;'FORMULA REFS'!N$1,$Z62,"")))</f>
        <v/>
      </c>
      <c r="AU62" s="497" t="str">
        <f>IF($X$49="WEEKS","",IF($Z62="Manual Entry hrs/wk","",IF($X$49&gt;'FORMULA REFS'!O$1,$Z62,"")))</f>
        <v/>
      </c>
      <c r="AV62" s="497" t="str">
        <f>IF($X$49="WEEKS","",IF($Z62="Manual Entry hrs/wk","",IF($X$49&gt;'FORMULA REFS'!P$1,$Z62,"")))</f>
        <v/>
      </c>
      <c r="AW62" s="497" t="str">
        <f>IF($X$49="WEEKS","",IF($Z62="Manual Entry hrs/wk","",IF($X$49&gt;'FORMULA REFS'!Q$1,$Z62,"")))</f>
        <v/>
      </c>
      <c r="AX62" s="497" t="str">
        <f>IF($X$49="WEEKS","",IF($Z62="Manual Entry hrs/wk","",IF($X$49&gt;'FORMULA REFS'!R$1,$Z62,"")))</f>
        <v/>
      </c>
      <c r="AY62" s="497" t="str">
        <f>IF($X$49="WEEKS","",IF($Z62="Manual Entry hrs/wk","",IF($X$49&gt;'FORMULA REFS'!S$1,$Z62,"")))</f>
        <v/>
      </c>
      <c r="AZ62" s="497" t="str">
        <f>IF($X$49="WEEKS","",IF($Z62="Manual Entry hrs/wk","",IF($X$49&gt;'FORMULA REFS'!T$1,$Z62,"")))</f>
        <v/>
      </c>
      <c r="BA62" s="497" t="str">
        <f>IF($X$49="WEEKS","",IF($Z62="Manual Entry hrs/wk","",IF($X$49&gt;'FORMULA REFS'!U$1,$Z62,"")))</f>
        <v/>
      </c>
      <c r="BB62" s="497" t="str">
        <f>IF($X$49="WEEKS","",IF($Z62="Manual Entry hrs/wk","",IF($X$49&gt;'FORMULA REFS'!V$1,$Z62,"")))</f>
        <v/>
      </c>
      <c r="BC62" s="497" t="str">
        <f>IF($X$49="WEEKS","",IF($Z62="Manual Entry hrs/wk","",IF($X$49&gt;'FORMULA REFS'!W$1,$Z62,"")))</f>
        <v/>
      </c>
      <c r="BD62" s="497" t="str">
        <f>IF($X$49="WEEKS","",IF($Z62="Manual Entry hrs/wk","",IF($X$49&gt;'FORMULA REFS'!X$1,$Z62,"")))</f>
        <v/>
      </c>
      <c r="BE62" s="497" t="str">
        <f>IF($X$49="WEEKS","",IF($Z62="Manual Entry hrs/wk","",IF($X$49&gt;'FORMULA REFS'!Y$1,$Z62,"")))</f>
        <v/>
      </c>
      <c r="BF62" s="497" t="str">
        <f>IF($X$49="WEEKS","",IF($Z62="Manual Entry hrs/wk","",IF($X$49&gt;'FORMULA REFS'!Z$1,$Z62,"")))</f>
        <v/>
      </c>
      <c r="BG62" s="497" t="str">
        <f>IF($X$49="WEEKS","",IF($Z62="Manual Entry hrs/wk","",IF($X$49&gt;'FORMULA REFS'!AA$1,$Z62,"")))</f>
        <v/>
      </c>
      <c r="BH62" s="497" t="str">
        <f>IF($X$49="WEEKS","",IF($Z62="Manual Entry hrs/wk","",IF($X$49&gt;'FORMULA REFS'!AB$1,$Z62,"")))</f>
        <v/>
      </c>
      <c r="BI62" s="497" t="str">
        <f>IF($X$49="WEEKS","",IF($Z62="Manual Entry hrs/wk","",IF($X$49&gt;'FORMULA REFS'!AC$1,$Z62,"")))</f>
        <v/>
      </c>
      <c r="BJ62" s="497" t="str">
        <f>IF($X$49="WEEKS","",IF($Z62="Manual Entry hrs/wk","",IF($X$49&gt;'FORMULA REFS'!AD$1,$Z62,"")))</f>
        <v/>
      </c>
      <c r="BK62" s="497" t="str">
        <f>IF($X$49="WEEKS","",IF($Z62="Manual Entry hrs/wk","",IF($X$49&gt;'FORMULA REFS'!AE$1,$Z62,"")))</f>
        <v/>
      </c>
      <c r="BL62" s="497" t="str">
        <f>IF($X$49="WEEKS","",IF($Z62="Manual Entry hrs/wk","",IF($X$49&gt;'FORMULA REFS'!AF$1,$Z62,"")))</f>
        <v/>
      </c>
      <c r="BM62" s="497" t="str">
        <f>IF($X$49="WEEKS","",IF($Z62="Manual Entry hrs/wk","",IF($X$49&gt;'FORMULA REFS'!AG$1,$Z62,"")))</f>
        <v/>
      </c>
      <c r="BN62" s="497" t="str">
        <f>IF($X$49="WEEKS","",IF($Z62="Manual Entry hrs/wk","",IF($X$49&gt;'FORMULA REFS'!AH$1,$Z62,"")))</f>
        <v/>
      </c>
      <c r="BO62" s="497" t="str">
        <f>IF($X$49="WEEKS","",IF($Z62="Manual Entry hrs/wk","",IF($X$49&gt;'FORMULA REFS'!AI$1,$Z62,"")))</f>
        <v/>
      </c>
      <c r="BP62" s="497" t="str">
        <f>IF($X$49="WEEKS","",IF($Z62="Manual Entry hrs/wk","",IF($X$49&gt;'FORMULA REFS'!AJ$1,$Z62,"")))</f>
        <v/>
      </c>
      <c r="BQ62" s="497" t="str">
        <f>IF($X$49="WEEKS","",IF($Z62="Manual Entry hrs/wk","",IF($X$49&gt;'FORMULA REFS'!AK$1,$Z62,"")))</f>
        <v/>
      </c>
      <c r="BR62" s="497" t="str">
        <f>IF($X$49="WEEKS","",IF($Z62="Manual Entry hrs/wk","",IF($X$49&gt;'FORMULA REFS'!AL$1,$Z62,"")))</f>
        <v/>
      </c>
      <c r="BS62" s="497" t="str">
        <f>IF($X$49="WEEKS","",IF($Z62="Manual Entry hrs/wk","",IF($X$49&gt;'FORMULA REFS'!AM$1,$Z62,"")))</f>
        <v/>
      </c>
      <c r="BT62" s="497" t="str">
        <f>IF($X$49="WEEKS","",IF($Z62="Manual Entry hrs/wk","",IF($X$49&gt;'FORMULA REFS'!AN$1,$Z62,"")))</f>
        <v/>
      </c>
      <c r="BU62" s="497" t="str">
        <f>IF($X$49="WEEKS","",IF($Z62="Manual Entry hrs/wk","",IF($X$49&gt;'FORMULA REFS'!AO$1,$Z62,"")))</f>
        <v/>
      </c>
      <c r="BV62" s="497" t="str">
        <f>IF($X$49="WEEKS","",IF($Z62="Manual Entry hrs/wk","",IF($X$49&gt;'FORMULA REFS'!AP$1,$Z62,"")))</f>
        <v/>
      </c>
      <c r="BW62" s="497" t="str">
        <f>IF($X$49="WEEKS","",IF($Z62="Manual Entry hrs/wk","",IF($X$49&gt;'FORMULA REFS'!AQ$1,$Z62,"")))</f>
        <v/>
      </c>
      <c r="BX62" s="497" t="str">
        <f>IF($X$49="WEEKS","",IF($Z62="Manual Entry hrs/wk","",IF($X$49&gt;'FORMULA REFS'!AR$1,$Z62,"")))</f>
        <v/>
      </c>
      <c r="BY62" s="497" t="str">
        <f>IF($X$49="WEEKS","",IF($Z62="Manual Entry hrs/wk","",IF($X$49&gt;'FORMULA REFS'!AS$1,$Z62,"")))</f>
        <v/>
      </c>
      <c r="BZ62" s="497" t="str">
        <f>IF($X$49="WEEKS","",IF($Z62="Manual Entry hrs/wk","",IF($X$49&gt;'FORMULA REFS'!AT$1,$Z62,"")))</f>
        <v/>
      </c>
      <c r="CA62" s="497" t="str">
        <f>IF($X$49="WEEKS","",IF($Z62="Manual Entry hrs/wk","",IF($X$49&gt;'FORMULA REFS'!AU$1,$Z62,"")))</f>
        <v/>
      </c>
      <c r="CB62" s="497" t="str">
        <f>IF($X$49="WEEKS","",IF($Z62="Manual Entry hrs/wk","",IF($X$49&gt;'FORMULA REFS'!AV$1,$Z62,"")))</f>
        <v/>
      </c>
      <c r="CC62" s="497" t="str">
        <f>IF($X$49="WEEKS","",IF($Z62="Manual Entry hrs/wk","",IF($X$49&gt;'FORMULA REFS'!AW$1,$Z62,"")))</f>
        <v/>
      </c>
      <c r="CD62" s="497" t="str">
        <f>IF($X$49="WEEKS","",IF($Z62="Manual Entry hrs/wk","",IF($X$49&gt;'FORMULA REFS'!AX$1,$Z62,"")))</f>
        <v/>
      </c>
      <c r="CE62" s="497" t="str">
        <f>IF($X$49="WEEKS","",IF($Z62="Manual Entry hrs/wk","",IF($X$49&gt;'FORMULA REFS'!AY$1,$Z62,"")))</f>
        <v/>
      </c>
      <c r="CF62" s="497" t="str">
        <f>IF($X$49="WEEKS","",IF($Z62="Manual Entry hrs/wk","",IF($X$49&gt;'FORMULA REFS'!AZ$1,$Z62,"")))</f>
        <v/>
      </c>
      <c r="CG62" s="113"/>
      <c r="CH62" s="349" t="str">
        <f t="shared" si="16"/>
        <v/>
      </c>
      <c r="CI62" s="349">
        <f>IFERROR((_xlfn.XLOOKUP($M62,'Standard Rate Cards'!D:D,'Standard Rate Cards'!E:E))*Y62,0)</f>
        <v>0</v>
      </c>
      <c r="CJ62" s="349">
        <f>IF(CL62&lt;&gt;"","",IF($D$16="Select Type","Select Margin Class",IFERROR(IF($M62="",0,IF($D$16="Client Custom Rates",0,IF($D$16="Standard Rates",_xlfn.XLOOKUP($M62,'Standard Rate Cards'!$D:$D,'Standard Rate Cards'!G:G)))),0)))</f>
        <v>0</v>
      </c>
      <c r="CK62" s="349" cm="1">
        <f t="array" ref="CK62">IF(CL62&lt;&gt;"","",IFERROR(IF($D$16&lt;&gt;"Client Custom Rates",0,INDEX('Client Rate Cards'!E:E,MATCH(1,('Client Rate Cards'!B:B='2. Pricing &amp; Import'!$D$17)*('Client Rate Cards'!D:D='2. Pricing &amp; Import'!N62),0))),0))</f>
        <v>0</v>
      </c>
      <c r="CL62" s="350"/>
    </row>
    <row r="63" spans="3:90" ht="16.05" customHeight="1" x14ac:dyDescent="0.3">
      <c r="C63" s="346"/>
      <c r="D63" s="495"/>
      <c r="E63" s="346"/>
      <c r="F63" s="346" t="str">
        <f>IFERROR(_xlfn.XLOOKUP(E63,'Standard Rate Cards'!$BB$11:$BB$23,'Standard Rate Cards'!$BA$11:$BA$23),"")</f>
        <v/>
      </c>
      <c r="G63" s="346"/>
      <c r="H63" s="346" t="str">
        <f>IFERROR(_xlfn.XLOOKUP(G63,'Standard Rate Cards'!$AP$8:$AP$142,'Standard Rate Cards'!$AQ$8:$AQ$142),"")</f>
        <v/>
      </c>
      <c r="I63" s="346"/>
      <c r="J63" s="346"/>
      <c r="K63" s="496"/>
      <c r="L63" s="496" t="str">
        <f t="shared" si="13"/>
        <v xml:space="preserve"> </v>
      </c>
      <c r="M63" s="496" t="str" cm="1">
        <f t="array" ref="M63">IF(ISBLANK(D63),"",IF(D63&lt;&gt;"CrederaUS",INDEX('Standard Rate Cards'!$D$9:$D$433,MATCH(1,('Standard Rate Cards'!$B$9:$B$433='2. Pricing &amp; Import'!D63)*('Standard Rate Cards'!$C$9:$C$433='2. Pricing &amp; Import'!K63),0)),INDEX('Standard Rate Cards'!$D$9:$D$433,MATCH(1,('Standard Rate Cards'!$B$9:$B$433='2. Pricing &amp; Import'!D63)*('Standard Rate Cards'!$C$9:$C$433='2. Pricing &amp; Import'!K63)*('Standard Rate Cards'!$H$9:$H$433=L63),0))))</f>
        <v/>
      </c>
      <c r="N63" s="347"/>
      <c r="O63" s="110" t="str">
        <f>IF(ISBLANK(K63)," ",_xlfn.XLOOKUP(K63,'Standard Rate Cards'!C:C,'Standard Rate Cards'!H:H))</f>
        <v xml:space="preserve"> </v>
      </c>
      <c r="P63" s="246" t="str">
        <f>IF(ISBLANK($K63)," ",_xlfn.XLOOKUP($K63,'Standard Rate Cards'!C:C,'Standard Rate Cards'!F:F))</f>
        <v xml:space="preserve"> </v>
      </c>
      <c r="Q63" s="348"/>
      <c r="R63" s="250"/>
      <c r="S63" s="680"/>
      <c r="T63" s="681"/>
      <c r="U63" s="1637"/>
      <c r="V63" s="1638"/>
      <c r="W63" s="681"/>
      <c r="X63" s="681" t="str">
        <f t="shared" si="17"/>
        <v/>
      </c>
      <c r="Y63" s="682" t="str">
        <f t="shared" si="18"/>
        <v/>
      </c>
      <c r="Z63" s="1630" t="s">
        <v>309</v>
      </c>
      <c r="AA63" s="1631"/>
      <c r="AG63" s="497" t="str">
        <f>IF($X$49="WEEKS","",IF($Z63="Manual Entry hrs/wk","",IF($X$49&gt;'FORMULA REFS'!A$1,$Z63,"")))</f>
        <v/>
      </c>
      <c r="AH63" s="497" t="str">
        <f>IF($X$49="WEEKS","",IF($Z63="Manual Entry hrs/wk","",IF($X$49&gt;'FORMULA REFS'!B$1,$Z63,"")))</f>
        <v/>
      </c>
      <c r="AI63" s="497" t="str">
        <f>IF($X$49="WEEKS","",IF($Z63="Manual Entry hrs/wk","",IF($X$49&gt;'FORMULA REFS'!C$1,$Z63,"")))</f>
        <v/>
      </c>
      <c r="AJ63" s="497" t="str">
        <f>IF($X$49="WEEKS","",IF($Z63="Manual Entry hrs/wk","",IF($X$49&gt;'FORMULA REFS'!D$1,$Z63,"")))</f>
        <v/>
      </c>
      <c r="AK63" s="497" t="str">
        <f>IF($X$49="WEEKS","",IF($Z63="Manual Entry hrs/wk","",IF($X$49&gt;'FORMULA REFS'!E$1,$Z63,"")))</f>
        <v/>
      </c>
      <c r="AL63" s="497" t="str">
        <f>IF($X$49="WEEKS","",IF($Z63="Manual Entry hrs/wk","",IF($X$49&gt;'FORMULA REFS'!F$1,$Z63,"")))</f>
        <v/>
      </c>
      <c r="AM63" s="497" t="str">
        <f>IF($X$49="WEEKS","",IF($Z63="Manual Entry hrs/wk","",IF($X$49&gt;'FORMULA REFS'!G$1,$Z63,"")))</f>
        <v/>
      </c>
      <c r="AN63" s="497" t="str">
        <f>IF($X$49="WEEKS","",IF($Z63="Manual Entry hrs/wk","",IF($X$49&gt;'FORMULA REFS'!H$1,$Z63,"")))</f>
        <v/>
      </c>
      <c r="AO63" s="497" t="str">
        <f>IF($X$49="WEEKS","",IF($Z63="Manual Entry hrs/wk","",IF($X$49&gt;'FORMULA REFS'!I$1,$Z63,"")))</f>
        <v/>
      </c>
      <c r="AP63" s="497" t="str">
        <f>IF($X$49="WEEKS","",IF($Z63="Manual Entry hrs/wk","",IF($X$49&gt;'FORMULA REFS'!J$1,$Z63,"")))</f>
        <v/>
      </c>
      <c r="AQ63" s="497" t="str">
        <f>IF($X$49="WEEKS","",IF($Z63="Manual Entry hrs/wk","",IF($X$49&gt;'FORMULA REFS'!K$1,$Z63,"")))</f>
        <v/>
      </c>
      <c r="AR63" s="497" t="str">
        <f>IF($X$49="WEEKS","",IF($Z63="Manual Entry hrs/wk","",IF($X$49&gt;'FORMULA REFS'!L$1,$Z63,"")))</f>
        <v/>
      </c>
      <c r="AS63" s="497" t="str">
        <f>IF($X$49="WEEKS","",IF($Z63="Manual Entry hrs/wk","",IF($X$49&gt;'FORMULA REFS'!M$1,$Z63,"")))</f>
        <v/>
      </c>
      <c r="AT63" s="497" t="str">
        <f>IF($X$49="WEEKS","",IF($Z63="Manual Entry hrs/wk","",IF($X$49&gt;'FORMULA REFS'!N$1,$Z63,"")))</f>
        <v/>
      </c>
      <c r="AU63" s="497" t="str">
        <f>IF($X$49="WEEKS","",IF($Z63="Manual Entry hrs/wk","",IF($X$49&gt;'FORMULA REFS'!O$1,$Z63,"")))</f>
        <v/>
      </c>
      <c r="AV63" s="497" t="str">
        <f>IF($X$49="WEEKS","",IF($Z63="Manual Entry hrs/wk","",IF($X$49&gt;'FORMULA REFS'!P$1,$Z63,"")))</f>
        <v/>
      </c>
      <c r="AW63" s="497" t="str">
        <f>IF($X$49="WEEKS","",IF($Z63="Manual Entry hrs/wk","",IF($X$49&gt;'FORMULA REFS'!Q$1,$Z63,"")))</f>
        <v/>
      </c>
      <c r="AX63" s="497" t="str">
        <f>IF($X$49="WEEKS","",IF($Z63="Manual Entry hrs/wk","",IF($X$49&gt;'FORMULA REFS'!R$1,$Z63,"")))</f>
        <v/>
      </c>
      <c r="AY63" s="497" t="str">
        <f>IF($X$49="WEEKS","",IF($Z63="Manual Entry hrs/wk","",IF($X$49&gt;'FORMULA REFS'!S$1,$Z63,"")))</f>
        <v/>
      </c>
      <c r="AZ63" s="497" t="str">
        <f>IF($X$49="WEEKS","",IF($Z63="Manual Entry hrs/wk","",IF($X$49&gt;'FORMULA REFS'!T$1,$Z63,"")))</f>
        <v/>
      </c>
      <c r="BA63" s="497" t="str">
        <f>IF($X$49="WEEKS","",IF($Z63="Manual Entry hrs/wk","",IF($X$49&gt;'FORMULA REFS'!U$1,$Z63,"")))</f>
        <v/>
      </c>
      <c r="BB63" s="497" t="str">
        <f>IF($X$49="WEEKS","",IF($Z63="Manual Entry hrs/wk","",IF($X$49&gt;'FORMULA REFS'!V$1,$Z63,"")))</f>
        <v/>
      </c>
      <c r="BC63" s="497" t="str">
        <f>IF($X$49="WEEKS","",IF($Z63="Manual Entry hrs/wk","",IF($X$49&gt;'FORMULA REFS'!W$1,$Z63,"")))</f>
        <v/>
      </c>
      <c r="BD63" s="497" t="str">
        <f>IF($X$49="WEEKS","",IF($Z63="Manual Entry hrs/wk","",IF($X$49&gt;'FORMULA REFS'!X$1,$Z63,"")))</f>
        <v/>
      </c>
      <c r="BE63" s="497" t="str">
        <f>IF($X$49="WEEKS","",IF($Z63="Manual Entry hrs/wk","",IF($X$49&gt;'FORMULA REFS'!Y$1,$Z63,"")))</f>
        <v/>
      </c>
      <c r="BF63" s="497" t="str">
        <f>IF($X$49="WEEKS","",IF($Z63="Manual Entry hrs/wk","",IF($X$49&gt;'FORMULA REFS'!Z$1,$Z63,"")))</f>
        <v/>
      </c>
      <c r="BG63" s="497" t="str">
        <f>IF($X$49="WEEKS","",IF($Z63="Manual Entry hrs/wk","",IF($X$49&gt;'FORMULA REFS'!AA$1,$Z63,"")))</f>
        <v/>
      </c>
      <c r="BH63" s="497" t="str">
        <f>IF($X$49="WEEKS","",IF($Z63="Manual Entry hrs/wk","",IF($X$49&gt;'FORMULA REFS'!AB$1,$Z63,"")))</f>
        <v/>
      </c>
      <c r="BI63" s="497" t="str">
        <f>IF($X$49="WEEKS","",IF($Z63="Manual Entry hrs/wk","",IF($X$49&gt;'FORMULA REFS'!AC$1,$Z63,"")))</f>
        <v/>
      </c>
      <c r="BJ63" s="497" t="str">
        <f>IF($X$49="WEEKS","",IF($Z63="Manual Entry hrs/wk","",IF($X$49&gt;'FORMULA REFS'!AD$1,$Z63,"")))</f>
        <v/>
      </c>
      <c r="BK63" s="497" t="str">
        <f>IF($X$49="WEEKS","",IF($Z63="Manual Entry hrs/wk","",IF($X$49&gt;'FORMULA REFS'!AE$1,$Z63,"")))</f>
        <v/>
      </c>
      <c r="BL63" s="497" t="str">
        <f>IF($X$49="WEEKS","",IF($Z63="Manual Entry hrs/wk","",IF($X$49&gt;'FORMULA REFS'!AF$1,$Z63,"")))</f>
        <v/>
      </c>
      <c r="BM63" s="497" t="str">
        <f>IF($X$49="WEEKS","",IF($Z63="Manual Entry hrs/wk","",IF($X$49&gt;'FORMULA REFS'!AG$1,$Z63,"")))</f>
        <v/>
      </c>
      <c r="BN63" s="497" t="str">
        <f>IF($X$49="WEEKS","",IF($Z63="Manual Entry hrs/wk","",IF($X$49&gt;'FORMULA REFS'!AH$1,$Z63,"")))</f>
        <v/>
      </c>
      <c r="BO63" s="497" t="str">
        <f>IF($X$49="WEEKS","",IF($Z63="Manual Entry hrs/wk","",IF($X$49&gt;'FORMULA REFS'!AI$1,$Z63,"")))</f>
        <v/>
      </c>
      <c r="BP63" s="497" t="str">
        <f>IF($X$49="WEEKS","",IF($Z63="Manual Entry hrs/wk","",IF($X$49&gt;'FORMULA REFS'!AJ$1,$Z63,"")))</f>
        <v/>
      </c>
      <c r="BQ63" s="497" t="str">
        <f>IF($X$49="WEEKS","",IF($Z63="Manual Entry hrs/wk","",IF($X$49&gt;'FORMULA REFS'!AK$1,$Z63,"")))</f>
        <v/>
      </c>
      <c r="BR63" s="497" t="str">
        <f>IF($X$49="WEEKS","",IF($Z63="Manual Entry hrs/wk","",IF($X$49&gt;'FORMULA REFS'!AL$1,$Z63,"")))</f>
        <v/>
      </c>
      <c r="BS63" s="497" t="str">
        <f>IF($X$49="WEEKS","",IF($Z63="Manual Entry hrs/wk","",IF($X$49&gt;'FORMULA REFS'!AM$1,$Z63,"")))</f>
        <v/>
      </c>
      <c r="BT63" s="497" t="str">
        <f>IF($X$49="WEEKS","",IF($Z63="Manual Entry hrs/wk","",IF($X$49&gt;'FORMULA REFS'!AN$1,$Z63,"")))</f>
        <v/>
      </c>
      <c r="BU63" s="497" t="str">
        <f>IF($X$49="WEEKS","",IF($Z63="Manual Entry hrs/wk","",IF($X$49&gt;'FORMULA REFS'!AO$1,$Z63,"")))</f>
        <v/>
      </c>
      <c r="BV63" s="497" t="str">
        <f>IF($X$49="WEEKS","",IF($Z63="Manual Entry hrs/wk","",IF($X$49&gt;'FORMULA REFS'!AP$1,$Z63,"")))</f>
        <v/>
      </c>
      <c r="BW63" s="497" t="str">
        <f>IF($X$49="WEEKS","",IF($Z63="Manual Entry hrs/wk","",IF($X$49&gt;'FORMULA REFS'!AQ$1,$Z63,"")))</f>
        <v/>
      </c>
      <c r="BX63" s="497" t="str">
        <f>IF($X$49="WEEKS","",IF($Z63="Manual Entry hrs/wk","",IF($X$49&gt;'FORMULA REFS'!AR$1,$Z63,"")))</f>
        <v/>
      </c>
      <c r="BY63" s="497" t="str">
        <f>IF($X$49="WEEKS","",IF($Z63="Manual Entry hrs/wk","",IF($X$49&gt;'FORMULA REFS'!AS$1,$Z63,"")))</f>
        <v/>
      </c>
      <c r="BZ63" s="497" t="str">
        <f>IF($X$49="WEEKS","",IF($Z63="Manual Entry hrs/wk","",IF($X$49&gt;'FORMULA REFS'!AT$1,$Z63,"")))</f>
        <v/>
      </c>
      <c r="CA63" s="497" t="str">
        <f>IF($X$49="WEEKS","",IF($Z63="Manual Entry hrs/wk","",IF($X$49&gt;'FORMULA REFS'!AU$1,$Z63,"")))</f>
        <v/>
      </c>
      <c r="CB63" s="497" t="str">
        <f>IF($X$49="WEEKS","",IF($Z63="Manual Entry hrs/wk","",IF($X$49&gt;'FORMULA REFS'!AV$1,$Z63,"")))</f>
        <v/>
      </c>
      <c r="CC63" s="497" t="str">
        <f>IF($X$49="WEEKS","",IF($Z63="Manual Entry hrs/wk","",IF($X$49&gt;'FORMULA REFS'!AW$1,$Z63,"")))</f>
        <v/>
      </c>
      <c r="CD63" s="497" t="str">
        <f>IF($X$49="WEEKS","",IF($Z63="Manual Entry hrs/wk","",IF($X$49&gt;'FORMULA REFS'!AX$1,$Z63,"")))</f>
        <v/>
      </c>
      <c r="CE63" s="497" t="str">
        <f>IF($X$49="WEEKS","",IF($Z63="Manual Entry hrs/wk","",IF($X$49&gt;'FORMULA REFS'!AY$1,$Z63,"")))</f>
        <v/>
      </c>
      <c r="CF63" s="497" t="str">
        <f>IF($X$49="WEEKS","",IF($Z63="Manual Entry hrs/wk","",IF($X$49&gt;'FORMULA REFS'!AZ$1,$Z63,"")))</f>
        <v/>
      </c>
      <c r="CG63" s="113"/>
      <c r="CH63" s="349" t="str">
        <f t="shared" si="16"/>
        <v/>
      </c>
      <c r="CI63" s="349">
        <f>IFERROR((_xlfn.XLOOKUP($M63,'Standard Rate Cards'!D:D,'Standard Rate Cards'!E:E))*Y63,0)</f>
        <v>0</v>
      </c>
      <c r="CJ63" s="349">
        <f>IF(CL63&lt;&gt;"","",IF($D$16="Select Type","Select Margin Class",IFERROR(IF($M63="",0,IF($D$16="Client Custom Rates",0,IF($D$16="Standard Rates",_xlfn.XLOOKUP($M63,'Standard Rate Cards'!$D:$D,'Standard Rate Cards'!G:G)))),0)))</f>
        <v>0</v>
      </c>
      <c r="CK63" s="349" cm="1">
        <f t="array" ref="CK63">IF(CL63&lt;&gt;"","",IFERROR(IF($D$16&lt;&gt;"Client Custom Rates",0,INDEX('Client Rate Cards'!E:E,MATCH(1,('Client Rate Cards'!B:B='2. Pricing &amp; Import'!$D$17)*('Client Rate Cards'!D:D='2. Pricing &amp; Import'!N63),0))),0))</f>
        <v>0</v>
      </c>
      <c r="CL63" s="350"/>
    </row>
    <row r="64" spans="3:90" ht="16.05" customHeight="1" x14ac:dyDescent="0.3">
      <c r="C64" s="346"/>
      <c r="D64" s="495"/>
      <c r="E64" s="346"/>
      <c r="F64" s="346" t="str">
        <f>IFERROR(_xlfn.XLOOKUP(E64,'Standard Rate Cards'!$BB$11:$BB$23,'Standard Rate Cards'!$BA$11:$BA$23),"")</f>
        <v/>
      </c>
      <c r="G64" s="346"/>
      <c r="H64" s="346" t="str">
        <f>IFERROR(_xlfn.XLOOKUP(G64,'Standard Rate Cards'!$AP$8:$AP$142,'Standard Rate Cards'!$AQ$8:$AQ$142),"")</f>
        <v/>
      </c>
      <c r="I64" s="346"/>
      <c r="J64" s="346"/>
      <c r="K64" s="496"/>
      <c r="L64" s="496" t="str">
        <f t="shared" si="13"/>
        <v xml:space="preserve"> </v>
      </c>
      <c r="M64" s="496" t="str" cm="1">
        <f t="array" ref="M64">IF(ISBLANK(D64),"",IF(D64&lt;&gt;"CrederaUS",INDEX('Standard Rate Cards'!$D$9:$D$433,MATCH(1,('Standard Rate Cards'!$B$9:$B$433='2. Pricing &amp; Import'!D64)*('Standard Rate Cards'!$C$9:$C$433='2. Pricing &amp; Import'!K64),0)),INDEX('Standard Rate Cards'!$D$9:$D$433,MATCH(1,('Standard Rate Cards'!$B$9:$B$433='2. Pricing &amp; Import'!D64)*('Standard Rate Cards'!$C$9:$C$433='2. Pricing &amp; Import'!K64)*('Standard Rate Cards'!$H$9:$H$433=L64),0))))</f>
        <v/>
      </c>
      <c r="N64" s="347"/>
      <c r="O64" s="110" t="str">
        <f>IF(ISBLANK(K64)," ",_xlfn.XLOOKUP(K64,'Standard Rate Cards'!C:C,'Standard Rate Cards'!H:H))</f>
        <v xml:space="preserve"> </v>
      </c>
      <c r="P64" s="246" t="str">
        <f>IF(ISBLANK($K64)," ",_xlfn.XLOOKUP($K64,'Standard Rate Cards'!C:C,'Standard Rate Cards'!F:F))</f>
        <v xml:space="preserve"> </v>
      </c>
      <c r="Q64" s="348"/>
      <c r="R64" s="250"/>
      <c r="S64" s="680"/>
      <c r="T64" s="681"/>
      <c r="U64" s="1637"/>
      <c r="V64" s="1638"/>
      <c r="W64" s="681"/>
      <c r="X64" s="681" t="str">
        <f t="shared" si="17"/>
        <v/>
      </c>
      <c r="Y64" s="682" t="str">
        <f t="shared" si="18"/>
        <v/>
      </c>
      <c r="Z64" s="1630" t="s">
        <v>309</v>
      </c>
      <c r="AA64" s="1631"/>
      <c r="AG64" s="497" t="str">
        <f>IF($X$49="WEEKS","",IF($Z64="Manual Entry hrs/wk","",IF($X$49&gt;'FORMULA REFS'!A$1,$Z64,"")))</f>
        <v/>
      </c>
      <c r="AH64" s="497" t="str">
        <f>IF($X$49="WEEKS","",IF($Z64="Manual Entry hrs/wk","",IF($X$49&gt;'FORMULA REFS'!B$1,$Z64,"")))</f>
        <v/>
      </c>
      <c r="AI64" s="497" t="str">
        <f>IF($X$49="WEEKS","",IF($Z64="Manual Entry hrs/wk","",IF($X$49&gt;'FORMULA REFS'!C$1,$Z64,"")))</f>
        <v/>
      </c>
      <c r="AJ64" s="497" t="str">
        <f>IF($X$49="WEEKS","",IF($Z64="Manual Entry hrs/wk","",IF($X$49&gt;'FORMULA REFS'!D$1,$Z64,"")))</f>
        <v/>
      </c>
      <c r="AK64" s="497" t="str">
        <f>IF($X$49="WEEKS","",IF($Z64="Manual Entry hrs/wk","",IF($X$49&gt;'FORMULA REFS'!E$1,$Z64,"")))</f>
        <v/>
      </c>
      <c r="AL64" s="497" t="str">
        <f>IF($X$49="WEEKS","",IF($Z64="Manual Entry hrs/wk","",IF($X$49&gt;'FORMULA REFS'!F$1,$Z64,"")))</f>
        <v/>
      </c>
      <c r="AM64" s="497" t="str">
        <f>IF($X$49="WEEKS","",IF($Z64="Manual Entry hrs/wk","",IF($X$49&gt;'FORMULA REFS'!G$1,$Z64,"")))</f>
        <v/>
      </c>
      <c r="AN64" s="497" t="str">
        <f>IF($X$49="WEEKS","",IF($Z64="Manual Entry hrs/wk","",IF($X$49&gt;'FORMULA REFS'!H$1,$Z64,"")))</f>
        <v/>
      </c>
      <c r="AO64" s="497" t="str">
        <f>IF($X$49="WEEKS","",IF($Z64="Manual Entry hrs/wk","",IF($X$49&gt;'FORMULA REFS'!I$1,$Z64,"")))</f>
        <v/>
      </c>
      <c r="AP64" s="497" t="str">
        <f>IF($X$49="WEEKS","",IF($Z64="Manual Entry hrs/wk","",IF($X$49&gt;'FORMULA REFS'!J$1,$Z64,"")))</f>
        <v/>
      </c>
      <c r="AQ64" s="497" t="str">
        <f>IF($X$49="WEEKS","",IF($Z64="Manual Entry hrs/wk","",IF($X$49&gt;'FORMULA REFS'!K$1,$Z64,"")))</f>
        <v/>
      </c>
      <c r="AR64" s="497" t="str">
        <f>IF($X$49="WEEKS","",IF($Z64="Manual Entry hrs/wk","",IF($X$49&gt;'FORMULA REFS'!L$1,$Z64,"")))</f>
        <v/>
      </c>
      <c r="AS64" s="497" t="str">
        <f>IF($X$49="WEEKS","",IF($Z64="Manual Entry hrs/wk","",IF($X$49&gt;'FORMULA REFS'!M$1,$Z64,"")))</f>
        <v/>
      </c>
      <c r="AT64" s="497" t="str">
        <f>IF($X$49="WEEKS","",IF($Z64="Manual Entry hrs/wk","",IF($X$49&gt;'FORMULA REFS'!N$1,$Z64,"")))</f>
        <v/>
      </c>
      <c r="AU64" s="497" t="str">
        <f>IF($X$49="WEEKS","",IF($Z64="Manual Entry hrs/wk","",IF($X$49&gt;'FORMULA REFS'!O$1,$Z64,"")))</f>
        <v/>
      </c>
      <c r="AV64" s="497" t="str">
        <f>IF($X$49="WEEKS","",IF($Z64="Manual Entry hrs/wk","",IF($X$49&gt;'FORMULA REFS'!P$1,$Z64,"")))</f>
        <v/>
      </c>
      <c r="AW64" s="497" t="str">
        <f>IF($X$49="WEEKS","",IF($Z64="Manual Entry hrs/wk","",IF($X$49&gt;'FORMULA REFS'!Q$1,$Z64,"")))</f>
        <v/>
      </c>
      <c r="AX64" s="497" t="str">
        <f>IF($X$49="WEEKS","",IF($Z64="Manual Entry hrs/wk","",IF($X$49&gt;'FORMULA REFS'!R$1,$Z64,"")))</f>
        <v/>
      </c>
      <c r="AY64" s="497" t="str">
        <f>IF($X$49="WEEKS","",IF($Z64="Manual Entry hrs/wk","",IF($X$49&gt;'FORMULA REFS'!S$1,$Z64,"")))</f>
        <v/>
      </c>
      <c r="AZ64" s="497" t="str">
        <f>IF($X$49="WEEKS","",IF($Z64="Manual Entry hrs/wk","",IF($X$49&gt;'FORMULA REFS'!T$1,$Z64,"")))</f>
        <v/>
      </c>
      <c r="BA64" s="497" t="str">
        <f>IF($X$49="WEEKS","",IF($Z64="Manual Entry hrs/wk","",IF($X$49&gt;'FORMULA REFS'!U$1,$Z64,"")))</f>
        <v/>
      </c>
      <c r="BB64" s="497" t="str">
        <f>IF($X$49="WEEKS","",IF($Z64="Manual Entry hrs/wk","",IF($X$49&gt;'FORMULA REFS'!V$1,$Z64,"")))</f>
        <v/>
      </c>
      <c r="BC64" s="497" t="str">
        <f>IF($X$49="WEEKS","",IF($Z64="Manual Entry hrs/wk","",IF($X$49&gt;'FORMULA REFS'!W$1,$Z64,"")))</f>
        <v/>
      </c>
      <c r="BD64" s="497" t="str">
        <f>IF($X$49="WEEKS","",IF($Z64="Manual Entry hrs/wk","",IF($X$49&gt;'FORMULA REFS'!X$1,$Z64,"")))</f>
        <v/>
      </c>
      <c r="BE64" s="497" t="str">
        <f>IF($X$49="WEEKS","",IF($Z64="Manual Entry hrs/wk","",IF($X$49&gt;'FORMULA REFS'!Y$1,$Z64,"")))</f>
        <v/>
      </c>
      <c r="BF64" s="497" t="str">
        <f>IF($X$49="WEEKS","",IF($Z64="Manual Entry hrs/wk","",IF($X$49&gt;'FORMULA REFS'!Z$1,$Z64,"")))</f>
        <v/>
      </c>
      <c r="BG64" s="497" t="str">
        <f>IF($X$49="WEEKS","",IF($Z64="Manual Entry hrs/wk","",IF($X$49&gt;'FORMULA REFS'!AA$1,$Z64,"")))</f>
        <v/>
      </c>
      <c r="BH64" s="497" t="str">
        <f>IF($X$49="WEEKS","",IF($Z64="Manual Entry hrs/wk","",IF($X$49&gt;'FORMULA REFS'!AB$1,$Z64,"")))</f>
        <v/>
      </c>
      <c r="BI64" s="497" t="str">
        <f>IF($X$49="WEEKS","",IF($Z64="Manual Entry hrs/wk","",IF($X$49&gt;'FORMULA REFS'!AC$1,$Z64,"")))</f>
        <v/>
      </c>
      <c r="BJ64" s="497" t="str">
        <f>IF($X$49="WEEKS","",IF($Z64="Manual Entry hrs/wk","",IF($X$49&gt;'FORMULA REFS'!AD$1,$Z64,"")))</f>
        <v/>
      </c>
      <c r="BK64" s="497" t="str">
        <f>IF($X$49="WEEKS","",IF($Z64="Manual Entry hrs/wk","",IF($X$49&gt;'FORMULA REFS'!AE$1,$Z64,"")))</f>
        <v/>
      </c>
      <c r="BL64" s="497" t="str">
        <f>IF($X$49="WEEKS","",IF($Z64="Manual Entry hrs/wk","",IF($X$49&gt;'FORMULA REFS'!AF$1,$Z64,"")))</f>
        <v/>
      </c>
      <c r="BM64" s="497" t="str">
        <f>IF($X$49="WEEKS","",IF($Z64="Manual Entry hrs/wk","",IF($X$49&gt;'FORMULA REFS'!AG$1,$Z64,"")))</f>
        <v/>
      </c>
      <c r="BN64" s="497" t="str">
        <f>IF($X$49="WEEKS","",IF($Z64="Manual Entry hrs/wk","",IF($X$49&gt;'FORMULA REFS'!AH$1,$Z64,"")))</f>
        <v/>
      </c>
      <c r="BO64" s="497" t="str">
        <f>IF($X$49="WEEKS","",IF($Z64="Manual Entry hrs/wk","",IF($X$49&gt;'FORMULA REFS'!AI$1,$Z64,"")))</f>
        <v/>
      </c>
      <c r="BP64" s="497" t="str">
        <f>IF($X$49="WEEKS","",IF($Z64="Manual Entry hrs/wk","",IF($X$49&gt;'FORMULA REFS'!AJ$1,$Z64,"")))</f>
        <v/>
      </c>
      <c r="BQ64" s="497" t="str">
        <f>IF($X$49="WEEKS","",IF($Z64="Manual Entry hrs/wk","",IF($X$49&gt;'FORMULA REFS'!AK$1,$Z64,"")))</f>
        <v/>
      </c>
      <c r="BR64" s="497" t="str">
        <f>IF($X$49="WEEKS","",IF($Z64="Manual Entry hrs/wk","",IF($X$49&gt;'FORMULA REFS'!AL$1,$Z64,"")))</f>
        <v/>
      </c>
      <c r="BS64" s="497" t="str">
        <f>IF($X$49="WEEKS","",IF($Z64="Manual Entry hrs/wk","",IF($X$49&gt;'FORMULA REFS'!AM$1,$Z64,"")))</f>
        <v/>
      </c>
      <c r="BT64" s="497" t="str">
        <f>IF($X$49="WEEKS","",IF($Z64="Manual Entry hrs/wk","",IF($X$49&gt;'FORMULA REFS'!AN$1,$Z64,"")))</f>
        <v/>
      </c>
      <c r="BU64" s="497" t="str">
        <f>IF($X$49="WEEKS","",IF($Z64="Manual Entry hrs/wk","",IF($X$49&gt;'FORMULA REFS'!AO$1,$Z64,"")))</f>
        <v/>
      </c>
      <c r="BV64" s="497" t="str">
        <f>IF($X$49="WEEKS","",IF($Z64="Manual Entry hrs/wk","",IF($X$49&gt;'FORMULA REFS'!AP$1,$Z64,"")))</f>
        <v/>
      </c>
      <c r="BW64" s="497" t="str">
        <f>IF($X$49="WEEKS","",IF($Z64="Manual Entry hrs/wk","",IF($X$49&gt;'FORMULA REFS'!AQ$1,$Z64,"")))</f>
        <v/>
      </c>
      <c r="BX64" s="497" t="str">
        <f>IF($X$49="WEEKS","",IF($Z64="Manual Entry hrs/wk","",IF($X$49&gt;'FORMULA REFS'!AR$1,$Z64,"")))</f>
        <v/>
      </c>
      <c r="BY64" s="497" t="str">
        <f>IF($X$49="WEEKS","",IF($Z64="Manual Entry hrs/wk","",IF($X$49&gt;'FORMULA REFS'!AS$1,$Z64,"")))</f>
        <v/>
      </c>
      <c r="BZ64" s="497" t="str">
        <f>IF($X$49="WEEKS","",IF($Z64="Manual Entry hrs/wk","",IF($X$49&gt;'FORMULA REFS'!AT$1,$Z64,"")))</f>
        <v/>
      </c>
      <c r="CA64" s="497" t="str">
        <f>IF($X$49="WEEKS","",IF($Z64="Manual Entry hrs/wk","",IF($X$49&gt;'FORMULA REFS'!AU$1,$Z64,"")))</f>
        <v/>
      </c>
      <c r="CB64" s="497" t="str">
        <f>IF($X$49="WEEKS","",IF($Z64="Manual Entry hrs/wk","",IF($X$49&gt;'FORMULA REFS'!AV$1,$Z64,"")))</f>
        <v/>
      </c>
      <c r="CC64" s="497" t="str">
        <f>IF($X$49="WEEKS","",IF($Z64="Manual Entry hrs/wk","",IF($X$49&gt;'FORMULA REFS'!AW$1,$Z64,"")))</f>
        <v/>
      </c>
      <c r="CD64" s="497" t="str">
        <f>IF($X$49="WEEKS","",IF($Z64="Manual Entry hrs/wk","",IF($X$49&gt;'FORMULA REFS'!AX$1,$Z64,"")))</f>
        <v/>
      </c>
      <c r="CE64" s="497" t="str">
        <f>IF($X$49="WEEKS","",IF($Z64="Manual Entry hrs/wk","",IF($X$49&gt;'FORMULA REFS'!AY$1,$Z64,"")))</f>
        <v/>
      </c>
      <c r="CF64" s="497" t="str">
        <f>IF($X$49="WEEKS","",IF($Z64="Manual Entry hrs/wk","",IF($X$49&gt;'FORMULA REFS'!AZ$1,$Z64,"")))</f>
        <v/>
      </c>
      <c r="CG64" s="113"/>
      <c r="CH64" s="349" t="str">
        <f t="shared" si="16"/>
        <v/>
      </c>
      <c r="CI64" s="349">
        <f>IFERROR((_xlfn.XLOOKUP($M64,'Standard Rate Cards'!D:D,'Standard Rate Cards'!E:E))*Y64,0)</f>
        <v>0</v>
      </c>
      <c r="CJ64" s="349">
        <f>IF(CL64&lt;&gt;"","",IF($D$16="Select Type","Select Margin Class",IFERROR(IF($M64="",0,IF($D$16="Client Custom Rates",0,IF($D$16="Standard Rates",_xlfn.XLOOKUP($M64,'Standard Rate Cards'!$D:$D,'Standard Rate Cards'!G:G)))),0)))</f>
        <v>0</v>
      </c>
      <c r="CK64" s="349" cm="1">
        <f t="array" ref="CK64">IF(CL64&lt;&gt;"","",IFERROR(IF($D$16&lt;&gt;"Client Custom Rates",0,INDEX('Client Rate Cards'!E:E,MATCH(1,('Client Rate Cards'!B:B='2. Pricing &amp; Import'!$D$17)*('Client Rate Cards'!D:D='2. Pricing &amp; Import'!N64),0))),0))</f>
        <v>0</v>
      </c>
      <c r="CL64" s="350"/>
    </row>
    <row r="65" spans="3:90" ht="16.05" customHeight="1" x14ac:dyDescent="0.3">
      <c r="C65" s="346"/>
      <c r="D65" s="495"/>
      <c r="E65" s="346"/>
      <c r="F65" s="346" t="str">
        <f>IFERROR(_xlfn.XLOOKUP(E65,'Standard Rate Cards'!$BB$11:$BB$23,'Standard Rate Cards'!$BA$11:$BA$23),"")</f>
        <v/>
      </c>
      <c r="G65" s="346"/>
      <c r="H65" s="346" t="str">
        <f>IFERROR(_xlfn.XLOOKUP(G65,'Standard Rate Cards'!$AP$8:$AP$142,'Standard Rate Cards'!$AQ$8:$AQ$142),"")</f>
        <v/>
      </c>
      <c r="I65" s="346"/>
      <c r="J65" s="346"/>
      <c r="K65" s="496"/>
      <c r="L65" s="496" t="str">
        <f t="shared" si="13"/>
        <v xml:space="preserve"> </v>
      </c>
      <c r="M65" s="496" t="str" cm="1">
        <f t="array" ref="M65">IF(ISBLANK(D65),"",IF(D65&lt;&gt;"CrederaUS",INDEX('Standard Rate Cards'!$D$9:$D$433,MATCH(1,('Standard Rate Cards'!$B$9:$B$433='2. Pricing &amp; Import'!D65)*('Standard Rate Cards'!$C$9:$C$433='2. Pricing &amp; Import'!K65),0)),INDEX('Standard Rate Cards'!$D$9:$D$433,MATCH(1,('Standard Rate Cards'!$B$9:$B$433='2. Pricing &amp; Import'!D65)*('Standard Rate Cards'!$C$9:$C$433='2. Pricing &amp; Import'!K65)*('Standard Rate Cards'!$H$9:$H$433=L65),0))))</f>
        <v/>
      </c>
      <c r="N65" s="347"/>
      <c r="O65" s="110" t="str">
        <f>IF(ISBLANK(K65)," ",_xlfn.XLOOKUP(K65,'Standard Rate Cards'!C:C,'Standard Rate Cards'!H:H))</f>
        <v xml:space="preserve"> </v>
      </c>
      <c r="P65" s="246" t="str">
        <f>IF(ISBLANK($K65)," ",_xlfn.XLOOKUP($K65,'Standard Rate Cards'!C:C,'Standard Rate Cards'!F:F))</f>
        <v xml:space="preserve"> </v>
      </c>
      <c r="Q65" s="348"/>
      <c r="R65" s="250"/>
      <c r="S65" s="680"/>
      <c r="T65" s="681"/>
      <c r="U65" s="1637"/>
      <c r="V65" s="1638"/>
      <c r="W65" s="681"/>
      <c r="X65" s="681" t="str">
        <f t="shared" si="17"/>
        <v/>
      </c>
      <c r="Y65" s="682" t="str">
        <f t="shared" si="18"/>
        <v/>
      </c>
      <c r="Z65" s="1630" t="s">
        <v>309</v>
      </c>
      <c r="AA65" s="1631"/>
      <c r="AG65" s="497" t="str">
        <f>IF($X$49="WEEKS","",IF($Z65="Manual Entry hrs/wk","",IF($X$49&gt;'FORMULA REFS'!A$1,$Z65,"")))</f>
        <v/>
      </c>
      <c r="AH65" s="497" t="str">
        <f>IF($X$49="WEEKS","",IF($Z65="Manual Entry hrs/wk","",IF($X$49&gt;'FORMULA REFS'!B$1,$Z65,"")))</f>
        <v/>
      </c>
      <c r="AI65" s="497" t="str">
        <f>IF($X$49="WEEKS","",IF($Z65="Manual Entry hrs/wk","",IF($X$49&gt;'FORMULA REFS'!C$1,$Z65,"")))</f>
        <v/>
      </c>
      <c r="AJ65" s="497" t="str">
        <f>IF($X$49="WEEKS","",IF($Z65="Manual Entry hrs/wk","",IF($X$49&gt;'FORMULA REFS'!D$1,$Z65,"")))</f>
        <v/>
      </c>
      <c r="AK65" s="497" t="str">
        <f>IF($X$49="WEEKS","",IF($Z65="Manual Entry hrs/wk","",IF($X$49&gt;'FORMULA REFS'!E$1,$Z65,"")))</f>
        <v/>
      </c>
      <c r="AL65" s="497" t="str">
        <f>IF($X$49="WEEKS","",IF($Z65="Manual Entry hrs/wk","",IF($X$49&gt;'FORMULA REFS'!F$1,$Z65,"")))</f>
        <v/>
      </c>
      <c r="AM65" s="497" t="str">
        <f>IF($X$49="WEEKS","",IF($Z65="Manual Entry hrs/wk","",IF($X$49&gt;'FORMULA REFS'!G$1,$Z65,"")))</f>
        <v/>
      </c>
      <c r="AN65" s="497" t="str">
        <f>IF($X$49="WEEKS","",IF($Z65="Manual Entry hrs/wk","",IF($X$49&gt;'FORMULA REFS'!H$1,$Z65,"")))</f>
        <v/>
      </c>
      <c r="AO65" s="497" t="str">
        <f>IF($X$49="WEEKS","",IF($Z65="Manual Entry hrs/wk","",IF($X$49&gt;'FORMULA REFS'!I$1,$Z65,"")))</f>
        <v/>
      </c>
      <c r="AP65" s="497" t="str">
        <f>IF($X$49="WEEKS","",IF($Z65="Manual Entry hrs/wk","",IF($X$49&gt;'FORMULA REFS'!J$1,$Z65,"")))</f>
        <v/>
      </c>
      <c r="AQ65" s="497" t="str">
        <f>IF($X$49="WEEKS","",IF($Z65="Manual Entry hrs/wk","",IF($X$49&gt;'FORMULA REFS'!K$1,$Z65,"")))</f>
        <v/>
      </c>
      <c r="AR65" s="497" t="str">
        <f>IF($X$49="WEEKS","",IF($Z65="Manual Entry hrs/wk","",IF($X$49&gt;'FORMULA REFS'!L$1,$Z65,"")))</f>
        <v/>
      </c>
      <c r="AS65" s="497" t="str">
        <f>IF($X$49="WEEKS","",IF($Z65="Manual Entry hrs/wk","",IF($X$49&gt;'FORMULA REFS'!M$1,$Z65,"")))</f>
        <v/>
      </c>
      <c r="AT65" s="497" t="str">
        <f>IF($X$49="WEEKS","",IF($Z65="Manual Entry hrs/wk","",IF($X$49&gt;'FORMULA REFS'!N$1,$Z65,"")))</f>
        <v/>
      </c>
      <c r="AU65" s="497" t="str">
        <f>IF($X$49="WEEKS","",IF($Z65="Manual Entry hrs/wk","",IF($X$49&gt;'FORMULA REFS'!O$1,$Z65,"")))</f>
        <v/>
      </c>
      <c r="AV65" s="497" t="str">
        <f>IF($X$49="WEEKS","",IF($Z65="Manual Entry hrs/wk","",IF($X$49&gt;'FORMULA REFS'!P$1,$Z65,"")))</f>
        <v/>
      </c>
      <c r="AW65" s="497" t="str">
        <f>IF($X$49="WEEKS","",IF($Z65="Manual Entry hrs/wk","",IF($X$49&gt;'FORMULA REFS'!Q$1,$Z65,"")))</f>
        <v/>
      </c>
      <c r="AX65" s="497" t="str">
        <f>IF($X$49="WEEKS","",IF($Z65="Manual Entry hrs/wk","",IF($X$49&gt;'FORMULA REFS'!R$1,$Z65,"")))</f>
        <v/>
      </c>
      <c r="AY65" s="497" t="str">
        <f>IF($X$49="WEEKS","",IF($Z65="Manual Entry hrs/wk","",IF($X$49&gt;'FORMULA REFS'!S$1,$Z65,"")))</f>
        <v/>
      </c>
      <c r="AZ65" s="497" t="str">
        <f>IF($X$49="WEEKS","",IF($Z65="Manual Entry hrs/wk","",IF($X$49&gt;'FORMULA REFS'!T$1,$Z65,"")))</f>
        <v/>
      </c>
      <c r="BA65" s="497" t="str">
        <f>IF($X$49="WEEKS","",IF($Z65="Manual Entry hrs/wk","",IF($X$49&gt;'FORMULA REFS'!U$1,$Z65,"")))</f>
        <v/>
      </c>
      <c r="BB65" s="497" t="str">
        <f>IF($X$49="WEEKS","",IF($Z65="Manual Entry hrs/wk","",IF($X$49&gt;'FORMULA REFS'!V$1,$Z65,"")))</f>
        <v/>
      </c>
      <c r="BC65" s="497" t="str">
        <f>IF($X$49="WEEKS","",IF($Z65="Manual Entry hrs/wk","",IF($X$49&gt;'FORMULA REFS'!W$1,$Z65,"")))</f>
        <v/>
      </c>
      <c r="BD65" s="497" t="str">
        <f>IF($X$49="WEEKS","",IF($Z65="Manual Entry hrs/wk","",IF($X$49&gt;'FORMULA REFS'!X$1,$Z65,"")))</f>
        <v/>
      </c>
      <c r="BE65" s="497" t="str">
        <f>IF($X$49="WEEKS","",IF($Z65="Manual Entry hrs/wk","",IF($X$49&gt;'FORMULA REFS'!Y$1,$Z65,"")))</f>
        <v/>
      </c>
      <c r="BF65" s="497" t="str">
        <f>IF($X$49="WEEKS","",IF($Z65="Manual Entry hrs/wk","",IF($X$49&gt;'FORMULA REFS'!Z$1,$Z65,"")))</f>
        <v/>
      </c>
      <c r="BG65" s="497" t="str">
        <f>IF($X$49="WEEKS","",IF($Z65="Manual Entry hrs/wk","",IF($X$49&gt;'FORMULA REFS'!AA$1,$Z65,"")))</f>
        <v/>
      </c>
      <c r="BH65" s="497" t="str">
        <f>IF($X$49="WEEKS","",IF($Z65="Manual Entry hrs/wk","",IF($X$49&gt;'FORMULA REFS'!AB$1,$Z65,"")))</f>
        <v/>
      </c>
      <c r="BI65" s="497" t="str">
        <f>IF($X$49="WEEKS","",IF($Z65="Manual Entry hrs/wk","",IF($X$49&gt;'FORMULA REFS'!AC$1,$Z65,"")))</f>
        <v/>
      </c>
      <c r="BJ65" s="497" t="str">
        <f>IF($X$49="WEEKS","",IF($Z65="Manual Entry hrs/wk","",IF($X$49&gt;'FORMULA REFS'!AD$1,$Z65,"")))</f>
        <v/>
      </c>
      <c r="BK65" s="497" t="str">
        <f>IF($X$49="WEEKS","",IF($Z65="Manual Entry hrs/wk","",IF($X$49&gt;'FORMULA REFS'!AE$1,$Z65,"")))</f>
        <v/>
      </c>
      <c r="BL65" s="497" t="str">
        <f>IF($X$49="WEEKS","",IF($Z65="Manual Entry hrs/wk","",IF($X$49&gt;'FORMULA REFS'!AF$1,$Z65,"")))</f>
        <v/>
      </c>
      <c r="BM65" s="497" t="str">
        <f>IF($X$49="WEEKS","",IF($Z65="Manual Entry hrs/wk","",IF($X$49&gt;'FORMULA REFS'!AG$1,$Z65,"")))</f>
        <v/>
      </c>
      <c r="BN65" s="497" t="str">
        <f>IF($X$49="WEEKS","",IF($Z65="Manual Entry hrs/wk","",IF($X$49&gt;'FORMULA REFS'!AH$1,$Z65,"")))</f>
        <v/>
      </c>
      <c r="BO65" s="497" t="str">
        <f>IF($X$49="WEEKS","",IF($Z65="Manual Entry hrs/wk","",IF($X$49&gt;'FORMULA REFS'!AI$1,$Z65,"")))</f>
        <v/>
      </c>
      <c r="BP65" s="497" t="str">
        <f>IF($X$49="WEEKS","",IF($Z65="Manual Entry hrs/wk","",IF($X$49&gt;'FORMULA REFS'!AJ$1,$Z65,"")))</f>
        <v/>
      </c>
      <c r="BQ65" s="497" t="str">
        <f>IF($X$49="WEEKS","",IF($Z65="Manual Entry hrs/wk","",IF($X$49&gt;'FORMULA REFS'!AK$1,$Z65,"")))</f>
        <v/>
      </c>
      <c r="BR65" s="497" t="str">
        <f>IF($X$49="WEEKS","",IF($Z65="Manual Entry hrs/wk","",IF($X$49&gt;'FORMULA REFS'!AL$1,$Z65,"")))</f>
        <v/>
      </c>
      <c r="BS65" s="497" t="str">
        <f>IF($X$49="WEEKS","",IF($Z65="Manual Entry hrs/wk","",IF($X$49&gt;'FORMULA REFS'!AM$1,$Z65,"")))</f>
        <v/>
      </c>
      <c r="BT65" s="497" t="str">
        <f>IF($X$49="WEEKS","",IF($Z65="Manual Entry hrs/wk","",IF($X$49&gt;'FORMULA REFS'!AN$1,$Z65,"")))</f>
        <v/>
      </c>
      <c r="BU65" s="497" t="str">
        <f>IF($X$49="WEEKS","",IF($Z65="Manual Entry hrs/wk","",IF($X$49&gt;'FORMULA REFS'!AO$1,$Z65,"")))</f>
        <v/>
      </c>
      <c r="BV65" s="497" t="str">
        <f>IF($X$49="WEEKS","",IF($Z65="Manual Entry hrs/wk","",IF($X$49&gt;'FORMULA REFS'!AP$1,$Z65,"")))</f>
        <v/>
      </c>
      <c r="BW65" s="497" t="str">
        <f>IF($X$49="WEEKS","",IF($Z65="Manual Entry hrs/wk","",IF($X$49&gt;'FORMULA REFS'!AQ$1,$Z65,"")))</f>
        <v/>
      </c>
      <c r="BX65" s="497" t="str">
        <f>IF($X$49="WEEKS","",IF($Z65="Manual Entry hrs/wk","",IF($X$49&gt;'FORMULA REFS'!AR$1,$Z65,"")))</f>
        <v/>
      </c>
      <c r="BY65" s="497" t="str">
        <f>IF($X$49="WEEKS","",IF($Z65="Manual Entry hrs/wk","",IF($X$49&gt;'FORMULA REFS'!AS$1,$Z65,"")))</f>
        <v/>
      </c>
      <c r="BZ65" s="497" t="str">
        <f>IF($X$49="WEEKS","",IF($Z65="Manual Entry hrs/wk","",IF($X$49&gt;'FORMULA REFS'!AT$1,$Z65,"")))</f>
        <v/>
      </c>
      <c r="CA65" s="497" t="str">
        <f>IF($X$49="WEEKS","",IF($Z65="Manual Entry hrs/wk","",IF($X$49&gt;'FORMULA REFS'!AU$1,$Z65,"")))</f>
        <v/>
      </c>
      <c r="CB65" s="497" t="str">
        <f>IF($X$49="WEEKS","",IF($Z65="Manual Entry hrs/wk","",IF($X$49&gt;'FORMULA REFS'!AV$1,$Z65,"")))</f>
        <v/>
      </c>
      <c r="CC65" s="497" t="str">
        <f>IF($X$49="WEEKS","",IF($Z65="Manual Entry hrs/wk","",IF($X$49&gt;'FORMULA REFS'!AW$1,$Z65,"")))</f>
        <v/>
      </c>
      <c r="CD65" s="497" t="str">
        <f>IF($X$49="WEEKS","",IF($Z65="Manual Entry hrs/wk","",IF($X$49&gt;'FORMULA REFS'!AX$1,$Z65,"")))</f>
        <v/>
      </c>
      <c r="CE65" s="497" t="str">
        <f>IF($X$49="WEEKS","",IF($Z65="Manual Entry hrs/wk","",IF($X$49&gt;'FORMULA REFS'!AY$1,$Z65,"")))</f>
        <v/>
      </c>
      <c r="CF65" s="497" t="str">
        <f>IF($X$49="WEEKS","",IF($Z65="Manual Entry hrs/wk","",IF($X$49&gt;'FORMULA REFS'!AZ$1,$Z65,"")))</f>
        <v/>
      </c>
      <c r="CG65" s="113"/>
      <c r="CH65" s="349" t="str">
        <f t="shared" si="16"/>
        <v/>
      </c>
      <c r="CI65" s="349">
        <f>IFERROR((_xlfn.XLOOKUP($M65,'Standard Rate Cards'!D:D,'Standard Rate Cards'!E:E))*Y65,0)</f>
        <v>0</v>
      </c>
      <c r="CJ65" s="349">
        <f>IF(CL65&lt;&gt;"","",IF($D$16="Select Type","Select Margin Class",IFERROR(IF($M65="",0,IF($D$16="Client Custom Rates",0,IF($D$16="Standard Rates",_xlfn.XLOOKUP($M65,'Standard Rate Cards'!$D:$D,'Standard Rate Cards'!G:G)))),0)))</f>
        <v>0</v>
      </c>
      <c r="CK65" s="349" cm="1">
        <f t="array" ref="CK65">IF(CL65&lt;&gt;"","",IFERROR(IF($D$16&lt;&gt;"Client Custom Rates",0,INDEX('Client Rate Cards'!E:E,MATCH(1,('Client Rate Cards'!B:B='2. Pricing &amp; Import'!$D$17)*('Client Rate Cards'!D:D='2. Pricing &amp; Import'!N65),0))),0))</f>
        <v>0</v>
      </c>
      <c r="CL65" s="350"/>
    </row>
    <row r="66" spans="3:90" ht="16.05" customHeight="1" x14ac:dyDescent="0.3">
      <c r="C66" s="346"/>
      <c r="D66" s="495"/>
      <c r="E66" s="346"/>
      <c r="F66" s="346" t="str">
        <f>IFERROR(_xlfn.XLOOKUP(E66,'Standard Rate Cards'!$BB$11:$BB$23,'Standard Rate Cards'!$BA$11:$BA$23),"")</f>
        <v/>
      </c>
      <c r="G66" s="346"/>
      <c r="H66" s="346" t="str">
        <f>IFERROR(_xlfn.XLOOKUP(G66,'Standard Rate Cards'!$AP$8:$AP$142,'Standard Rate Cards'!$AQ$8:$AQ$142),"")</f>
        <v/>
      </c>
      <c r="I66" s="346"/>
      <c r="J66" s="346"/>
      <c r="K66" s="496"/>
      <c r="L66" s="496" t="str">
        <f t="shared" si="13"/>
        <v xml:space="preserve"> </v>
      </c>
      <c r="M66" s="496" t="str" cm="1">
        <f t="array" ref="M66">IF(ISBLANK(D66),"",IF(D66&lt;&gt;"CrederaUS",INDEX('Standard Rate Cards'!$D$9:$D$433,MATCH(1,('Standard Rate Cards'!$B$9:$B$433='2. Pricing &amp; Import'!D66)*('Standard Rate Cards'!$C$9:$C$433='2. Pricing &amp; Import'!K66),0)),INDEX('Standard Rate Cards'!$D$9:$D$433,MATCH(1,('Standard Rate Cards'!$B$9:$B$433='2. Pricing &amp; Import'!D66)*('Standard Rate Cards'!$C$9:$C$433='2. Pricing &amp; Import'!K66)*('Standard Rate Cards'!$H$9:$H$433=L66),0))))</f>
        <v/>
      </c>
      <c r="N66" s="347"/>
      <c r="O66" s="110" t="str">
        <f>IF(ISBLANK(K66)," ",_xlfn.XLOOKUP(K66,'Standard Rate Cards'!C:C,'Standard Rate Cards'!H:H))</f>
        <v xml:space="preserve"> </v>
      </c>
      <c r="P66" s="246" t="str">
        <f>IF(ISBLANK($K66)," ",_xlfn.XLOOKUP($K66,'Standard Rate Cards'!C:C,'Standard Rate Cards'!F:F))</f>
        <v xml:space="preserve"> </v>
      </c>
      <c r="Q66" s="348"/>
      <c r="R66" s="250"/>
      <c r="S66" s="680"/>
      <c r="T66" s="681"/>
      <c r="U66" s="1637"/>
      <c r="V66" s="1638"/>
      <c r="W66" s="681"/>
      <c r="X66" s="681" t="str">
        <f t="shared" si="17"/>
        <v/>
      </c>
      <c r="Y66" s="682" t="str">
        <f t="shared" si="18"/>
        <v/>
      </c>
      <c r="Z66" s="1630" t="s">
        <v>309</v>
      </c>
      <c r="AA66" s="1631"/>
      <c r="AG66" s="497" t="str">
        <f>IF($X$49="WEEKS","",IF($Z66="Manual Entry hrs/wk","",IF($X$49&gt;'FORMULA REFS'!A$1,$Z66,"")))</f>
        <v/>
      </c>
      <c r="AH66" s="497" t="str">
        <f>IF($X$49="WEEKS","",IF($Z66="Manual Entry hrs/wk","",IF($X$49&gt;'FORMULA REFS'!B$1,$Z66,"")))</f>
        <v/>
      </c>
      <c r="AI66" s="497" t="str">
        <f>IF($X$49="WEEKS","",IF($Z66="Manual Entry hrs/wk","",IF($X$49&gt;'FORMULA REFS'!C$1,$Z66,"")))</f>
        <v/>
      </c>
      <c r="AJ66" s="497" t="str">
        <f>IF($X$49="WEEKS","",IF($Z66="Manual Entry hrs/wk","",IF($X$49&gt;'FORMULA REFS'!D$1,$Z66,"")))</f>
        <v/>
      </c>
      <c r="AK66" s="497" t="str">
        <f>IF($X$49="WEEKS","",IF($Z66="Manual Entry hrs/wk","",IF($X$49&gt;'FORMULA REFS'!E$1,$Z66,"")))</f>
        <v/>
      </c>
      <c r="AL66" s="497" t="str">
        <f>IF($X$49="WEEKS","",IF($Z66="Manual Entry hrs/wk","",IF($X$49&gt;'FORMULA REFS'!F$1,$Z66,"")))</f>
        <v/>
      </c>
      <c r="AM66" s="497" t="str">
        <f>IF($X$49="WEEKS","",IF($Z66="Manual Entry hrs/wk","",IF($X$49&gt;'FORMULA REFS'!G$1,$Z66,"")))</f>
        <v/>
      </c>
      <c r="AN66" s="497" t="str">
        <f>IF($X$49="WEEKS","",IF($Z66="Manual Entry hrs/wk","",IF($X$49&gt;'FORMULA REFS'!H$1,$Z66,"")))</f>
        <v/>
      </c>
      <c r="AO66" s="497" t="str">
        <f>IF($X$49="WEEKS","",IF($Z66="Manual Entry hrs/wk","",IF($X$49&gt;'FORMULA REFS'!I$1,$Z66,"")))</f>
        <v/>
      </c>
      <c r="AP66" s="497" t="str">
        <f>IF($X$49="WEEKS","",IF($Z66="Manual Entry hrs/wk","",IF($X$49&gt;'FORMULA REFS'!J$1,$Z66,"")))</f>
        <v/>
      </c>
      <c r="AQ66" s="497" t="str">
        <f>IF($X$49="WEEKS","",IF($Z66="Manual Entry hrs/wk","",IF($X$49&gt;'FORMULA REFS'!K$1,$Z66,"")))</f>
        <v/>
      </c>
      <c r="AR66" s="497" t="str">
        <f>IF($X$49="WEEKS","",IF($Z66="Manual Entry hrs/wk","",IF($X$49&gt;'FORMULA REFS'!L$1,$Z66,"")))</f>
        <v/>
      </c>
      <c r="AS66" s="497" t="str">
        <f>IF($X$49="WEEKS","",IF($Z66="Manual Entry hrs/wk","",IF($X$49&gt;'FORMULA REFS'!M$1,$Z66,"")))</f>
        <v/>
      </c>
      <c r="AT66" s="497" t="str">
        <f>IF($X$49="WEEKS","",IF($Z66="Manual Entry hrs/wk","",IF($X$49&gt;'FORMULA REFS'!N$1,$Z66,"")))</f>
        <v/>
      </c>
      <c r="AU66" s="497" t="str">
        <f>IF($X$49="WEEKS","",IF($Z66="Manual Entry hrs/wk","",IF($X$49&gt;'FORMULA REFS'!O$1,$Z66,"")))</f>
        <v/>
      </c>
      <c r="AV66" s="497" t="str">
        <f>IF($X$49="WEEKS","",IF($Z66="Manual Entry hrs/wk","",IF($X$49&gt;'FORMULA REFS'!P$1,$Z66,"")))</f>
        <v/>
      </c>
      <c r="AW66" s="497" t="str">
        <f>IF($X$49="WEEKS","",IF($Z66="Manual Entry hrs/wk","",IF($X$49&gt;'FORMULA REFS'!Q$1,$Z66,"")))</f>
        <v/>
      </c>
      <c r="AX66" s="497" t="str">
        <f>IF($X$49="WEEKS","",IF($Z66="Manual Entry hrs/wk","",IF($X$49&gt;'FORMULA REFS'!R$1,$Z66,"")))</f>
        <v/>
      </c>
      <c r="AY66" s="497" t="str">
        <f>IF($X$49="WEEKS","",IF($Z66="Manual Entry hrs/wk","",IF($X$49&gt;'FORMULA REFS'!S$1,$Z66,"")))</f>
        <v/>
      </c>
      <c r="AZ66" s="497" t="str">
        <f>IF($X$49="WEEKS","",IF($Z66="Manual Entry hrs/wk","",IF($X$49&gt;'FORMULA REFS'!T$1,$Z66,"")))</f>
        <v/>
      </c>
      <c r="BA66" s="497" t="str">
        <f>IF($X$49="WEEKS","",IF($Z66="Manual Entry hrs/wk","",IF($X$49&gt;'FORMULA REFS'!U$1,$Z66,"")))</f>
        <v/>
      </c>
      <c r="BB66" s="497" t="str">
        <f>IF($X$49="WEEKS","",IF($Z66="Manual Entry hrs/wk","",IF($X$49&gt;'FORMULA REFS'!V$1,$Z66,"")))</f>
        <v/>
      </c>
      <c r="BC66" s="497" t="str">
        <f>IF($X$49="WEEKS","",IF($Z66="Manual Entry hrs/wk","",IF($X$49&gt;'FORMULA REFS'!W$1,$Z66,"")))</f>
        <v/>
      </c>
      <c r="BD66" s="497" t="str">
        <f>IF($X$49="WEEKS","",IF($Z66="Manual Entry hrs/wk","",IF($X$49&gt;'FORMULA REFS'!X$1,$Z66,"")))</f>
        <v/>
      </c>
      <c r="BE66" s="497" t="str">
        <f>IF($X$49="WEEKS","",IF($Z66="Manual Entry hrs/wk","",IF($X$49&gt;'FORMULA REFS'!Y$1,$Z66,"")))</f>
        <v/>
      </c>
      <c r="BF66" s="497" t="str">
        <f>IF($X$49="WEEKS","",IF($Z66="Manual Entry hrs/wk","",IF($X$49&gt;'FORMULA REFS'!Z$1,$Z66,"")))</f>
        <v/>
      </c>
      <c r="BG66" s="497" t="str">
        <f>IF($X$49="WEEKS","",IF($Z66="Manual Entry hrs/wk","",IF($X$49&gt;'FORMULA REFS'!AA$1,$Z66,"")))</f>
        <v/>
      </c>
      <c r="BH66" s="497" t="str">
        <f>IF($X$49="WEEKS","",IF($Z66="Manual Entry hrs/wk","",IF($X$49&gt;'FORMULA REFS'!AB$1,$Z66,"")))</f>
        <v/>
      </c>
      <c r="BI66" s="497" t="str">
        <f>IF($X$49="WEEKS","",IF($Z66="Manual Entry hrs/wk","",IF($X$49&gt;'FORMULA REFS'!AC$1,$Z66,"")))</f>
        <v/>
      </c>
      <c r="BJ66" s="497" t="str">
        <f>IF($X$49="WEEKS","",IF($Z66="Manual Entry hrs/wk","",IF($X$49&gt;'FORMULA REFS'!AD$1,$Z66,"")))</f>
        <v/>
      </c>
      <c r="BK66" s="497" t="str">
        <f>IF($X$49="WEEKS","",IF($Z66="Manual Entry hrs/wk","",IF($X$49&gt;'FORMULA REFS'!AE$1,$Z66,"")))</f>
        <v/>
      </c>
      <c r="BL66" s="497" t="str">
        <f>IF($X$49="WEEKS","",IF($Z66="Manual Entry hrs/wk","",IF($X$49&gt;'FORMULA REFS'!AF$1,$Z66,"")))</f>
        <v/>
      </c>
      <c r="BM66" s="497" t="str">
        <f>IF($X$49="WEEKS","",IF($Z66="Manual Entry hrs/wk","",IF($X$49&gt;'FORMULA REFS'!AG$1,$Z66,"")))</f>
        <v/>
      </c>
      <c r="BN66" s="497" t="str">
        <f>IF($X$49="WEEKS","",IF($Z66="Manual Entry hrs/wk","",IF($X$49&gt;'FORMULA REFS'!AH$1,$Z66,"")))</f>
        <v/>
      </c>
      <c r="BO66" s="497" t="str">
        <f>IF($X$49="WEEKS","",IF($Z66="Manual Entry hrs/wk","",IF($X$49&gt;'FORMULA REFS'!AI$1,$Z66,"")))</f>
        <v/>
      </c>
      <c r="BP66" s="497" t="str">
        <f>IF($X$49="WEEKS","",IF($Z66="Manual Entry hrs/wk","",IF($X$49&gt;'FORMULA REFS'!AJ$1,$Z66,"")))</f>
        <v/>
      </c>
      <c r="BQ66" s="497" t="str">
        <f>IF($X$49="WEEKS","",IF($Z66="Manual Entry hrs/wk","",IF($X$49&gt;'FORMULA REFS'!AK$1,$Z66,"")))</f>
        <v/>
      </c>
      <c r="BR66" s="497" t="str">
        <f>IF($X$49="WEEKS","",IF($Z66="Manual Entry hrs/wk","",IF($X$49&gt;'FORMULA REFS'!AL$1,$Z66,"")))</f>
        <v/>
      </c>
      <c r="BS66" s="497" t="str">
        <f>IF($X$49="WEEKS","",IF($Z66="Manual Entry hrs/wk","",IF($X$49&gt;'FORMULA REFS'!AM$1,$Z66,"")))</f>
        <v/>
      </c>
      <c r="BT66" s="497" t="str">
        <f>IF($X$49="WEEKS","",IF($Z66="Manual Entry hrs/wk","",IF($X$49&gt;'FORMULA REFS'!AN$1,$Z66,"")))</f>
        <v/>
      </c>
      <c r="BU66" s="497" t="str">
        <f>IF($X$49="WEEKS","",IF($Z66="Manual Entry hrs/wk","",IF($X$49&gt;'FORMULA REFS'!AO$1,$Z66,"")))</f>
        <v/>
      </c>
      <c r="BV66" s="497" t="str">
        <f>IF($X$49="WEEKS","",IF($Z66="Manual Entry hrs/wk","",IF($X$49&gt;'FORMULA REFS'!AP$1,$Z66,"")))</f>
        <v/>
      </c>
      <c r="BW66" s="497" t="str">
        <f>IF($X$49="WEEKS","",IF($Z66="Manual Entry hrs/wk","",IF($X$49&gt;'FORMULA REFS'!AQ$1,$Z66,"")))</f>
        <v/>
      </c>
      <c r="BX66" s="497" t="str">
        <f>IF($X$49="WEEKS","",IF($Z66="Manual Entry hrs/wk","",IF($X$49&gt;'FORMULA REFS'!AR$1,$Z66,"")))</f>
        <v/>
      </c>
      <c r="BY66" s="497" t="str">
        <f>IF($X$49="WEEKS","",IF($Z66="Manual Entry hrs/wk","",IF($X$49&gt;'FORMULA REFS'!AS$1,$Z66,"")))</f>
        <v/>
      </c>
      <c r="BZ66" s="497" t="str">
        <f>IF($X$49="WEEKS","",IF($Z66="Manual Entry hrs/wk","",IF($X$49&gt;'FORMULA REFS'!AT$1,$Z66,"")))</f>
        <v/>
      </c>
      <c r="CA66" s="497" t="str">
        <f>IF($X$49="WEEKS","",IF($Z66="Manual Entry hrs/wk","",IF($X$49&gt;'FORMULA REFS'!AU$1,$Z66,"")))</f>
        <v/>
      </c>
      <c r="CB66" s="497" t="str">
        <f>IF($X$49="WEEKS","",IF($Z66="Manual Entry hrs/wk","",IF($X$49&gt;'FORMULA REFS'!AV$1,$Z66,"")))</f>
        <v/>
      </c>
      <c r="CC66" s="497" t="str">
        <f>IF($X$49="WEEKS","",IF($Z66="Manual Entry hrs/wk","",IF($X$49&gt;'FORMULA REFS'!AW$1,$Z66,"")))</f>
        <v/>
      </c>
      <c r="CD66" s="497" t="str">
        <f>IF($X$49="WEEKS","",IF($Z66="Manual Entry hrs/wk","",IF($X$49&gt;'FORMULA REFS'!AX$1,$Z66,"")))</f>
        <v/>
      </c>
      <c r="CE66" s="497" t="str">
        <f>IF($X$49="WEEKS","",IF($Z66="Manual Entry hrs/wk","",IF($X$49&gt;'FORMULA REFS'!AY$1,$Z66,"")))</f>
        <v/>
      </c>
      <c r="CF66" s="497" t="str">
        <f>IF($X$49="WEEKS","",IF($Z66="Manual Entry hrs/wk","",IF($X$49&gt;'FORMULA REFS'!AZ$1,$Z66,"")))</f>
        <v/>
      </c>
      <c r="CG66" s="113"/>
      <c r="CH66" s="349" t="str">
        <f t="shared" si="16"/>
        <v/>
      </c>
      <c r="CI66" s="349">
        <f>IFERROR((_xlfn.XLOOKUP($M66,'Standard Rate Cards'!D:D,'Standard Rate Cards'!E:E))*Y66,0)</f>
        <v>0</v>
      </c>
      <c r="CJ66" s="349">
        <f>IF(CL66&lt;&gt;"","",IF($D$16="Select Type","Select Margin Class",IFERROR(IF($M66="",0,IF($D$16="Client Custom Rates",0,IF($D$16="Standard Rates",_xlfn.XLOOKUP($M66,'Standard Rate Cards'!$D:$D,'Standard Rate Cards'!G:G)))),0)))</f>
        <v>0</v>
      </c>
      <c r="CK66" s="349" cm="1">
        <f t="array" ref="CK66">IF(CL66&lt;&gt;"","",IFERROR(IF($D$16&lt;&gt;"Client Custom Rates",0,INDEX('Client Rate Cards'!E:E,MATCH(1,('Client Rate Cards'!B:B='2. Pricing &amp; Import'!$D$17)*('Client Rate Cards'!D:D='2. Pricing &amp; Import'!N66),0))),0))</f>
        <v>0</v>
      </c>
      <c r="CL66" s="350"/>
    </row>
    <row r="67" spans="3:90" ht="16.05" customHeight="1" x14ac:dyDescent="0.3">
      <c r="C67" s="346"/>
      <c r="D67" s="495"/>
      <c r="E67" s="346"/>
      <c r="F67" s="346" t="str">
        <f>IFERROR(_xlfn.XLOOKUP(E67,'Standard Rate Cards'!$BB$11:$BB$23,'Standard Rate Cards'!$BA$11:$BA$23),"")</f>
        <v/>
      </c>
      <c r="G67" s="346"/>
      <c r="H67" s="346" t="str">
        <f>IFERROR(_xlfn.XLOOKUP(G67,'Standard Rate Cards'!$AP$8:$AP$142,'Standard Rate Cards'!$AQ$8:$AQ$142),"")</f>
        <v/>
      </c>
      <c r="I67" s="346"/>
      <c r="J67" s="346"/>
      <c r="K67" s="496"/>
      <c r="L67" s="496" t="str">
        <f t="shared" si="13"/>
        <v xml:space="preserve"> </v>
      </c>
      <c r="M67" s="496" t="str" cm="1">
        <f t="array" ref="M67">IF(ISBLANK(D67),"",IF(D67&lt;&gt;"CrederaUS",INDEX('Standard Rate Cards'!$D$9:$D$433,MATCH(1,('Standard Rate Cards'!$B$9:$B$433='2. Pricing &amp; Import'!D67)*('Standard Rate Cards'!$C$9:$C$433='2. Pricing &amp; Import'!K67),0)),INDEX('Standard Rate Cards'!$D$9:$D$433,MATCH(1,('Standard Rate Cards'!$B$9:$B$433='2. Pricing &amp; Import'!D67)*('Standard Rate Cards'!$C$9:$C$433='2. Pricing &amp; Import'!K67)*('Standard Rate Cards'!$H$9:$H$433=L67),0))))</f>
        <v/>
      </c>
      <c r="N67" s="347"/>
      <c r="O67" s="110" t="str">
        <f>IF(ISBLANK(K67)," ",_xlfn.XLOOKUP(K67,'Standard Rate Cards'!C:C,'Standard Rate Cards'!H:H))</f>
        <v xml:space="preserve"> </v>
      </c>
      <c r="P67" s="246" t="str">
        <f>IF(ISBLANK($K67)," ",_xlfn.XLOOKUP($K67,'Standard Rate Cards'!C:C,'Standard Rate Cards'!F:F))</f>
        <v xml:space="preserve"> </v>
      </c>
      <c r="Q67" s="348"/>
      <c r="R67" s="250"/>
      <c r="S67" s="680"/>
      <c r="T67" s="681"/>
      <c r="U67" s="1637"/>
      <c r="V67" s="1638"/>
      <c r="W67" s="681"/>
      <c r="X67" s="681" t="str">
        <f t="shared" si="17"/>
        <v/>
      </c>
      <c r="Y67" s="682" t="str">
        <f t="shared" si="18"/>
        <v/>
      </c>
      <c r="Z67" s="1630" t="s">
        <v>309</v>
      </c>
      <c r="AA67" s="1631"/>
      <c r="AG67" s="497" t="str">
        <f>IF($X$49="WEEKS","",IF($Z67="Manual Entry hrs/wk","",IF($X$49&gt;'FORMULA REFS'!A$1,$Z67,"")))</f>
        <v/>
      </c>
      <c r="AH67" s="497" t="str">
        <f>IF($X$49="WEEKS","",IF($Z67="Manual Entry hrs/wk","",IF($X$49&gt;'FORMULA REFS'!B$1,$Z67,"")))</f>
        <v/>
      </c>
      <c r="AI67" s="497" t="str">
        <f>IF($X$49="WEEKS","",IF($Z67="Manual Entry hrs/wk","",IF($X$49&gt;'FORMULA REFS'!C$1,$Z67,"")))</f>
        <v/>
      </c>
      <c r="AJ67" s="497" t="str">
        <f>IF($X$49="WEEKS","",IF($Z67="Manual Entry hrs/wk","",IF($X$49&gt;'FORMULA REFS'!D$1,$Z67,"")))</f>
        <v/>
      </c>
      <c r="AK67" s="497" t="str">
        <f>IF($X$49="WEEKS","",IF($Z67="Manual Entry hrs/wk","",IF($X$49&gt;'FORMULA REFS'!E$1,$Z67,"")))</f>
        <v/>
      </c>
      <c r="AL67" s="497" t="str">
        <f>IF($X$49="WEEKS","",IF($Z67="Manual Entry hrs/wk","",IF($X$49&gt;'FORMULA REFS'!F$1,$Z67,"")))</f>
        <v/>
      </c>
      <c r="AM67" s="497" t="str">
        <f>IF($X$49="WEEKS","",IF($Z67="Manual Entry hrs/wk","",IF($X$49&gt;'FORMULA REFS'!G$1,$Z67,"")))</f>
        <v/>
      </c>
      <c r="AN67" s="497" t="str">
        <f>IF($X$49="WEEKS","",IF($Z67="Manual Entry hrs/wk","",IF($X$49&gt;'FORMULA REFS'!H$1,$Z67,"")))</f>
        <v/>
      </c>
      <c r="AO67" s="497" t="str">
        <f>IF($X$49="WEEKS","",IF($Z67="Manual Entry hrs/wk","",IF($X$49&gt;'FORMULA REFS'!I$1,$Z67,"")))</f>
        <v/>
      </c>
      <c r="AP67" s="497" t="str">
        <f>IF($X$49="WEEKS","",IF($Z67="Manual Entry hrs/wk","",IF($X$49&gt;'FORMULA REFS'!J$1,$Z67,"")))</f>
        <v/>
      </c>
      <c r="AQ67" s="497" t="str">
        <f>IF($X$49="WEEKS","",IF($Z67="Manual Entry hrs/wk","",IF($X$49&gt;'FORMULA REFS'!K$1,$Z67,"")))</f>
        <v/>
      </c>
      <c r="AR67" s="497" t="str">
        <f>IF($X$49="WEEKS","",IF($Z67="Manual Entry hrs/wk","",IF($X$49&gt;'FORMULA REFS'!L$1,$Z67,"")))</f>
        <v/>
      </c>
      <c r="AS67" s="497" t="str">
        <f>IF($X$49="WEEKS","",IF($Z67="Manual Entry hrs/wk","",IF($X$49&gt;'FORMULA REFS'!M$1,$Z67,"")))</f>
        <v/>
      </c>
      <c r="AT67" s="497" t="str">
        <f>IF($X$49="WEEKS","",IF($Z67="Manual Entry hrs/wk","",IF($X$49&gt;'FORMULA REFS'!N$1,$Z67,"")))</f>
        <v/>
      </c>
      <c r="AU67" s="497" t="str">
        <f>IF($X$49="WEEKS","",IF($Z67="Manual Entry hrs/wk","",IF($X$49&gt;'FORMULA REFS'!O$1,$Z67,"")))</f>
        <v/>
      </c>
      <c r="AV67" s="497" t="str">
        <f>IF($X$49="WEEKS","",IF($Z67="Manual Entry hrs/wk","",IF($X$49&gt;'FORMULA REFS'!P$1,$Z67,"")))</f>
        <v/>
      </c>
      <c r="AW67" s="497" t="str">
        <f>IF($X$49="WEEKS","",IF($Z67="Manual Entry hrs/wk","",IF($X$49&gt;'FORMULA REFS'!Q$1,$Z67,"")))</f>
        <v/>
      </c>
      <c r="AX67" s="497" t="str">
        <f>IF($X$49="WEEKS","",IF($Z67="Manual Entry hrs/wk","",IF($X$49&gt;'FORMULA REFS'!R$1,$Z67,"")))</f>
        <v/>
      </c>
      <c r="AY67" s="497" t="str">
        <f>IF($X$49="WEEKS","",IF($Z67="Manual Entry hrs/wk","",IF($X$49&gt;'FORMULA REFS'!S$1,$Z67,"")))</f>
        <v/>
      </c>
      <c r="AZ67" s="497" t="str">
        <f>IF($X$49="WEEKS","",IF($Z67="Manual Entry hrs/wk","",IF($X$49&gt;'FORMULA REFS'!T$1,$Z67,"")))</f>
        <v/>
      </c>
      <c r="BA67" s="497" t="str">
        <f>IF($X$49="WEEKS","",IF($Z67="Manual Entry hrs/wk","",IF($X$49&gt;'FORMULA REFS'!U$1,$Z67,"")))</f>
        <v/>
      </c>
      <c r="BB67" s="497" t="str">
        <f>IF($X$49="WEEKS","",IF($Z67="Manual Entry hrs/wk","",IF($X$49&gt;'FORMULA REFS'!V$1,$Z67,"")))</f>
        <v/>
      </c>
      <c r="BC67" s="497" t="str">
        <f>IF($X$49="WEEKS","",IF($Z67="Manual Entry hrs/wk","",IF($X$49&gt;'FORMULA REFS'!W$1,$Z67,"")))</f>
        <v/>
      </c>
      <c r="BD67" s="497" t="str">
        <f>IF($X$49="WEEKS","",IF($Z67="Manual Entry hrs/wk","",IF($X$49&gt;'FORMULA REFS'!X$1,$Z67,"")))</f>
        <v/>
      </c>
      <c r="BE67" s="497" t="str">
        <f>IF($X$49="WEEKS","",IF($Z67="Manual Entry hrs/wk","",IF($X$49&gt;'FORMULA REFS'!Y$1,$Z67,"")))</f>
        <v/>
      </c>
      <c r="BF67" s="497" t="str">
        <f>IF($X$49="WEEKS","",IF($Z67="Manual Entry hrs/wk","",IF($X$49&gt;'FORMULA REFS'!Z$1,$Z67,"")))</f>
        <v/>
      </c>
      <c r="BG67" s="497" t="str">
        <f>IF($X$49="WEEKS","",IF($Z67="Manual Entry hrs/wk","",IF($X$49&gt;'FORMULA REFS'!AA$1,$Z67,"")))</f>
        <v/>
      </c>
      <c r="BH67" s="497" t="str">
        <f>IF($X$49="WEEKS","",IF($Z67="Manual Entry hrs/wk","",IF($X$49&gt;'FORMULA REFS'!AB$1,$Z67,"")))</f>
        <v/>
      </c>
      <c r="BI67" s="497" t="str">
        <f>IF($X$49="WEEKS","",IF($Z67="Manual Entry hrs/wk","",IF($X$49&gt;'FORMULA REFS'!AC$1,$Z67,"")))</f>
        <v/>
      </c>
      <c r="BJ67" s="497" t="str">
        <f>IF($X$49="WEEKS","",IF($Z67="Manual Entry hrs/wk","",IF($X$49&gt;'FORMULA REFS'!AD$1,$Z67,"")))</f>
        <v/>
      </c>
      <c r="BK67" s="497" t="str">
        <f>IF($X$49="WEEKS","",IF($Z67="Manual Entry hrs/wk","",IF($X$49&gt;'FORMULA REFS'!AE$1,$Z67,"")))</f>
        <v/>
      </c>
      <c r="BL67" s="497" t="str">
        <f>IF($X$49="WEEKS","",IF($Z67="Manual Entry hrs/wk","",IF($X$49&gt;'FORMULA REFS'!AF$1,$Z67,"")))</f>
        <v/>
      </c>
      <c r="BM67" s="497" t="str">
        <f>IF($X$49="WEEKS","",IF($Z67="Manual Entry hrs/wk","",IF($X$49&gt;'FORMULA REFS'!AG$1,$Z67,"")))</f>
        <v/>
      </c>
      <c r="BN67" s="497" t="str">
        <f>IF($X$49="WEEKS","",IF($Z67="Manual Entry hrs/wk","",IF($X$49&gt;'FORMULA REFS'!AH$1,$Z67,"")))</f>
        <v/>
      </c>
      <c r="BO67" s="497" t="str">
        <f>IF($X$49="WEEKS","",IF($Z67="Manual Entry hrs/wk","",IF($X$49&gt;'FORMULA REFS'!AI$1,$Z67,"")))</f>
        <v/>
      </c>
      <c r="BP67" s="497" t="str">
        <f>IF($X$49="WEEKS","",IF($Z67="Manual Entry hrs/wk","",IF($X$49&gt;'FORMULA REFS'!AJ$1,$Z67,"")))</f>
        <v/>
      </c>
      <c r="BQ67" s="497" t="str">
        <f>IF($X$49="WEEKS","",IF($Z67="Manual Entry hrs/wk","",IF($X$49&gt;'FORMULA REFS'!AK$1,$Z67,"")))</f>
        <v/>
      </c>
      <c r="BR67" s="497" t="str">
        <f>IF($X$49="WEEKS","",IF($Z67="Manual Entry hrs/wk","",IF($X$49&gt;'FORMULA REFS'!AL$1,$Z67,"")))</f>
        <v/>
      </c>
      <c r="BS67" s="497" t="str">
        <f>IF($X$49="WEEKS","",IF($Z67="Manual Entry hrs/wk","",IF($X$49&gt;'FORMULA REFS'!AM$1,$Z67,"")))</f>
        <v/>
      </c>
      <c r="BT67" s="497" t="str">
        <f>IF($X$49="WEEKS","",IF($Z67="Manual Entry hrs/wk","",IF($X$49&gt;'FORMULA REFS'!AN$1,$Z67,"")))</f>
        <v/>
      </c>
      <c r="BU67" s="497" t="str">
        <f>IF($X$49="WEEKS","",IF($Z67="Manual Entry hrs/wk","",IF($X$49&gt;'FORMULA REFS'!AO$1,$Z67,"")))</f>
        <v/>
      </c>
      <c r="BV67" s="497" t="str">
        <f>IF($X$49="WEEKS","",IF($Z67="Manual Entry hrs/wk","",IF($X$49&gt;'FORMULA REFS'!AP$1,$Z67,"")))</f>
        <v/>
      </c>
      <c r="BW67" s="497" t="str">
        <f>IF($X$49="WEEKS","",IF($Z67="Manual Entry hrs/wk","",IF($X$49&gt;'FORMULA REFS'!AQ$1,$Z67,"")))</f>
        <v/>
      </c>
      <c r="BX67" s="497" t="str">
        <f>IF($X$49="WEEKS","",IF($Z67="Manual Entry hrs/wk","",IF($X$49&gt;'FORMULA REFS'!AR$1,$Z67,"")))</f>
        <v/>
      </c>
      <c r="BY67" s="497" t="str">
        <f>IF($X$49="WEEKS","",IF($Z67="Manual Entry hrs/wk","",IF($X$49&gt;'FORMULA REFS'!AS$1,$Z67,"")))</f>
        <v/>
      </c>
      <c r="BZ67" s="497" t="str">
        <f>IF($X$49="WEEKS","",IF($Z67="Manual Entry hrs/wk","",IF($X$49&gt;'FORMULA REFS'!AT$1,$Z67,"")))</f>
        <v/>
      </c>
      <c r="CA67" s="497" t="str">
        <f>IF($X$49="WEEKS","",IF($Z67="Manual Entry hrs/wk","",IF($X$49&gt;'FORMULA REFS'!AU$1,$Z67,"")))</f>
        <v/>
      </c>
      <c r="CB67" s="497" t="str">
        <f>IF($X$49="WEEKS","",IF($Z67="Manual Entry hrs/wk","",IF($X$49&gt;'FORMULA REFS'!AV$1,$Z67,"")))</f>
        <v/>
      </c>
      <c r="CC67" s="497" t="str">
        <f>IF($X$49="WEEKS","",IF($Z67="Manual Entry hrs/wk","",IF($X$49&gt;'FORMULA REFS'!AW$1,$Z67,"")))</f>
        <v/>
      </c>
      <c r="CD67" s="497" t="str">
        <f>IF($X$49="WEEKS","",IF($Z67="Manual Entry hrs/wk","",IF($X$49&gt;'FORMULA REFS'!AX$1,$Z67,"")))</f>
        <v/>
      </c>
      <c r="CE67" s="497" t="str">
        <f>IF($X$49="WEEKS","",IF($Z67="Manual Entry hrs/wk","",IF($X$49&gt;'FORMULA REFS'!AY$1,$Z67,"")))</f>
        <v/>
      </c>
      <c r="CF67" s="497" t="str">
        <f>IF($X$49="WEEKS","",IF($Z67="Manual Entry hrs/wk","",IF($X$49&gt;'FORMULA REFS'!AZ$1,$Z67,"")))</f>
        <v/>
      </c>
      <c r="CG67" s="113"/>
      <c r="CH67" s="349" t="str">
        <f t="shared" si="16"/>
        <v/>
      </c>
      <c r="CI67" s="349">
        <f>IFERROR((_xlfn.XLOOKUP($M67,'Standard Rate Cards'!D:D,'Standard Rate Cards'!E:E))*Y67,0)</f>
        <v>0</v>
      </c>
      <c r="CJ67" s="349">
        <f>IF(CL67&lt;&gt;"","",IF($D$16="Select Type","Select Margin Class",IFERROR(IF($M67="",0,IF($D$16="Client Custom Rates",0,IF($D$16="Standard Rates",_xlfn.XLOOKUP($M67,'Standard Rate Cards'!$D:$D,'Standard Rate Cards'!G:G)))),0)))</f>
        <v>0</v>
      </c>
      <c r="CK67" s="349" cm="1">
        <f t="array" ref="CK67">IF(CL67&lt;&gt;"","",IFERROR(IF($D$16&lt;&gt;"Client Custom Rates",0,INDEX('Client Rate Cards'!E:E,MATCH(1,('Client Rate Cards'!B:B='2. Pricing &amp; Import'!$D$17)*('Client Rate Cards'!D:D='2. Pricing &amp; Import'!N67),0))),0))</f>
        <v>0</v>
      </c>
      <c r="CL67" s="350"/>
    </row>
    <row r="68" spans="3:90" ht="16.05" customHeight="1" x14ac:dyDescent="0.3">
      <c r="C68" s="346"/>
      <c r="D68" s="495"/>
      <c r="E68" s="346"/>
      <c r="F68" s="346" t="str">
        <f>IFERROR(_xlfn.XLOOKUP(E68,'Standard Rate Cards'!$BB$11:$BB$23,'Standard Rate Cards'!$BA$11:$BA$23),"")</f>
        <v/>
      </c>
      <c r="G68" s="346"/>
      <c r="H68" s="346" t="str">
        <f>IFERROR(_xlfn.XLOOKUP(G68,'Standard Rate Cards'!$AP$8:$AP$142,'Standard Rate Cards'!$AQ$8:$AQ$142),"")</f>
        <v/>
      </c>
      <c r="I68" s="346"/>
      <c r="J68" s="346"/>
      <c r="K68" s="496"/>
      <c r="L68" s="496" t="str">
        <f t="shared" si="13"/>
        <v xml:space="preserve"> </v>
      </c>
      <c r="M68" s="496" t="str" cm="1">
        <f t="array" ref="M68">IF(ISBLANK(D68),"",IF(D68&lt;&gt;"CrederaUS",INDEX('Standard Rate Cards'!$D$9:$D$433,MATCH(1,('Standard Rate Cards'!$B$9:$B$433='2. Pricing &amp; Import'!D68)*('Standard Rate Cards'!$C$9:$C$433='2. Pricing &amp; Import'!K68),0)),INDEX('Standard Rate Cards'!$D$9:$D$433,MATCH(1,('Standard Rate Cards'!$B$9:$B$433='2. Pricing &amp; Import'!D68)*('Standard Rate Cards'!$C$9:$C$433='2. Pricing &amp; Import'!K68)*('Standard Rate Cards'!$H$9:$H$433=L68),0))))</f>
        <v/>
      </c>
      <c r="N68" s="347"/>
      <c r="O68" s="110" t="str">
        <f>IF(ISBLANK(K68)," ",_xlfn.XLOOKUP(K68,'Standard Rate Cards'!C:C,'Standard Rate Cards'!H:H))</f>
        <v xml:space="preserve"> </v>
      </c>
      <c r="P68" s="246" t="str">
        <f>IF(ISBLANK($K68)," ",_xlfn.XLOOKUP($K68,'Standard Rate Cards'!C:C,'Standard Rate Cards'!F:F))</f>
        <v xml:space="preserve"> </v>
      </c>
      <c r="Q68" s="348"/>
      <c r="R68" s="250"/>
      <c r="S68" s="680"/>
      <c r="T68" s="681"/>
      <c r="U68" s="1637"/>
      <c r="V68" s="1638"/>
      <c r="W68" s="681"/>
      <c r="X68" s="681" t="str">
        <f t="shared" si="17"/>
        <v/>
      </c>
      <c r="Y68" s="682" t="str">
        <f t="shared" si="18"/>
        <v/>
      </c>
      <c r="Z68" s="1630" t="s">
        <v>309</v>
      </c>
      <c r="AA68" s="1631"/>
      <c r="AG68" s="497" t="str">
        <f>IF($X$49="WEEKS","",IF($Z68="Manual Entry hrs/wk","",IF($X$49&gt;'FORMULA REFS'!A$1,$Z68,"")))</f>
        <v/>
      </c>
      <c r="AH68" s="497" t="str">
        <f>IF($X$49="WEEKS","",IF($Z68="Manual Entry hrs/wk","",IF($X$49&gt;'FORMULA REFS'!B$1,$Z68,"")))</f>
        <v/>
      </c>
      <c r="AI68" s="497" t="str">
        <f>IF($X$49="WEEKS","",IF($Z68="Manual Entry hrs/wk","",IF($X$49&gt;'FORMULA REFS'!C$1,$Z68,"")))</f>
        <v/>
      </c>
      <c r="AJ68" s="497" t="str">
        <f>IF($X$49="WEEKS","",IF($Z68="Manual Entry hrs/wk","",IF($X$49&gt;'FORMULA REFS'!D$1,$Z68,"")))</f>
        <v/>
      </c>
      <c r="AK68" s="497" t="str">
        <f>IF($X$49="WEEKS","",IF($Z68="Manual Entry hrs/wk","",IF($X$49&gt;'FORMULA REFS'!E$1,$Z68,"")))</f>
        <v/>
      </c>
      <c r="AL68" s="497" t="str">
        <f>IF($X$49="WEEKS","",IF($Z68="Manual Entry hrs/wk","",IF($X$49&gt;'FORMULA REFS'!F$1,$Z68,"")))</f>
        <v/>
      </c>
      <c r="AM68" s="497" t="str">
        <f>IF($X$49="WEEKS","",IF($Z68="Manual Entry hrs/wk","",IF($X$49&gt;'FORMULA REFS'!G$1,$Z68,"")))</f>
        <v/>
      </c>
      <c r="AN68" s="497" t="str">
        <f>IF($X$49="WEEKS","",IF($Z68="Manual Entry hrs/wk","",IF($X$49&gt;'FORMULA REFS'!H$1,$Z68,"")))</f>
        <v/>
      </c>
      <c r="AO68" s="497" t="str">
        <f>IF($X$49="WEEKS","",IF($Z68="Manual Entry hrs/wk","",IF($X$49&gt;'FORMULA REFS'!I$1,$Z68,"")))</f>
        <v/>
      </c>
      <c r="AP68" s="497" t="str">
        <f>IF($X$49="WEEKS","",IF($Z68="Manual Entry hrs/wk","",IF($X$49&gt;'FORMULA REFS'!J$1,$Z68,"")))</f>
        <v/>
      </c>
      <c r="AQ68" s="497" t="str">
        <f>IF($X$49="WEEKS","",IF($Z68="Manual Entry hrs/wk","",IF($X$49&gt;'FORMULA REFS'!K$1,$Z68,"")))</f>
        <v/>
      </c>
      <c r="AR68" s="497" t="str">
        <f>IF($X$49="WEEKS","",IF($Z68="Manual Entry hrs/wk","",IF($X$49&gt;'FORMULA REFS'!L$1,$Z68,"")))</f>
        <v/>
      </c>
      <c r="AS68" s="497" t="str">
        <f>IF($X$49="WEEKS","",IF($Z68="Manual Entry hrs/wk","",IF($X$49&gt;'FORMULA REFS'!M$1,$Z68,"")))</f>
        <v/>
      </c>
      <c r="AT68" s="497" t="str">
        <f>IF($X$49="WEEKS","",IF($Z68="Manual Entry hrs/wk","",IF($X$49&gt;'FORMULA REFS'!N$1,$Z68,"")))</f>
        <v/>
      </c>
      <c r="AU68" s="497" t="str">
        <f>IF($X$49="WEEKS","",IF($Z68="Manual Entry hrs/wk","",IF($X$49&gt;'FORMULA REFS'!O$1,$Z68,"")))</f>
        <v/>
      </c>
      <c r="AV68" s="497" t="str">
        <f>IF($X$49="WEEKS","",IF($Z68="Manual Entry hrs/wk","",IF($X$49&gt;'FORMULA REFS'!P$1,$Z68,"")))</f>
        <v/>
      </c>
      <c r="AW68" s="497" t="str">
        <f>IF($X$49="WEEKS","",IF($Z68="Manual Entry hrs/wk","",IF($X$49&gt;'FORMULA REFS'!Q$1,$Z68,"")))</f>
        <v/>
      </c>
      <c r="AX68" s="497" t="str">
        <f>IF($X$49="WEEKS","",IF($Z68="Manual Entry hrs/wk","",IF($X$49&gt;'FORMULA REFS'!R$1,$Z68,"")))</f>
        <v/>
      </c>
      <c r="AY68" s="497" t="str">
        <f>IF($X$49="WEEKS","",IF($Z68="Manual Entry hrs/wk","",IF($X$49&gt;'FORMULA REFS'!S$1,$Z68,"")))</f>
        <v/>
      </c>
      <c r="AZ68" s="497" t="str">
        <f>IF($X$49="WEEKS","",IF($Z68="Manual Entry hrs/wk","",IF($X$49&gt;'FORMULA REFS'!T$1,$Z68,"")))</f>
        <v/>
      </c>
      <c r="BA68" s="497" t="str">
        <f>IF($X$49="WEEKS","",IF($Z68="Manual Entry hrs/wk","",IF($X$49&gt;'FORMULA REFS'!U$1,$Z68,"")))</f>
        <v/>
      </c>
      <c r="BB68" s="497" t="str">
        <f>IF($X$49="WEEKS","",IF($Z68="Manual Entry hrs/wk","",IF($X$49&gt;'FORMULA REFS'!V$1,$Z68,"")))</f>
        <v/>
      </c>
      <c r="BC68" s="497" t="str">
        <f>IF($X$49="WEEKS","",IF($Z68="Manual Entry hrs/wk","",IF($X$49&gt;'FORMULA REFS'!W$1,$Z68,"")))</f>
        <v/>
      </c>
      <c r="BD68" s="497" t="str">
        <f>IF($X$49="WEEKS","",IF($Z68="Manual Entry hrs/wk","",IF($X$49&gt;'FORMULA REFS'!X$1,$Z68,"")))</f>
        <v/>
      </c>
      <c r="BE68" s="497" t="str">
        <f>IF($X$49="WEEKS","",IF($Z68="Manual Entry hrs/wk","",IF($X$49&gt;'FORMULA REFS'!Y$1,$Z68,"")))</f>
        <v/>
      </c>
      <c r="BF68" s="497" t="str">
        <f>IF($X$49="WEEKS","",IF($Z68="Manual Entry hrs/wk","",IF($X$49&gt;'FORMULA REFS'!Z$1,$Z68,"")))</f>
        <v/>
      </c>
      <c r="BG68" s="497" t="str">
        <f>IF($X$49="WEEKS","",IF($Z68="Manual Entry hrs/wk","",IF($X$49&gt;'FORMULA REFS'!AA$1,$Z68,"")))</f>
        <v/>
      </c>
      <c r="BH68" s="497" t="str">
        <f>IF($X$49="WEEKS","",IF($Z68="Manual Entry hrs/wk","",IF($X$49&gt;'FORMULA REFS'!AB$1,$Z68,"")))</f>
        <v/>
      </c>
      <c r="BI68" s="497" t="str">
        <f>IF($X$49="WEEKS","",IF($Z68="Manual Entry hrs/wk","",IF($X$49&gt;'FORMULA REFS'!AC$1,$Z68,"")))</f>
        <v/>
      </c>
      <c r="BJ68" s="497" t="str">
        <f>IF($X$49="WEEKS","",IF($Z68="Manual Entry hrs/wk","",IF($X$49&gt;'FORMULA REFS'!AD$1,$Z68,"")))</f>
        <v/>
      </c>
      <c r="BK68" s="497" t="str">
        <f>IF($X$49="WEEKS","",IF($Z68="Manual Entry hrs/wk","",IF($X$49&gt;'FORMULA REFS'!AE$1,$Z68,"")))</f>
        <v/>
      </c>
      <c r="BL68" s="497" t="str">
        <f>IF($X$49="WEEKS","",IF($Z68="Manual Entry hrs/wk","",IF($X$49&gt;'FORMULA REFS'!AF$1,$Z68,"")))</f>
        <v/>
      </c>
      <c r="BM68" s="497" t="str">
        <f>IF($X$49="WEEKS","",IF($Z68="Manual Entry hrs/wk","",IF($X$49&gt;'FORMULA REFS'!AG$1,$Z68,"")))</f>
        <v/>
      </c>
      <c r="BN68" s="497" t="str">
        <f>IF($X$49="WEEKS","",IF($Z68="Manual Entry hrs/wk","",IF($X$49&gt;'FORMULA REFS'!AH$1,$Z68,"")))</f>
        <v/>
      </c>
      <c r="BO68" s="497" t="str">
        <f>IF($X$49="WEEKS","",IF($Z68="Manual Entry hrs/wk","",IF($X$49&gt;'FORMULA REFS'!AI$1,$Z68,"")))</f>
        <v/>
      </c>
      <c r="BP68" s="497" t="str">
        <f>IF($X$49="WEEKS","",IF($Z68="Manual Entry hrs/wk","",IF($X$49&gt;'FORMULA REFS'!AJ$1,$Z68,"")))</f>
        <v/>
      </c>
      <c r="BQ68" s="497" t="str">
        <f>IF($X$49="WEEKS","",IF($Z68="Manual Entry hrs/wk","",IF($X$49&gt;'FORMULA REFS'!AK$1,$Z68,"")))</f>
        <v/>
      </c>
      <c r="BR68" s="497" t="str">
        <f>IF($X$49="WEEKS","",IF($Z68="Manual Entry hrs/wk","",IF($X$49&gt;'FORMULA REFS'!AL$1,$Z68,"")))</f>
        <v/>
      </c>
      <c r="BS68" s="497" t="str">
        <f>IF($X$49="WEEKS","",IF($Z68="Manual Entry hrs/wk","",IF($X$49&gt;'FORMULA REFS'!AM$1,$Z68,"")))</f>
        <v/>
      </c>
      <c r="BT68" s="497" t="str">
        <f>IF($X$49="WEEKS","",IF($Z68="Manual Entry hrs/wk","",IF($X$49&gt;'FORMULA REFS'!AN$1,$Z68,"")))</f>
        <v/>
      </c>
      <c r="BU68" s="497" t="str">
        <f>IF($X$49="WEEKS","",IF($Z68="Manual Entry hrs/wk","",IF($X$49&gt;'FORMULA REFS'!AO$1,$Z68,"")))</f>
        <v/>
      </c>
      <c r="BV68" s="497" t="str">
        <f>IF($X$49="WEEKS","",IF($Z68="Manual Entry hrs/wk","",IF($X$49&gt;'FORMULA REFS'!AP$1,$Z68,"")))</f>
        <v/>
      </c>
      <c r="BW68" s="497" t="str">
        <f>IF($X$49="WEEKS","",IF($Z68="Manual Entry hrs/wk","",IF($X$49&gt;'FORMULA REFS'!AQ$1,$Z68,"")))</f>
        <v/>
      </c>
      <c r="BX68" s="497" t="str">
        <f>IF($X$49="WEEKS","",IF($Z68="Manual Entry hrs/wk","",IF($X$49&gt;'FORMULA REFS'!AR$1,$Z68,"")))</f>
        <v/>
      </c>
      <c r="BY68" s="497" t="str">
        <f>IF($X$49="WEEKS","",IF($Z68="Manual Entry hrs/wk","",IF($X$49&gt;'FORMULA REFS'!AS$1,$Z68,"")))</f>
        <v/>
      </c>
      <c r="BZ68" s="497" t="str">
        <f>IF($X$49="WEEKS","",IF($Z68="Manual Entry hrs/wk","",IF($X$49&gt;'FORMULA REFS'!AT$1,$Z68,"")))</f>
        <v/>
      </c>
      <c r="CA68" s="497" t="str">
        <f>IF($X$49="WEEKS","",IF($Z68="Manual Entry hrs/wk","",IF($X$49&gt;'FORMULA REFS'!AU$1,$Z68,"")))</f>
        <v/>
      </c>
      <c r="CB68" s="497" t="str">
        <f>IF($X$49="WEEKS","",IF($Z68="Manual Entry hrs/wk","",IF($X$49&gt;'FORMULA REFS'!AV$1,$Z68,"")))</f>
        <v/>
      </c>
      <c r="CC68" s="497" t="str">
        <f>IF($X$49="WEEKS","",IF($Z68="Manual Entry hrs/wk","",IF($X$49&gt;'FORMULA REFS'!AW$1,$Z68,"")))</f>
        <v/>
      </c>
      <c r="CD68" s="497" t="str">
        <f>IF($X$49="WEEKS","",IF($Z68="Manual Entry hrs/wk","",IF($X$49&gt;'FORMULA REFS'!AX$1,$Z68,"")))</f>
        <v/>
      </c>
      <c r="CE68" s="497" t="str">
        <f>IF($X$49="WEEKS","",IF($Z68="Manual Entry hrs/wk","",IF($X$49&gt;'FORMULA REFS'!AY$1,$Z68,"")))</f>
        <v/>
      </c>
      <c r="CF68" s="497" t="str">
        <f>IF($X$49="WEEKS","",IF($Z68="Manual Entry hrs/wk","",IF($X$49&gt;'FORMULA REFS'!AZ$1,$Z68,"")))</f>
        <v/>
      </c>
      <c r="CG68" s="113"/>
      <c r="CH68" s="349" t="str">
        <f t="shared" si="16"/>
        <v/>
      </c>
      <c r="CI68" s="349">
        <f>IFERROR((_xlfn.XLOOKUP($M68,'Standard Rate Cards'!D:D,'Standard Rate Cards'!E:E))*Y68,0)</f>
        <v>0</v>
      </c>
      <c r="CJ68" s="349">
        <f>IF(CL68&lt;&gt;"","",IF($D$16="Select Type","Select Margin Class",IFERROR(IF($M68="",0,IF($D$16="Client Custom Rates",0,IF($D$16="Standard Rates",_xlfn.XLOOKUP($M68,'Standard Rate Cards'!$D:$D,'Standard Rate Cards'!G:G)))),0)))</f>
        <v>0</v>
      </c>
      <c r="CK68" s="349" cm="1">
        <f t="array" ref="CK68">IF(CL68&lt;&gt;"","",IFERROR(IF($D$16&lt;&gt;"Client Custom Rates",0,INDEX('Client Rate Cards'!E:E,MATCH(1,('Client Rate Cards'!B:B='2. Pricing &amp; Import'!$D$17)*('Client Rate Cards'!D:D='2. Pricing &amp; Import'!N68),0))),0))</f>
        <v>0</v>
      </c>
      <c r="CL68" s="350"/>
    </row>
    <row r="69" spans="3:90" ht="16.05" customHeight="1" x14ac:dyDescent="0.3">
      <c r="C69" s="346"/>
      <c r="D69" s="495"/>
      <c r="E69" s="346"/>
      <c r="F69" s="346" t="str">
        <f>IFERROR(_xlfn.XLOOKUP(E69,'Standard Rate Cards'!$BB$11:$BB$23,'Standard Rate Cards'!$BA$11:$BA$23),"")</f>
        <v/>
      </c>
      <c r="G69" s="346"/>
      <c r="H69" s="346" t="str">
        <f>IFERROR(_xlfn.XLOOKUP(G69,'Standard Rate Cards'!$AP$8:$AP$142,'Standard Rate Cards'!$AQ$8:$AQ$142),"")</f>
        <v/>
      </c>
      <c r="I69" s="346"/>
      <c r="J69" s="346"/>
      <c r="K69" s="496"/>
      <c r="L69" s="496" t="str">
        <f t="shared" si="13"/>
        <v xml:space="preserve"> </v>
      </c>
      <c r="M69" s="496" t="str" cm="1">
        <f t="array" ref="M69">IF(ISBLANK(D69),"",IF(D69&lt;&gt;"CrederaUS",INDEX('Standard Rate Cards'!$D$9:$D$433,MATCH(1,('Standard Rate Cards'!$B$9:$B$433='2. Pricing &amp; Import'!D69)*('Standard Rate Cards'!$C$9:$C$433='2. Pricing &amp; Import'!K69),0)),INDEX('Standard Rate Cards'!$D$9:$D$433,MATCH(1,('Standard Rate Cards'!$B$9:$B$433='2. Pricing &amp; Import'!D69)*('Standard Rate Cards'!$C$9:$C$433='2. Pricing &amp; Import'!K69)*('Standard Rate Cards'!$H$9:$H$433=L69),0))))</f>
        <v/>
      </c>
      <c r="N69" s="347"/>
      <c r="O69" s="110" t="str">
        <f>IF(ISBLANK(K69)," ",_xlfn.XLOOKUP(K69,'Standard Rate Cards'!C:C,'Standard Rate Cards'!H:H))</f>
        <v xml:space="preserve"> </v>
      </c>
      <c r="P69" s="246" t="str">
        <f>IF(ISBLANK($K69)," ",_xlfn.XLOOKUP($K69,'Standard Rate Cards'!C:C,'Standard Rate Cards'!F:F))</f>
        <v xml:space="preserve"> </v>
      </c>
      <c r="Q69" s="348"/>
      <c r="R69" s="250"/>
      <c r="S69" s="680"/>
      <c r="T69" s="681"/>
      <c r="U69" s="1637"/>
      <c r="V69" s="1638"/>
      <c r="W69" s="681"/>
      <c r="X69" s="681" t="str">
        <f t="shared" si="17"/>
        <v/>
      </c>
      <c r="Y69" s="682" t="str">
        <f t="shared" si="18"/>
        <v/>
      </c>
      <c r="Z69" s="1630" t="s">
        <v>309</v>
      </c>
      <c r="AA69" s="1631"/>
      <c r="AG69" s="497" t="str">
        <f>IF($X$49="WEEKS","",IF($Z69="Manual Entry hrs/wk","",IF($X$49&gt;'FORMULA REFS'!A$1,$Z69,"")))</f>
        <v/>
      </c>
      <c r="AH69" s="497" t="str">
        <f>IF($X$49="WEEKS","",IF($Z69="Manual Entry hrs/wk","",IF($X$49&gt;'FORMULA REFS'!B$1,$Z69,"")))</f>
        <v/>
      </c>
      <c r="AI69" s="497" t="str">
        <f>IF($X$49="WEEKS","",IF($Z69="Manual Entry hrs/wk","",IF($X$49&gt;'FORMULA REFS'!C$1,$Z69,"")))</f>
        <v/>
      </c>
      <c r="AJ69" s="497" t="str">
        <f>IF($X$49="WEEKS","",IF($Z69="Manual Entry hrs/wk","",IF($X$49&gt;'FORMULA REFS'!D$1,$Z69,"")))</f>
        <v/>
      </c>
      <c r="AK69" s="497" t="str">
        <f>IF($X$49="WEEKS","",IF($Z69="Manual Entry hrs/wk","",IF($X$49&gt;'FORMULA REFS'!E$1,$Z69,"")))</f>
        <v/>
      </c>
      <c r="AL69" s="497" t="str">
        <f>IF($X$49="WEEKS","",IF($Z69="Manual Entry hrs/wk","",IF($X$49&gt;'FORMULA REFS'!F$1,$Z69,"")))</f>
        <v/>
      </c>
      <c r="AM69" s="497" t="str">
        <f>IF($X$49="WEEKS","",IF($Z69="Manual Entry hrs/wk","",IF($X$49&gt;'FORMULA REFS'!G$1,$Z69,"")))</f>
        <v/>
      </c>
      <c r="AN69" s="497" t="str">
        <f>IF($X$49="WEEKS","",IF($Z69="Manual Entry hrs/wk","",IF($X$49&gt;'FORMULA REFS'!H$1,$Z69,"")))</f>
        <v/>
      </c>
      <c r="AO69" s="497" t="str">
        <f>IF($X$49="WEEKS","",IF($Z69="Manual Entry hrs/wk","",IF($X$49&gt;'FORMULA REFS'!I$1,$Z69,"")))</f>
        <v/>
      </c>
      <c r="AP69" s="497" t="str">
        <f>IF($X$49="WEEKS","",IF($Z69="Manual Entry hrs/wk","",IF($X$49&gt;'FORMULA REFS'!J$1,$Z69,"")))</f>
        <v/>
      </c>
      <c r="AQ69" s="497" t="str">
        <f>IF($X$49="WEEKS","",IF($Z69="Manual Entry hrs/wk","",IF($X$49&gt;'FORMULA REFS'!K$1,$Z69,"")))</f>
        <v/>
      </c>
      <c r="AR69" s="497" t="str">
        <f>IF($X$49="WEEKS","",IF($Z69="Manual Entry hrs/wk","",IF($X$49&gt;'FORMULA REFS'!L$1,$Z69,"")))</f>
        <v/>
      </c>
      <c r="AS69" s="497" t="str">
        <f>IF($X$49="WEEKS","",IF($Z69="Manual Entry hrs/wk","",IF($X$49&gt;'FORMULA REFS'!M$1,$Z69,"")))</f>
        <v/>
      </c>
      <c r="AT69" s="497" t="str">
        <f>IF($X$49="WEEKS","",IF($Z69="Manual Entry hrs/wk","",IF($X$49&gt;'FORMULA REFS'!N$1,$Z69,"")))</f>
        <v/>
      </c>
      <c r="AU69" s="497" t="str">
        <f>IF($X$49="WEEKS","",IF($Z69="Manual Entry hrs/wk","",IF($X$49&gt;'FORMULA REFS'!O$1,$Z69,"")))</f>
        <v/>
      </c>
      <c r="AV69" s="497" t="str">
        <f>IF($X$49="WEEKS","",IF($Z69="Manual Entry hrs/wk","",IF($X$49&gt;'FORMULA REFS'!P$1,$Z69,"")))</f>
        <v/>
      </c>
      <c r="AW69" s="497" t="str">
        <f>IF($X$49="WEEKS","",IF($Z69="Manual Entry hrs/wk","",IF($X$49&gt;'FORMULA REFS'!Q$1,$Z69,"")))</f>
        <v/>
      </c>
      <c r="AX69" s="497" t="str">
        <f>IF($X$49="WEEKS","",IF($Z69="Manual Entry hrs/wk","",IF($X$49&gt;'FORMULA REFS'!R$1,$Z69,"")))</f>
        <v/>
      </c>
      <c r="AY69" s="497" t="str">
        <f>IF($X$49="WEEKS","",IF($Z69="Manual Entry hrs/wk","",IF($X$49&gt;'FORMULA REFS'!S$1,$Z69,"")))</f>
        <v/>
      </c>
      <c r="AZ69" s="497" t="str">
        <f>IF($X$49="WEEKS","",IF($Z69="Manual Entry hrs/wk","",IF($X$49&gt;'FORMULA REFS'!T$1,$Z69,"")))</f>
        <v/>
      </c>
      <c r="BA69" s="497" t="str">
        <f>IF($X$49="WEEKS","",IF($Z69="Manual Entry hrs/wk","",IF($X$49&gt;'FORMULA REFS'!U$1,$Z69,"")))</f>
        <v/>
      </c>
      <c r="BB69" s="497" t="str">
        <f>IF($X$49="WEEKS","",IF($Z69="Manual Entry hrs/wk","",IF($X$49&gt;'FORMULA REFS'!V$1,$Z69,"")))</f>
        <v/>
      </c>
      <c r="BC69" s="497" t="str">
        <f>IF($X$49="WEEKS","",IF($Z69="Manual Entry hrs/wk","",IF($X$49&gt;'FORMULA REFS'!W$1,$Z69,"")))</f>
        <v/>
      </c>
      <c r="BD69" s="497" t="str">
        <f>IF($X$49="WEEKS","",IF($Z69="Manual Entry hrs/wk","",IF($X$49&gt;'FORMULA REFS'!X$1,$Z69,"")))</f>
        <v/>
      </c>
      <c r="BE69" s="497" t="str">
        <f>IF($X$49="WEEKS","",IF($Z69="Manual Entry hrs/wk","",IF($X$49&gt;'FORMULA REFS'!Y$1,$Z69,"")))</f>
        <v/>
      </c>
      <c r="BF69" s="497" t="str">
        <f>IF($X$49="WEEKS","",IF($Z69="Manual Entry hrs/wk","",IF($X$49&gt;'FORMULA REFS'!Z$1,$Z69,"")))</f>
        <v/>
      </c>
      <c r="BG69" s="497" t="str">
        <f>IF($X$49="WEEKS","",IF($Z69="Manual Entry hrs/wk","",IF($X$49&gt;'FORMULA REFS'!AA$1,$Z69,"")))</f>
        <v/>
      </c>
      <c r="BH69" s="497" t="str">
        <f>IF($X$49="WEEKS","",IF($Z69="Manual Entry hrs/wk","",IF($X$49&gt;'FORMULA REFS'!AB$1,$Z69,"")))</f>
        <v/>
      </c>
      <c r="BI69" s="497" t="str">
        <f>IF($X$49="WEEKS","",IF($Z69="Manual Entry hrs/wk","",IF($X$49&gt;'FORMULA REFS'!AC$1,$Z69,"")))</f>
        <v/>
      </c>
      <c r="BJ69" s="497" t="str">
        <f>IF($X$49="WEEKS","",IF($Z69="Manual Entry hrs/wk","",IF($X$49&gt;'FORMULA REFS'!AD$1,$Z69,"")))</f>
        <v/>
      </c>
      <c r="BK69" s="497" t="str">
        <f>IF($X$49="WEEKS","",IF($Z69="Manual Entry hrs/wk","",IF($X$49&gt;'FORMULA REFS'!AE$1,$Z69,"")))</f>
        <v/>
      </c>
      <c r="BL69" s="497" t="str">
        <f>IF($X$49="WEEKS","",IF($Z69="Manual Entry hrs/wk","",IF($X$49&gt;'FORMULA REFS'!AF$1,$Z69,"")))</f>
        <v/>
      </c>
      <c r="BM69" s="497" t="str">
        <f>IF($X$49="WEEKS","",IF($Z69="Manual Entry hrs/wk","",IF($X$49&gt;'FORMULA REFS'!AG$1,$Z69,"")))</f>
        <v/>
      </c>
      <c r="BN69" s="497" t="str">
        <f>IF($X$49="WEEKS","",IF($Z69="Manual Entry hrs/wk","",IF($X$49&gt;'FORMULA REFS'!AH$1,$Z69,"")))</f>
        <v/>
      </c>
      <c r="BO69" s="497" t="str">
        <f>IF($X$49="WEEKS","",IF($Z69="Manual Entry hrs/wk","",IF($X$49&gt;'FORMULA REFS'!AI$1,$Z69,"")))</f>
        <v/>
      </c>
      <c r="BP69" s="497" t="str">
        <f>IF($X$49="WEEKS","",IF($Z69="Manual Entry hrs/wk","",IF($X$49&gt;'FORMULA REFS'!AJ$1,$Z69,"")))</f>
        <v/>
      </c>
      <c r="BQ69" s="497" t="str">
        <f>IF($X$49="WEEKS","",IF($Z69="Manual Entry hrs/wk","",IF($X$49&gt;'FORMULA REFS'!AK$1,$Z69,"")))</f>
        <v/>
      </c>
      <c r="BR69" s="497" t="str">
        <f>IF($X$49="WEEKS","",IF($Z69="Manual Entry hrs/wk","",IF($X$49&gt;'FORMULA REFS'!AL$1,$Z69,"")))</f>
        <v/>
      </c>
      <c r="BS69" s="497" t="str">
        <f>IF($X$49="WEEKS","",IF($Z69="Manual Entry hrs/wk","",IF($X$49&gt;'FORMULA REFS'!AM$1,$Z69,"")))</f>
        <v/>
      </c>
      <c r="BT69" s="497" t="str">
        <f>IF($X$49="WEEKS","",IF($Z69="Manual Entry hrs/wk","",IF($X$49&gt;'FORMULA REFS'!AN$1,$Z69,"")))</f>
        <v/>
      </c>
      <c r="BU69" s="497" t="str">
        <f>IF($X$49="WEEKS","",IF($Z69="Manual Entry hrs/wk","",IF($X$49&gt;'FORMULA REFS'!AO$1,$Z69,"")))</f>
        <v/>
      </c>
      <c r="BV69" s="497" t="str">
        <f>IF($X$49="WEEKS","",IF($Z69="Manual Entry hrs/wk","",IF($X$49&gt;'FORMULA REFS'!AP$1,$Z69,"")))</f>
        <v/>
      </c>
      <c r="BW69" s="497" t="str">
        <f>IF($X$49="WEEKS","",IF($Z69="Manual Entry hrs/wk","",IF($X$49&gt;'FORMULA REFS'!AQ$1,$Z69,"")))</f>
        <v/>
      </c>
      <c r="BX69" s="497" t="str">
        <f>IF($X$49="WEEKS","",IF($Z69="Manual Entry hrs/wk","",IF($X$49&gt;'FORMULA REFS'!AR$1,$Z69,"")))</f>
        <v/>
      </c>
      <c r="BY69" s="497" t="str">
        <f>IF($X$49="WEEKS","",IF($Z69="Manual Entry hrs/wk","",IF($X$49&gt;'FORMULA REFS'!AS$1,$Z69,"")))</f>
        <v/>
      </c>
      <c r="BZ69" s="497" t="str">
        <f>IF($X$49="WEEKS","",IF($Z69="Manual Entry hrs/wk","",IF($X$49&gt;'FORMULA REFS'!AT$1,$Z69,"")))</f>
        <v/>
      </c>
      <c r="CA69" s="497" t="str">
        <f>IF($X$49="WEEKS","",IF($Z69="Manual Entry hrs/wk","",IF($X$49&gt;'FORMULA REFS'!AU$1,$Z69,"")))</f>
        <v/>
      </c>
      <c r="CB69" s="497" t="str">
        <f>IF($X$49="WEEKS","",IF($Z69="Manual Entry hrs/wk","",IF($X$49&gt;'FORMULA REFS'!AV$1,$Z69,"")))</f>
        <v/>
      </c>
      <c r="CC69" s="497" t="str">
        <f>IF($X$49="WEEKS","",IF($Z69="Manual Entry hrs/wk","",IF($X$49&gt;'FORMULA REFS'!AW$1,$Z69,"")))</f>
        <v/>
      </c>
      <c r="CD69" s="497" t="str">
        <f>IF($X$49="WEEKS","",IF($Z69="Manual Entry hrs/wk","",IF($X$49&gt;'FORMULA REFS'!AX$1,$Z69,"")))</f>
        <v/>
      </c>
      <c r="CE69" s="497" t="str">
        <f>IF($X$49="WEEKS","",IF($Z69="Manual Entry hrs/wk","",IF($X$49&gt;'FORMULA REFS'!AY$1,$Z69,"")))</f>
        <v/>
      </c>
      <c r="CF69" s="497" t="str">
        <f>IF($X$49="WEEKS","",IF($Z69="Manual Entry hrs/wk","",IF($X$49&gt;'FORMULA REFS'!AZ$1,$Z69,"")))</f>
        <v/>
      </c>
      <c r="CG69" s="113"/>
      <c r="CH69" s="349" t="str">
        <f t="shared" si="16"/>
        <v/>
      </c>
      <c r="CI69" s="349">
        <f>IFERROR((_xlfn.XLOOKUP($M69,'Standard Rate Cards'!D:D,'Standard Rate Cards'!E:E))*Y69,0)</f>
        <v>0</v>
      </c>
      <c r="CJ69" s="349">
        <f>IF(CL69&lt;&gt;"","",IF($D$16="Select Type","Select Margin Class",IFERROR(IF($M69="",0,IF($D$16="Client Custom Rates",0,IF($D$16="Standard Rates",_xlfn.XLOOKUP($M69,'Standard Rate Cards'!$D:$D,'Standard Rate Cards'!G:G)))),0)))</f>
        <v>0</v>
      </c>
      <c r="CK69" s="349" cm="1">
        <f t="array" ref="CK69">IF(CL69&lt;&gt;"","",IFERROR(IF($D$16&lt;&gt;"Client Custom Rates",0,INDEX('Client Rate Cards'!E:E,MATCH(1,('Client Rate Cards'!B:B='2. Pricing &amp; Import'!$D$17)*('Client Rate Cards'!D:D='2. Pricing &amp; Import'!N69),0))),0))</f>
        <v>0</v>
      </c>
      <c r="CL69" s="350"/>
    </row>
    <row r="70" spans="3:90" ht="16.05" customHeight="1" x14ac:dyDescent="0.3">
      <c r="C70" s="346"/>
      <c r="D70" s="495"/>
      <c r="E70" s="346"/>
      <c r="F70" s="346" t="str">
        <f>IFERROR(_xlfn.XLOOKUP(E70,'Standard Rate Cards'!$BB$11:$BB$23,'Standard Rate Cards'!$BA$11:$BA$23),"")</f>
        <v/>
      </c>
      <c r="G70" s="346"/>
      <c r="H70" s="346" t="str">
        <f>IFERROR(_xlfn.XLOOKUP(G70,'Standard Rate Cards'!$AP$8:$AP$142,'Standard Rate Cards'!$AQ$8:$AQ$142),"")</f>
        <v/>
      </c>
      <c r="I70" s="346"/>
      <c r="J70" s="346"/>
      <c r="K70" s="496"/>
      <c r="L70" s="496" t="str">
        <f t="shared" si="13"/>
        <v xml:space="preserve"> </v>
      </c>
      <c r="M70" s="496" t="str" cm="1">
        <f t="array" ref="M70">IF(ISBLANK(D70),"",IF(D70&lt;&gt;"CrederaUS",INDEX('Standard Rate Cards'!$D$9:$D$433,MATCH(1,('Standard Rate Cards'!$B$9:$B$433='2. Pricing &amp; Import'!D70)*('Standard Rate Cards'!$C$9:$C$433='2. Pricing &amp; Import'!K70),0)),INDEX('Standard Rate Cards'!$D$9:$D$433,MATCH(1,('Standard Rate Cards'!$B$9:$B$433='2. Pricing &amp; Import'!D70)*('Standard Rate Cards'!$C$9:$C$433='2. Pricing &amp; Import'!K70)*('Standard Rate Cards'!$H$9:$H$433=L70),0))))</f>
        <v/>
      </c>
      <c r="N70" s="347"/>
      <c r="O70" s="110" t="str">
        <f>IF(ISBLANK(K70)," ",_xlfn.XLOOKUP(K70,'Standard Rate Cards'!C:C,'Standard Rate Cards'!H:H))</f>
        <v xml:space="preserve"> </v>
      </c>
      <c r="P70" s="246" t="str">
        <f>IF(ISBLANK($K70)," ",_xlfn.XLOOKUP($K70,'Standard Rate Cards'!C:C,'Standard Rate Cards'!F:F))</f>
        <v xml:space="preserve"> </v>
      </c>
      <c r="Q70" s="348"/>
      <c r="R70" s="250"/>
      <c r="S70" s="680"/>
      <c r="T70" s="681"/>
      <c r="U70" s="1637"/>
      <c r="V70" s="1638"/>
      <c r="W70" s="681"/>
      <c r="X70" s="681" t="str">
        <f t="shared" si="17"/>
        <v/>
      </c>
      <c r="Y70" s="682" t="str">
        <f t="shared" si="18"/>
        <v/>
      </c>
      <c r="Z70" s="1630" t="s">
        <v>309</v>
      </c>
      <c r="AA70" s="1631"/>
      <c r="AG70" s="497" t="str">
        <f>IF($X$49="WEEKS","",IF($Z70="Manual Entry hrs/wk","",IF($X$49&gt;'FORMULA REFS'!A$1,$Z70,"")))</f>
        <v/>
      </c>
      <c r="AH70" s="497" t="str">
        <f>IF($X$49="WEEKS","",IF($Z70="Manual Entry hrs/wk","",IF($X$49&gt;'FORMULA REFS'!B$1,$Z70,"")))</f>
        <v/>
      </c>
      <c r="AI70" s="497" t="str">
        <f>IF($X$49="WEEKS","",IF($Z70="Manual Entry hrs/wk","",IF($X$49&gt;'FORMULA REFS'!C$1,$Z70,"")))</f>
        <v/>
      </c>
      <c r="AJ70" s="497" t="str">
        <f>IF($X$49="WEEKS","",IF($Z70="Manual Entry hrs/wk","",IF($X$49&gt;'FORMULA REFS'!D$1,$Z70,"")))</f>
        <v/>
      </c>
      <c r="AK70" s="497" t="str">
        <f>IF($X$49="WEEKS","",IF($Z70="Manual Entry hrs/wk","",IF($X$49&gt;'FORMULA REFS'!E$1,$Z70,"")))</f>
        <v/>
      </c>
      <c r="AL70" s="497" t="str">
        <f>IF($X$49="WEEKS","",IF($Z70="Manual Entry hrs/wk","",IF($X$49&gt;'FORMULA REFS'!F$1,$Z70,"")))</f>
        <v/>
      </c>
      <c r="AM70" s="497" t="str">
        <f>IF($X$49="WEEKS","",IF($Z70="Manual Entry hrs/wk","",IF($X$49&gt;'FORMULA REFS'!G$1,$Z70,"")))</f>
        <v/>
      </c>
      <c r="AN70" s="497" t="str">
        <f>IF($X$49="WEEKS","",IF($Z70="Manual Entry hrs/wk","",IF($X$49&gt;'FORMULA REFS'!H$1,$Z70,"")))</f>
        <v/>
      </c>
      <c r="AO70" s="497" t="str">
        <f>IF($X$49="WEEKS","",IF($Z70="Manual Entry hrs/wk","",IF($X$49&gt;'FORMULA REFS'!I$1,$Z70,"")))</f>
        <v/>
      </c>
      <c r="AP70" s="497" t="str">
        <f>IF($X$49="WEEKS","",IF($Z70="Manual Entry hrs/wk","",IF($X$49&gt;'FORMULA REFS'!J$1,$Z70,"")))</f>
        <v/>
      </c>
      <c r="AQ70" s="497" t="str">
        <f>IF($X$49="WEEKS","",IF($Z70="Manual Entry hrs/wk","",IF($X$49&gt;'FORMULA REFS'!K$1,$Z70,"")))</f>
        <v/>
      </c>
      <c r="AR70" s="497" t="str">
        <f>IF($X$49="WEEKS","",IF($Z70="Manual Entry hrs/wk","",IF($X$49&gt;'FORMULA REFS'!L$1,$Z70,"")))</f>
        <v/>
      </c>
      <c r="AS70" s="497" t="str">
        <f>IF($X$49="WEEKS","",IF($Z70="Manual Entry hrs/wk","",IF($X$49&gt;'FORMULA REFS'!M$1,$Z70,"")))</f>
        <v/>
      </c>
      <c r="AT70" s="497" t="str">
        <f>IF($X$49="WEEKS","",IF($Z70="Manual Entry hrs/wk","",IF($X$49&gt;'FORMULA REFS'!N$1,$Z70,"")))</f>
        <v/>
      </c>
      <c r="AU70" s="497" t="str">
        <f>IF($X$49="WEEKS","",IF($Z70="Manual Entry hrs/wk","",IF($X$49&gt;'FORMULA REFS'!O$1,$Z70,"")))</f>
        <v/>
      </c>
      <c r="AV70" s="497" t="str">
        <f>IF($X$49="WEEKS","",IF($Z70="Manual Entry hrs/wk","",IF($X$49&gt;'FORMULA REFS'!P$1,$Z70,"")))</f>
        <v/>
      </c>
      <c r="AW70" s="497" t="str">
        <f>IF($X$49="WEEKS","",IF($Z70="Manual Entry hrs/wk","",IF($X$49&gt;'FORMULA REFS'!Q$1,$Z70,"")))</f>
        <v/>
      </c>
      <c r="AX70" s="497" t="str">
        <f>IF($X$49="WEEKS","",IF($Z70="Manual Entry hrs/wk","",IF($X$49&gt;'FORMULA REFS'!R$1,$Z70,"")))</f>
        <v/>
      </c>
      <c r="AY70" s="497" t="str">
        <f>IF($X$49="WEEKS","",IF($Z70="Manual Entry hrs/wk","",IF($X$49&gt;'FORMULA REFS'!S$1,$Z70,"")))</f>
        <v/>
      </c>
      <c r="AZ70" s="497" t="str">
        <f>IF($X$49="WEEKS","",IF($Z70="Manual Entry hrs/wk","",IF($X$49&gt;'FORMULA REFS'!T$1,$Z70,"")))</f>
        <v/>
      </c>
      <c r="BA70" s="497" t="str">
        <f>IF($X$49="WEEKS","",IF($Z70="Manual Entry hrs/wk","",IF($X$49&gt;'FORMULA REFS'!U$1,$Z70,"")))</f>
        <v/>
      </c>
      <c r="BB70" s="497" t="str">
        <f>IF($X$49="WEEKS","",IF($Z70="Manual Entry hrs/wk","",IF($X$49&gt;'FORMULA REFS'!V$1,$Z70,"")))</f>
        <v/>
      </c>
      <c r="BC70" s="497" t="str">
        <f>IF($X$49="WEEKS","",IF($Z70="Manual Entry hrs/wk","",IF($X$49&gt;'FORMULA REFS'!W$1,$Z70,"")))</f>
        <v/>
      </c>
      <c r="BD70" s="497" t="str">
        <f>IF($X$49="WEEKS","",IF($Z70="Manual Entry hrs/wk","",IF($X$49&gt;'FORMULA REFS'!X$1,$Z70,"")))</f>
        <v/>
      </c>
      <c r="BE70" s="497" t="str">
        <f>IF($X$49="WEEKS","",IF($Z70="Manual Entry hrs/wk","",IF($X$49&gt;'FORMULA REFS'!Y$1,$Z70,"")))</f>
        <v/>
      </c>
      <c r="BF70" s="497" t="str">
        <f>IF($X$49="WEEKS","",IF($Z70="Manual Entry hrs/wk","",IF($X$49&gt;'FORMULA REFS'!Z$1,$Z70,"")))</f>
        <v/>
      </c>
      <c r="BG70" s="497" t="str">
        <f>IF($X$49="WEEKS","",IF($Z70="Manual Entry hrs/wk","",IF($X$49&gt;'FORMULA REFS'!AA$1,$Z70,"")))</f>
        <v/>
      </c>
      <c r="BH70" s="497" t="str">
        <f>IF($X$49="WEEKS","",IF($Z70="Manual Entry hrs/wk","",IF($X$49&gt;'FORMULA REFS'!AB$1,$Z70,"")))</f>
        <v/>
      </c>
      <c r="BI70" s="497" t="str">
        <f>IF($X$49="WEEKS","",IF($Z70="Manual Entry hrs/wk","",IF($X$49&gt;'FORMULA REFS'!AC$1,$Z70,"")))</f>
        <v/>
      </c>
      <c r="BJ70" s="497" t="str">
        <f>IF($X$49="WEEKS","",IF($Z70="Manual Entry hrs/wk","",IF($X$49&gt;'FORMULA REFS'!AD$1,$Z70,"")))</f>
        <v/>
      </c>
      <c r="BK70" s="497" t="str">
        <f>IF($X$49="WEEKS","",IF($Z70="Manual Entry hrs/wk","",IF($X$49&gt;'FORMULA REFS'!AE$1,$Z70,"")))</f>
        <v/>
      </c>
      <c r="BL70" s="497" t="str">
        <f>IF($X$49="WEEKS","",IF($Z70="Manual Entry hrs/wk","",IF($X$49&gt;'FORMULA REFS'!AF$1,$Z70,"")))</f>
        <v/>
      </c>
      <c r="BM70" s="497" t="str">
        <f>IF($X$49="WEEKS","",IF($Z70="Manual Entry hrs/wk","",IF($X$49&gt;'FORMULA REFS'!AG$1,$Z70,"")))</f>
        <v/>
      </c>
      <c r="BN70" s="497" t="str">
        <f>IF($X$49="WEEKS","",IF($Z70="Manual Entry hrs/wk","",IF($X$49&gt;'FORMULA REFS'!AH$1,$Z70,"")))</f>
        <v/>
      </c>
      <c r="BO70" s="497" t="str">
        <f>IF($X$49="WEEKS","",IF($Z70="Manual Entry hrs/wk","",IF($X$49&gt;'FORMULA REFS'!AI$1,$Z70,"")))</f>
        <v/>
      </c>
      <c r="BP70" s="497" t="str">
        <f>IF($X$49="WEEKS","",IF($Z70="Manual Entry hrs/wk","",IF($X$49&gt;'FORMULA REFS'!AJ$1,$Z70,"")))</f>
        <v/>
      </c>
      <c r="BQ70" s="497" t="str">
        <f>IF($X$49="WEEKS","",IF($Z70="Manual Entry hrs/wk","",IF($X$49&gt;'FORMULA REFS'!AK$1,$Z70,"")))</f>
        <v/>
      </c>
      <c r="BR70" s="497" t="str">
        <f>IF($X$49="WEEKS","",IF($Z70="Manual Entry hrs/wk","",IF($X$49&gt;'FORMULA REFS'!AL$1,$Z70,"")))</f>
        <v/>
      </c>
      <c r="BS70" s="497" t="str">
        <f>IF($X$49="WEEKS","",IF($Z70="Manual Entry hrs/wk","",IF($X$49&gt;'FORMULA REFS'!AM$1,$Z70,"")))</f>
        <v/>
      </c>
      <c r="BT70" s="497" t="str">
        <f>IF($X$49="WEEKS","",IF($Z70="Manual Entry hrs/wk","",IF($X$49&gt;'FORMULA REFS'!AN$1,$Z70,"")))</f>
        <v/>
      </c>
      <c r="BU70" s="497" t="str">
        <f>IF($X$49="WEEKS","",IF($Z70="Manual Entry hrs/wk","",IF($X$49&gt;'FORMULA REFS'!AO$1,$Z70,"")))</f>
        <v/>
      </c>
      <c r="BV70" s="497" t="str">
        <f>IF($X$49="WEEKS","",IF($Z70="Manual Entry hrs/wk","",IF($X$49&gt;'FORMULA REFS'!AP$1,$Z70,"")))</f>
        <v/>
      </c>
      <c r="BW70" s="497" t="str">
        <f>IF($X$49="WEEKS","",IF($Z70="Manual Entry hrs/wk","",IF($X$49&gt;'FORMULA REFS'!AQ$1,$Z70,"")))</f>
        <v/>
      </c>
      <c r="BX70" s="497" t="str">
        <f>IF($X$49="WEEKS","",IF($Z70="Manual Entry hrs/wk","",IF($X$49&gt;'FORMULA REFS'!AR$1,$Z70,"")))</f>
        <v/>
      </c>
      <c r="BY70" s="497" t="str">
        <f>IF($X$49="WEEKS","",IF($Z70="Manual Entry hrs/wk","",IF($X$49&gt;'FORMULA REFS'!AS$1,$Z70,"")))</f>
        <v/>
      </c>
      <c r="BZ70" s="497" t="str">
        <f>IF($X$49="WEEKS","",IF($Z70="Manual Entry hrs/wk","",IF($X$49&gt;'FORMULA REFS'!AT$1,$Z70,"")))</f>
        <v/>
      </c>
      <c r="CA70" s="497" t="str">
        <f>IF($X$49="WEEKS","",IF($Z70="Manual Entry hrs/wk","",IF($X$49&gt;'FORMULA REFS'!AU$1,$Z70,"")))</f>
        <v/>
      </c>
      <c r="CB70" s="497" t="str">
        <f>IF($X$49="WEEKS","",IF($Z70="Manual Entry hrs/wk","",IF($X$49&gt;'FORMULA REFS'!AV$1,$Z70,"")))</f>
        <v/>
      </c>
      <c r="CC70" s="497" t="str">
        <f>IF($X$49="WEEKS","",IF($Z70="Manual Entry hrs/wk","",IF($X$49&gt;'FORMULA REFS'!AW$1,$Z70,"")))</f>
        <v/>
      </c>
      <c r="CD70" s="497" t="str">
        <f>IF($X$49="WEEKS","",IF($Z70="Manual Entry hrs/wk","",IF($X$49&gt;'FORMULA REFS'!AX$1,$Z70,"")))</f>
        <v/>
      </c>
      <c r="CE70" s="497" t="str">
        <f>IF($X$49="WEEKS","",IF($Z70="Manual Entry hrs/wk","",IF($X$49&gt;'FORMULA REFS'!AY$1,$Z70,"")))</f>
        <v/>
      </c>
      <c r="CF70" s="497" t="str">
        <f>IF($X$49="WEEKS","",IF($Z70="Manual Entry hrs/wk","",IF($X$49&gt;'FORMULA REFS'!AZ$1,$Z70,"")))</f>
        <v/>
      </c>
      <c r="CG70" s="113"/>
      <c r="CH70" s="349" t="str">
        <f t="shared" si="16"/>
        <v/>
      </c>
      <c r="CI70" s="349">
        <f>IFERROR((_xlfn.XLOOKUP($M70,'Standard Rate Cards'!D:D,'Standard Rate Cards'!E:E))*Y70,0)</f>
        <v>0</v>
      </c>
      <c r="CJ70" s="349">
        <f>IF(CL70&lt;&gt;"","",IF($D$16="Select Type","Select Margin Class",IFERROR(IF($M70="",0,IF($D$16="Client Custom Rates",0,IF($D$16="Standard Rates",_xlfn.XLOOKUP($M70,'Standard Rate Cards'!$D:$D,'Standard Rate Cards'!G:G)))),0)))</f>
        <v>0</v>
      </c>
      <c r="CK70" s="349" cm="1">
        <f t="array" ref="CK70">IF(CL70&lt;&gt;"","",IFERROR(IF($D$16&lt;&gt;"Client Custom Rates",0,INDEX('Client Rate Cards'!E:E,MATCH(1,('Client Rate Cards'!B:B='2. Pricing &amp; Import'!$D$17)*('Client Rate Cards'!D:D='2. Pricing &amp; Import'!N70),0))),0))</f>
        <v>0</v>
      </c>
      <c r="CL70" s="350"/>
    </row>
    <row r="71" spans="3:90" ht="16.05" customHeight="1" x14ac:dyDescent="0.3">
      <c r="C71" s="346"/>
      <c r="D71" s="495"/>
      <c r="E71" s="346"/>
      <c r="F71" s="346" t="str">
        <f>IFERROR(_xlfn.XLOOKUP(E71,'Standard Rate Cards'!$BB$11:$BB$23,'Standard Rate Cards'!$BA$11:$BA$23),"")</f>
        <v/>
      </c>
      <c r="G71" s="346"/>
      <c r="H71" s="346" t="str">
        <f>IFERROR(_xlfn.XLOOKUP(G71,'Standard Rate Cards'!$AP$8:$AP$142,'Standard Rate Cards'!$AQ$8:$AQ$142),"")</f>
        <v/>
      </c>
      <c r="I71" s="346"/>
      <c r="J71" s="346"/>
      <c r="K71" s="496"/>
      <c r="L71" s="496" t="str">
        <f t="shared" si="13"/>
        <v xml:space="preserve"> </v>
      </c>
      <c r="M71" s="496" t="str" cm="1">
        <f t="array" ref="M71">IF(ISBLANK(D71),"",IF(D71&lt;&gt;"CrederaUS",INDEX('Standard Rate Cards'!$D$9:$D$433,MATCH(1,('Standard Rate Cards'!$B$9:$B$433='2. Pricing &amp; Import'!D71)*('Standard Rate Cards'!$C$9:$C$433='2. Pricing &amp; Import'!K71),0)),INDEX('Standard Rate Cards'!$D$9:$D$433,MATCH(1,('Standard Rate Cards'!$B$9:$B$433='2. Pricing &amp; Import'!D71)*('Standard Rate Cards'!$C$9:$C$433='2. Pricing &amp; Import'!K71)*('Standard Rate Cards'!$H$9:$H$433=L71),0))))</f>
        <v/>
      </c>
      <c r="N71" s="347"/>
      <c r="O71" s="110" t="str">
        <f>IF(ISBLANK(K71)," ",_xlfn.XLOOKUP(K71,'Standard Rate Cards'!C:C,'Standard Rate Cards'!H:H))</f>
        <v xml:space="preserve"> </v>
      </c>
      <c r="P71" s="246" t="str">
        <f>IF(ISBLANK($K71)," ",_xlfn.XLOOKUP($K71,'Standard Rate Cards'!C:C,'Standard Rate Cards'!F:F))</f>
        <v xml:space="preserve"> </v>
      </c>
      <c r="Q71" s="348"/>
      <c r="R71" s="250"/>
      <c r="S71" s="680"/>
      <c r="T71" s="681"/>
      <c r="U71" s="1637"/>
      <c r="V71" s="1638"/>
      <c r="W71" s="681"/>
      <c r="X71" s="681" t="str">
        <f t="shared" si="17"/>
        <v/>
      </c>
      <c r="Y71" s="682" t="str">
        <f t="shared" si="18"/>
        <v/>
      </c>
      <c r="Z71" s="1630" t="s">
        <v>309</v>
      </c>
      <c r="AA71" s="1631"/>
      <c r="AG71" s="497" t="str">
        <f>IF($X$49="WEEKS","",IF($Z71="Manual Entry hrs/wk","",IF($X$49&gt;'FORMULA REFS'!A$1,$Z71,"")))</f>
        <v/>
      </c>
      <c r="AH71" s="497" t="str">
        <f>IF($X$49="WEEKS","",IF($Z71="Manual Entry hrs/wk","",IF($X$49&gt;'FORMULA REFS'!B$1,$Z71,"")))</f>
        <v/>
      </c>
      <c r="AI71" s="497" t="str">
        <f>IF($X$49="WEEKS","",IF($Z71="Manual Entry hrs/wk","",IF($X$49&gt;'FORMULA REFS'!C$1,$Z71,"")))</f>
        <v/>
      </c>
      <c r="AJ71" s="497" t="str">
        <f>IF($X$49="WEEKS","",IF($Z71="Manual Entry hrs/wk","",IF($X$49&gt;'FORMULA REFS'!D$1,$Z71,"")))</f>
        <v/>
      </c>
      <c r="AK71" s="497" t="str">
        <f>IF($X$49="WEEKS","",IF($Z71="Manual Entry hrs/wk","",IF($X$49&gt;'FORMULA REFS'!E$1,$Z71,"")))</f>
        <v/>
      </c>
      <c r="AL71" s="497" t="str">
        <f>IF($X$49="WEEKS","",IF($Z71="Manual Entry hrs/wk","",IF($X$49&gt;'FORMULA REFS'!F$1,$Z71,"")))</f>
        <v/>
      </c>
      <c r="AM71" s="497" t="str">
        <f>IF($X$49="WEEKS","",IF($Z71="Manual Entry hrs/wk","",IF($X$49&gt;'FORMULA REFS'!G$1,$Z71,"")))</f>
        <v/>
      </c>
      <c r="AN71" s="497" t="str">
        <f>IF($X$49="WEEKS","",IF($Z71="Manual Entry hrs/wk","",IF($X$49&gt;'FORMULA REFS'!H$1,$Z71,"")))</f>
        <v/>
      </c>
      <c r="AO71" s="497" t="str">
        <f>IF($X$49="WEEKS","",IF($Z71="Manual Entry hrs/wk","",IF($X$49&gt;'FORMULA REFS'!I$1,$Z71,"")))</f>
        <v/>
      </c>
      <c r="AP71" s="497" t="str">
        <f>IF($X$49="WEEKS","",IF($Z71="Manual Entry hrs/wk","",IF($X$49&gt;'FORMULA REFS'!J$1,$Z71,"")))</f>
        <v/>
      </c>
      <c r="AQ71" s="497" t="str">
        <f>IF($X$49="WEEKS","",IF($Z71="Manual Entry hrs/wk","",IF($X$49&gt;'FORMULA REFS'!K$1,$Z71,"")))</f>
        <v/>
      </c>
      <c r="AR71" s="497" t="str">
        <f>IF($X$49="WEEKS","",IF($Z71="Manual Entry hrs/wk","",IF($X$49&gt;'FORMULA REFS'!L$1,$Z71,"")))</f>
        <v/>
      </c>
      <c r="AS71" s="497" t="str">
        <f>IF($X$49="WEEKS","",IF($Z71="Manual Entry hrs/wk","",IF($X$49&gt;'FORMULA REFS'!M$1,$Z71,"")))</f>
        <v/>
      </c>
      <c r="AT71" s="497" t="str">
        <f>IF($X$49="WEEKS","",IF($Z71="Manual Entry hrs/wk","",IF($X$49&gt;'FORMULA REFS'!N$1,$Z71,"")))</f>
        <v/>
      </c>
      <c r="AU71" s="497" t="str">
        <f>IF($X$49="WEEKS","",IF($Z71="Manual Entry hrs/wk","",IF($X$49&gt;'FORMULA REFS'!O$1,$Z71,"")))</f>
        <v/>
      </c>
      <c r="AV71" s="497" t="str">
        <f>IF($X$49="WEEKS","",IF($Z71="Manual Entry hrs/wk","",IF($X$49&gt;'FORMULA REFS'!P$1,$Z71,"")))</f>
        <v/>
      </c>
      <c r="AW71" s="497" t="str">
        <f>IF($X$49="WEEKS","",IF($Z71="Manual Entry hrs/wk","",IF($X$49&gt;'FORMULA REFS'!Q$1,$Z71,"")))</f>
        <v/>
      </c>
      <c r="AX71" s="497" t="str">
        <f>IF($X$49="WEEKS","",IF($Z71="Manual Entry hrs/wk","",IF($X$49&gt;'FORMULA REFS'!R$1,$Z71,"")))</f>
        <v/>
      </c>
      <c r="AY71" s="497" t="str">
        <f>IF($X$49="WEEKS","",IF($Z71="Manual Entry hrs/wk","",IF($X$49&gt;'FORMULA REFS'!S$1,$Z71,"")))</f>
        <v/>
      </c>
      <c r="AZ71" s="497" t="str">
        <f>IF($X$49="WEEKS","",IF($Z71="Manual Entry hrs/wk","",IF($X$49&gt;'FORMULA REFS'!T$1,$Z71,"")))</f>
        <v/>
      </c>
      <c r="BA71" s="497" t="str">
        <f>IF($X$49="WEEKS","",IF($Z71="Manual Entry hrs/wk","",IF($X$49&gt;'FORMULA REFS'!U$1,$Z71,"")))</f>
        <v/>
      </c>
      <c r="BB71" s="497" t="str">
        <f>IF($X$49="WEEKS","",IF($Z71="Manual Entry hrs/wk","",IF($X$49&gt;'FORMULA REFS'!V$1,$Z71,"")))</f>
        <v/>
      </c>
      <c r="BC71" s="497" t="str">
        <f>IF($X$49="WEEKS","",IF($Z71="Manual Entry hrs/wk","",IF($X$49&gt;'FORMULA REFS'!W$1,$Z71,"")))</f>
        <v/>
      </c>
      <c r="BD71" s="497" t="str">
        <f>IF($X$49="WEEKS","",IF($Z71="Manual Entry hrs/wk","",IF($X$49&gt;'FORMULA REFS'!X$1,$Z71,"")))</f>
        <v/>
      </c>
      <c r="BE71" s="497" t="str">
        <f>IF($X$49="WEEKS","",IF($Z71="Manual Entry hrs/wk","",IF($X$49&gt;'FORMULA REFS'!Y$1,$Z71,"")))</f>
        <v/>
      </c>
      <c r="BF71" s="497" t="str">
        <f>IF($X$49="WEEKS","",IF($Z71="Manual Entry hrs/wk","",IF($X$49&gt;'FORMULA REFS'!Z$1,$Z71,"")))</f>
        <v/>
      </c>
      <c r="BG71" s="497" t="str">
        <f>IF($X$49="WEEKS","",IF($Z71="Manual Entry hrs/wk","",IF($X$49&gt;'FORMULA REFS'!AA$1,$Z71,"")))</f>
        <v/>
      </c>
      <c r="BH71" s="497" t="str">
        <f>IF($X$49="WEEKS","",IF($Z71="Manual Entry hrs/wk","",IF($X$49&gt;'FORMULA REFS'!AB$1,$Z71,"")))</f>
        <v/>
      </c>
      <c r="BI71" s="497" t="str">
        <f>IF($X$49="WEEKS","",IF($Z71="Manual Entry hrs/wk","",IF($X$49&gt;'FORMULA REFS'!AC$1,$Z71,"")))</f>
        <v/>
      </c>
      <c r="BJ71" s="497" t="str">
        <f>IF($X$49="WEEKS","",IF($Z71="Manual Entry hrs/wk","",IF($X$49&gt;'FORMULA REFS'!AD$1,$Z71,"")))</f>
        <v/>
      </c>
      <c r="BK71" s="497" t="str">
        <f>IF($X$49="WEEKS","",IF($Z71="Manual Entry hrs/wk","",IF($X$49&gt;'FORMULA REFS'!AE$1,$Z71,"")))</f>
        <v/>
      </c>
      <c r="BL71" s="497" t="str">
        <f>IF($X$49="WEEKS","",IF($Z71="Manual Entry hrs/wk","",IF($X$49&gt;'FORMULA REFS'!AF$1,$Z71,"")))</f>
        <v/>
      </c>
      <c r="BM71" s="497" t="str">
        <f>IF($X$49="WEEKS","",IF($Z71="Manual Entry hrs/wk","",IF($X$49&gt;'FORMULA REFS'!AG$1,$Z71,"")))</f>
        <v/>
      </c>
      <c r="BN71" s="497" t="str">
        <f>IF($X$49="WEEKS","",IF($Z71="Manual Entry hrs/wk","",IF($X$49&gt;'FORMULA REFS'!AH$1,$Z71,"")))</f>
        <v/>
      </c>
      <c r="BO71" s="497" t="str">
        <f>IF($X$49="WEEKS","",IF($Z71="Manual Entry hrs/wk","",IF($X$49&gt;'FORMULA REFS'!AI$1,$Z71,"")))</f>
        <v/>
      </c>
      <c r="BP71" s="497" t="str">
        <f>IF($X$49="WEEKS","",IF($Z71="Manual Entry hrs/wk","",IF($X$49&gt;'FORMULA REFS'!AJ$1,$Z71,"")))</f>
        <v/>
      </c>
      <c r="BQ71" s="497" t="str">
        <f>IF($X$49="WEEKS","",IF($Z71="Manual Entry hrs/wk","",IF($X$49&gt;'FORMULA REFS'!AK$1,$Z71,"")))</f>
        <v/>
      </c>
      <c r="BR71" s="497" t="str">
        <f>IF($X$49="WEEKS","",IF($Z71="Manual Entry hrs/wk","",IF($X$49&gt;'FORMULA REFS'!AL$1,$Z71,"")))</f>
        <v/>
      </c>
      <c r="BS71" s="497" t="str">
        <f>IF($X$49="WEEKS","",IF($Z71="Manual Entry hrs/wk","",IF($X$49&gt;'FORMULA REFS'!AM$1,$Z71,"")))</f>
        <v/>
      </c>
      <c r="BT71" s="497" t="str">
        <f>IF($X$49="WEEKS","",IF($Z71="Manual Entry hrs/wk","",IF($X$49&gt;'FORMULA REFS'!AN$1,$Z71,"")))</f>
        <v/>
      </c>
      <c r="BU71" s="497" t="str">
        <f>IF($X$49="WEEKS","",IF($Z71="Manual Entry hrs/wk","",IF($X$49&gt;'FORMULA REFS'!AO$1,$Z71,"")))</f>
        <v/>
      </c>
      <c r="BV71" s="497" t="str">
        <f>IF($X$49="WEEKS","",IF($Z71="Manual Entry hrs/wk","",IF($X$49&gt;'FORMULA REFS'!AP$1,$Z71,"")))</f>
        <v/>
      </c>
      <c r="BW71" s="497" t="str">
        <f>IF($X$49="WEEKS","",IF($Z71="Manual Entry hrs/wk","",IF($X$49&gt;'FORMULA REFS'!AQ$1,$Z71,"")))</f>
        <v/>
      </c>
      <c r="BX71" s="497" t="str">
        <f>IF($X$49="WEEKS","",IF($Z71="Manual Entry hrs/wk","",IF($X$49&gt;'FORMULA REFS'!AR$1,$Z71,"")))</f>
        <v/>
      </c>
      <c r="BY71" s="497" t="str">
        <f>IF($X$49="WEEKS","",IF($Z71="Manual Entry hrs/wk","",IF($X$49&gt;'FORMULA REFS'!AS$1,$Z71,"")))</f>
        <v/>
      </c>
      <c r="BZ71" s="497" t="str">
        <f>IF($X$49="WEEKS","",IF($Z71="Manual Entry hrs/wk","",IF($X$49&gt;'FORMULA REFS'!AT$1,$Z71,"")))</f>
        <v/>
      </c>
      <c r="CA71" s="497" t="str">
        <f>IF($X$49="WEEKS","",IF($Z71="Manual Entry hrs/wk","",IF($X$49&gt;'FORMULA REFS'!AU$1,$Z71,"")))</f>
        <v/>
      </c>
      <c r="CB71" s="497" t="str">
        <f>IF($X$49="WEEKS","",IF($Z71="Manual Entry hrs/wk","",IF($X$49&gt;'FORMULA REFS'!AV$1,$Z71,"")))</f>
        <v/>
      </c>
      <c r="CC71" s="497" t="str">
        <f>IF($X$49="WEEKS","",IF($Z71="Manual Entry hrs/wk","",IF($X$49&gt;'FORMULA REFS'!AW$1,$Z71,"")))</f>
        <v/>
      </c>
      <c r="CD71" s="497" t="str">
        <f>IF($X$49="WEEKS","",IF($Z71="Manual Entry hrs/wk","",IF($X$49&gt;'FORMULA REFS'!AX$1,$Z71,"")))</f>
        <v/>
      </c>
      <c r="CE71" s="497" t="str">
        <f>IF($X$49="WEEKS","",IF($Z71="Manual Entry hrs/wk","",IF($X$49&gt;'FORMULA REFS'!AY$1,$Z71,"")))</f>
        <v/>
      </c>
      <c r="CF71" s="497" t="str">
        <f>IF($X$49="WEEKS","",IF($Z71="Manual Entry hrs/wk","",IF($X$49&gt;'FORMULA REFS'!AZ$1,$Z71,"")))</f>
        <v/>
      </c>
      <c r="CG71" s="113"/>
      <c r="CH71" s="349" t="str">
        <f t="shared" si="16"/>
        <v/>
      </c>
      <c r="CI71" s="349">
        <f>IFERROR((_xlfn.XLOOKUP($M71,'Standard Rate Cards'!D:D,'Standard Rate Cards'!E:E))*Y71,0)</f>
        <v>0</v>
      </c>
      <c r="CJ71" s="349">
        <f>IF(CL71&lt;&gt;"","",IF($D$16="Select Type","Select Margin Class",IFERROR(IF($M71="",0,IF($D$16="Client Custom Rates",0,IF($D$16="Standard Rates",_xlfn.XLOOKUP($M71,'Standard Rate Cards'!$D:$D,'Standard Rate Cards'!G:G)))),0)))</f>
        <v>0</v>
      </c>
      <c r="CK71" s="349" cm="1">
        <f t="array" ref="CK71">IF(CL71&lt;&gt;"","",IFERROR(IF($D$16&lt;&gt;"Client Custom Rates",0,INDEX('Client Rate Cards'!E:E,MATCH(1,('Client Rate Cards'!B:B='2. Pricing &amp; Import'!$D$17)*('Client Rate Cards'!D:D='2. Pricing &amp; Import'!N71),0))),0))</f>
        <v>0</v>
      </c>
      <c r="CL71" s="350"/>
    </row>
    <row r="72" spans="3:90" ht="16.05" customHeight="1" x14ac:dyDescent="0.3">
      <c r="C72" s="346"/>
      <c r="D72" s="495"/>
      <c r="E72" s="346"/>
      <c r="F72" s="346" t="str">
        <f>IFERROR(_xlfn.XLOOKUP(E72,'Standard Rate Cards'!$BB$11:$BB$23,'Standard Rate Cards'!$BA$11:$BA$23),"")</f>
        <v/>
      </c>
      <c r="G72" s="346"/>
      <c r="H72" s="346" t="str">
        <f>IFERROR(_xlfn.XLOOKUP(G72,'Standard Rate Cards'!$AP$8:$AP$142,'Standard Rate Cards'!$AQ$8:$AQ$142),"")</f>
        <v/>
      </c>
      <c r="I72" s="346"/>
      <c r="J72" s="346"/>
      <c r="K72" s="496"/>
      <c r="L72" s="496" t="str">
        <f t="shared" si="13"/>
        <v xml:space="preserve"> </v>
      </c>
      <c r="M72" s="496" t="str" cm="1">
        <f t="array" ref="M72">IF(ISBLANK(D72),"",IF(D72&lt;&gt;"CrederaUS",INDEX('Standard Rate Cards'!$D$9:$D$433,MATCH(1,('Standard Rate Cards'!$B$9:$B$433='2. Pricing &amp; Import'!D72)*('Standard Rate Cards'!$C$9:$C$433='2. Pricing &amp; Import'!K72),0)),INDEX('Standard Rate Cards'!$D$9:$D$433,MATCH(1,('Standard Rate Cards'!$B$9:$B$433='2. Pricing &amp; Import'!D72)*('Standard Rate Cards'!$C$9:$C$433='2. Pricing &amp; Import'!K72)*('Standard Rate Cards'!$H$9:$H$433=L72),0))))</f>
        <v/>
      </c>
      <c r="N72" s="347"/>
      <c r="O72" s="110" t="str">
        <f>IF(ISBLANK(K72)," ",_xlfn.XLOOKUP(K72,'Standard Rate Cards'!C:C,'Standard Rate Cards'!H:H))</f>
        <v xml:space="preserve"> </v>
      </c>
      <c r="P72" s="246" t="str">
        <f>IF(ISBLANK($K72)," ",_xlfn.XLOOKUP($K72,'Standard Rate Cards'!C:C,'Standard Rate Cards'!F:F))</f>
        <v xml:space="preserve"> </v>
      </c>
      <c r="Q72" s="348"/>
      <c r="R72" s="250"/>
      <c r="S72" s="680"/>
      <c r="T72" s="681"/>
      <c r="U72" s="1637"/>
      <c r="V72" s="1638"/>
      <c r="W72" s="681"/>
      <c r="X72" s="681" t="str">
        <f t="shared" si="17"/>
        <v/>
      </c>
      <c r="Y72" s="682" t="str">
        <f t="shared" si="18"/>
        <v/>
      </c>
      <c r="Z72" s="1630" t="s">
        <v>309</v>
      </c>
      <c r="AA72" s="1631"/>
      <c r="AB72" s="94"/>
      <c r="AC72" s="94"/>
      <c r="AD72" s="94"/>
      <c r="AE72" s="94"/>
      <c r="AF72" s="94"/>
      <c r="AG72" s="497" t="str">
        <f>IF($X$49="WEEKS","",IF($Z72="Manual Entry hrs/wk","",IF($X$49&gt;'FORMULA REFS'!A$1,$Z72,"")))</f>
        <v/>
      </c>
      <c r="AH72" s="497" t="str">
        <f>IF($X$49="WEEKS","",IF($Z72="Manual Entry hrs/wk","",IF($X$49&gt;'FORMULA REFS'!B$1,$Z72,"")))</f>
        <v/>
      </c>
      <c r="AI72" s="497" t="str">
        <f>IF($X$49="WEEKS","",IF($Z72="Manual Entry hrs/wk","",IF($X$49&gt;'FORMULA REFS'!C$1,$Z72,"")))</f>
        <v/>
      </c>
      <c r="AJ72" s="497" t="str">
        <f>IF($X$49="WEEKS","",IF($Z72="Manual Entry hrs/wk","",IF($X$49&gt;'FORMULA REFS'!D$1,$Z72,"")))</f>
        <v/>
      </c>
      <c r="AK72" s="497" t="str">
        <f>IF($X$49="WEEKS","",IF($Z72="Manual Entry hrs/wk","",IF($X$49&gt;'FORMULA REFS'!E$1,$Z72,"")))</f>
        <v/>
      </c>
      <c r="AL72" s="497" t="str">
        <f>IF($X$49="WEEKS","",IF($Z72="Manual Entry hrs/wk","",IF($X$49&gt;'FORMULA REFS'!F$1,$Z72,"")))</f>
        <v/>
      </c>
      <c r="AM72" s="497" t="str">
        <f>IF($X$49="WEEKS","",IF($Z72="Manual Entry hrs/wk","",IF($X$49&gt;'FORMULA REFS'!G$1,$Z72,"")))</f>
        <v/>
      </c>
      <c r="AN72" s="497" t="str">
        <f>IF($X$49="WEEKS","",IF($Z72="Manual Entry hrs/wk","",IF($X$49&gt;'FORMULA REFS'!H$1,$Z72,"")))</f>
        <v/>
      </c>
      <c r="AO72" s="497" t="str">
        <f>IF($X$49="WEEKS","",IF($Z72="Manual Entry hrs/wk","",IF($X$49&gt;'FORMULA REFS'!I$1,$Z72,"")))</f>
        <v/>
      </c>
      <c r="AP72" s="497" t="str">
        <f>IF($X$49="WEEKS","",IF($Z72="Manual Entry hrs/wk","",IF($X$49&gt;'FORMULA REFS'!J$1,$Z72,"")))</f>
        <v/>
      </c>
      <c r="AQ72" s="497" t="str">
        <f>IF($X$49="WEEKS","",IF($Z72="Manual Entry hrs/wk","",IF($X$49&gt;'FORMULA REFS'!K$1,$Z72,"")))</f>
        <v/>
      </c>
      <c r="AR72" s="497" t="str">
        <f>IF($X$49="WEEKS","",IF($Z72="Manual Entry hrs/wk","",IF($X$49&gt;'FORMULA REFS'!L$1,$Z72,"")))</f>
        <v/>
      </c>
      <c r="AS72" s="497" t="str">
        <f>IF($X$49="WEEKS","",IF($Z72="Manual Entry hrs/wk","",IF($X$49&gt;'FORMULA REFS'!M$1,$Z72,"")))</f>
        <v/>
      </c>
      <c r="AT72" s="497" t="str">
        <f>IF($X$49="WEEKS","",IF($Z72="Manual Entry hrs/wk","",IF($X$49&gt;'FORMULA REFS'!N$1,$Z72,"")))</f>
        <v/>
      </c>
      <c r="AU72" s="497" t="str">
        <f>IF($X$49="WEEKS","",IF($Z72="Manual Entry hrs/wk","",IF($X$49&gt;'FORMULA REFS'!O$1,$Z72,"")))</f>
        <v/>
      </c>
      <c r="AV72" s="497" t="str">
        <f>IF($X$49="WEEKS","",IF($Z72="Manual Entry hrs/wk","",IF($X$49&gt;'FORMULA REFS'!P$1,$Z72,"")))</f>
        <v/>
      </c>
      <c r="AW72" s="497" t="str">
        <f>IF($X$49="WEEKS","",IF($Z72="Manual Entry hrs/wk","",IF($X$49&gt;'FORMULA REFS'!Q$1,$Z72,"")))</f>
        <v/>
      </c>
      <c r="AX72" s="497" t="str">
        <f>IF($X$49="WEEKS","",IF($Z72="Manual Entry hrs/wk","",IF($X$49&gt;'FORMULA REFS'!R$1,$Z72,"")))</f>
        <v/>
      </c>
      <c r="AY72" s="497" t="str">
        <f>IF($X$49="WEEKS","",IF($Z72="Manual Entry hrs/wk","",IF($X$49&gt;'FORMULA REFS'!S$1,$Z72,"")))</f>
        <v/>
      </c>
      <c r="AZ72" s="497" t="str">
        <f>IF($X$49="WEEKS","",IF($Z72="Manual Entry hrs/wk","",IF($X$49&gt;'FORMULA REFS'!T$1,$Z72,"")))</f>
        <v/>
      </c>
      <c r="BA72" s="497" t="str">
        <f>IF($X$49="WEEKS","",IF($Z72="Manual Entry hrs/wk","",IF($X$49&gt;'FORMULA REFS'!U$1,$Z72,"")))</f>
        <v/>
      </c>
      <c r="BB72" s="497" t="str">
        <f>IF($X$49="WEEKS","",IF($Z72="Manual Entry hrs/wk","",IF($X$49&gt;'FORMULA REFS'!V$1,$Z72,"")))</f>
        <v/>
      </c>
      <c r="BC72" s="497" t="str">
        <f>IF($X$49="WEEKS","",IF($Z72="Manual Entry hrs/wk","",IF($X$49&gt;'FORMULA REFS'!W$1,$Z72,"")))</f>
        <v/>
      </c>
      <c r="BD72" s="497" t="str">
        <f>IF($X$49="WEEKS","",IF($Z72="Manual Entry hrs/wk","",IF($X$49&gt;'FORMULA REFS'!X$1,$Z72,"")))</f>
        <v/>
      </c>
      <c r="BE72" s="497" t="str">
        <f>IF($X$49="WEEKS","",IF($Z72="Manual Entry hrs/wk","",IF($X$49&gt;'FORMULA REFS'!Y$1,$Z72,"")))</f>
        <v/>
      </c>
      <c r="BF72" s="497" t="str">
        <f>IF($X$49="WEEKS","",IF($Z72="Manual Entry hrs/wk","",IF($X$49&gt;'FORMULA REFS'!Z$1,$Z72,"")))</f>
        <v/>
      </c>
      <c r="BG72" s="497" t="str">
        <f>IF($X$49="WEEKS","",IF($Z72="Manual Entry hrs/wk","",IF($X$49&gt;'FORMULA REFS'!AA$1,$Z72,"")))</f>
        <v/>
      </c>
      <c r="BH72" s="497" t="str">
        <f>IF($X$49="WEEKS","",IF($Z72="Manual Entry hrs/wk","",IF($X$49&gt;'FORMULA REFS'!AB$1,$Z72,"")))</f>
        <v/>
      </c>
      <c r="BI72" s="497" t="str">
        <f>IF($X$49="WEEKS","",IF($Z72="Manual Entry hrs/wk","",IF($X$49&gt;'FORMULA REFS'!AC$1,$Z72,"")))</f>
        <v/>
      </c>
      <c r="BJ72" s="497" t="str">
        <f>IF($X$49="WEEKS","",IF($Z72="Manual Entry hrs/wk","",IF($X$49&gt;'FORMULA REFS'!AD$1,$Z72,"")))</f>
        <v/>
      </c>
      <c r="BK72" s="497" t="str">
        <f>IF($X$49="WEEKS","",IF($Z72="Manual Entry hrs/wk","",IF($X$49&gt;'FORMULA REFS'!AE$1,$Z72,"")))</f>
        <v/>
      </c>
      <c r="BL72" s="497" t="str">
        <f>IF($X$49="WEEKS","",IF($Z72="Manual Entry hrs/wk","",IF($X$49&gt;'FORMULA REFS'!AF$1,$Z72,"")))</f>
        <v/>
      </c>
      <c r="BM72" s="497" t="str">
        <f>IF($X$49="WEEKS","",IF($Z72="Manual Entry hrs/wk","",IF($X$49&gt;'FORMULA REFS'!AG$1,$Z72,"")))</f>
        <v/>
      </c>
      <c r="BN72" s="497" t="str">
        <f>IF($X$49="WEEKS","",IF($Z72="Manual Entry hrs/wk","",IF($X$49&gt;'FORMULA REFS'!AH$1,$Z72,"")))</f>
        <v/>
      </c>
      <c r="BO72" s="497" t="str">
        <f>IF($X$49="WEEKS","",IF($Z72="Manual Entry hrs/wk","",IF($X$49&gt;'FORMULA REFS'!AI$1,$Z72,"")))</f>
        <v/>
      </c>
      <c r="BP72" s="497" t="str">
        <f>IF($X$49="WEEKS","",IF($Z72="Manual Entry hrs/wk","",IF($X$49&gt;'FORMULA REFS'!AJ$1,$Z72,"")))</f>
        <v/>
      </c>
      <c r="BQ72" s="497" t="str">
        <f>IF($X$49="WEEKS","",IF($Z72="Manual Entry hrs/wk","",IF($X$49&gt;'FORMULA REFS'!AK$1,$Z72,"")))</f>
        <v/>
      </c>
      <c r="BR72" s="497" t="str">
        <f>IF($X$49="WEEKS","",IF($Z72="Manual Entry hrs/wk","",IF($X$49&gt;'FORMULA REFS'!AL$1,$Z72,"")))</f>
        <v/>
      </c>
      <c r="BS72" s="497" t="str">
        <f>IF($X$49="WEEKS","",IF($Z72="Manual Entry hrs/wk","",IF($X$49&gt;'FORMULA REFS'!AM$1,$Z72,"")))</f>
        <v/>
      </c>
      <c r="BT72" s="497" t="str">
        <f>IF($X$49="WEEKS","",IF($Z72="Manual Entry hrs/wk","",IF($X$49&gt;'FORMULA REFS'!AN$1,$Z72,"")))</f>
        <v/>
      </c>
      <c r="BU72" s="497" t="str">
        <f>IF($X$49="WEEKS","",IF($Z72="Manual Entry hrs/wk","",IF($X$49&gt;'FORMULA REFS'!AO$1,$Z72,"")))</f>
        <v/>
      </c>
      <c r="BV72" s="497" t="str">
        <f>IF($X$49="WEEKS","",IF($Z72="Manual Entry hrs/wk","",IF($X$49&gt;'FORMULA REFS'!AP$1,$Z72,"")))</f>
        <v/>
      </c>
      <c r="BW72" s="497" t="str">
        <f>IF($X$49="WEEKS","",IF($Z72="Manual Entry hrs/wk","",IF($X$49&gt;'FORMULA REFS'!AQ$1,$Z72,"")))</f>
        <v/>
      </c>
      <c r="BX72" s="497" t="str">
        <f>IF($X$49="WEEKS","",IF($Z72="Manual Entry hrs/wk","",IF($X$49&gt;'FORMULA REFS'!AR$1,$Z72,"")))</f>
        <v/>
      </c>
      <c r="BY72" s="497" t="str">
        <f>IF($X$49="WEEKS","",IF($Z72="Manual Entry hrs/wk","",IF($X$49&gt;'FORMULA REFS'!AS$1,$Z72,"")))</f>
        <v/>
      </c>
      <c r="BZ72" s="497" t="str">
        <f>IF($X$49="WEEKS","",IF($Z72="Manual Entry hrs/wk","",IF($X$49&gt;'FORMULA REFS'!AT$1,$Z72,"")))</f>
        <v/>
      </c>
      <c r="CA72" s="497" t="str">
        <f>IF($X$49="WEEKS","",IF($Z72="Manual Entry hrs/wk","",IF($X$49&gt;'FORMULA REFS'!AU$1,$Z72,"")))</f>
        <v/>
      </c>
      <c r="CB72" s="497" t="str">
        <f>IF($X$49="WEEKS","",IF($Z72="Manual Entry hrs/wk","",IF($X$49&gt;'FORMULA REFS'!AV$1,$Z72,"")))</f>
        <v/>
      </c>
      <c r="CC72" s="497" t="str">
        <f>IF($X$49="WEEKS","",IF($Z72="Manual Entry hrs/wk","",IF($X$49&gt;'FORMULA REFS'!AW$1,$Z72,"")))</f>
        <v/>
      </c>
      <c r="CD72" s="497" t="str">
        <f>IF($X$49="WEEKS","",IF($Z72="Manual Entry hrs/wk","",IF($X$49&gt;'FORMULA REFS'!AX$1,$Z72,"")))</f>
        <v/>
      </c>
      <c r="CE72" s="497" t="str">
        <f>IF($X$49="WEEKS","",IF($Z72="Manual Entry hrs/wk","",IF($X$49&gt;'FORMULA REFS'!AY$1,$Z72,"")))</f>
        <v/>
      </c>
      <c r="CF72" s="497" t="str">
        <f>IF($X$49="WEEKS","",IF($Z72="Manual Entry hrs/wk","",IF($X$49&gt;'FORMULA REFS'!AZ$1,$Z72,"")))</f>
        <v/>
      </c>
      <c r="CG72" s="113"/>
      <c r="CH72" s="349" t="str">
        <f t="shared" si="16"/>
        <v/>
      </c>
      <c r="CI72" s="349">
        <f>IFERROR((_xlfn.XLOOKUP($M72,'Standard Rate Cards'!D:D,'Standard Rate Cards'!E:E))*Y72,0)</f>
        <v>0</v>
      </c>
      <c r="CJ72" s="349">
        <f>IF(CL72&lt;&gt;"","",IF($D$16="Select Type","Select Margin Class",IFERROR(IF($M72="",0,IF($D$16="Client Custom Rates",0,IF($D$16="Standard Rates",_xlfn.XLOOKUP($M72,'Standard Rate Cards'!$D:$D,'Standard Rate Cards'!G:G)))),0)))</f>
        <v>0</v>
      </c>
      <c r="CK72" s="349" cm="1">
        <f t="array" ref="CK72">IF(CL72&lt;&gt;"","",IFERROR(IF($D$16&lt;&gt;"Client Custom Rates",0,INDEX('Client Rate Cards'!E:E,MATCH(1,('Client Rate Cards'!B:B='2. Pricing &amp; Import'!$D$17)*('Client Rate Cards'!D:D='2. Pricing &amp; Import'!N72),0))),0))</f>
        <v>0</v>
      </c>
      <c r="CL72" s="350"/>
    </row>
    <row r="73" spans="3:90" ht="16.05" customHeight="1" x14ac:dyDescent="0.3">
      <c r="C73" s="346"/>
      <c r="D73" s="495"/>
      <c r="E73" s="346"/>
      <c r="F73" s="346" t="str">
        <f>IFERROR(_xlfn.XLOOKUP(E73,'Standard Rate Cards'!$BB$11:$BB$23,'Standard Rate Cards'!$BA$11:$BA$23),"")</f>
        <v/>
      </c>
      <c r="G73" s="346"/>
      <c r="H73" s="346" t="str">
        <f>IFERROR(_xlfn.XLOOKUP(G73,'Standard Rate Cards'!$AP$8:$AP$142,'Standard Rate Cards'!$AQ$8:$AQ$142),"")</f>
        <v/>
      </c>
      <c r="I73" s="346"/>
      <c r="J73" s="346"/>
      <c r="K73" s="496"/>
      <c r="L73" s="496" t="str">
        <f t="shared" si="13"/>
        <v xml:space="preserve"> </v>
      </c>
      <c r="M73" s="496" t="str" cm="1">
        <f t="array" ref="M73">IF(ISBLANK(D73),"",IF(D73&lt;&gt;"CrederaUS",INDEX('Standard Rate Cards'!$D$9:$D$433,MATCH(1,('Standard Rate Cards'!$B$9:$B$433='2. Pricing &amp; Import'!D73)*('Standard Rate Cards'!$C$9:$C$433='2. Pricing &amp; Import'!K73),0)),INDEX('Standard Rate Cards'!$D$9:$D$433,MATCH(1,('Standard Rate Cards'!$B$9:$B$433='2. Pricing &amp; Import'!D73)*('Standard Rate Cards'!$C$9:$C$433='2. Pricing &amp; Import'!K73)*('Standard Rate Cards'!$H$9:$H$433=L73),0))))</f>
        <v/>
      </c>
      <c r="N73" s="347"/>
      <c r="O73" s="110" t="str">
        <f>IF(ISBLANK(K73)," ",_xlfn.XLOOKUP(K73,'Standard Rate Cards'!C:C,'Standard Rate Cards'!H:H))</f>
        <v xml:space="preserve"> </v>
      </c>
      <c r="P73" s="246" t="str">
        <f>IF(ISBLANK($K73)," ",_xlfn.XLOOKUP($K73,'Standard Rate Cards'!C:C,'Standard Rate Cards'!F:F))</f>
        <v xml:space="preserve"> </v>
      </c>
      <c r="Q73" s="348"/>
      <c r="R73" s="250"/>
      <c r="S73" s="680"/>
      <c r="T73" s="681"/>
      <c r="U73" s="1637"/>
      <c r="V73" s="1638"/>
      <c r="W73" s="681"/>
      <c r="X73" s="681" t="str">
        <f t="shared" si="17"/>
        <v/>
      </c>
      <c r="Y73" s="682" t="str">
        <f t="shared" si="18"/>
        <v/>
      </c>
      <c r="Z73" s="1630" t="s">
        <v>309</v>
      </c>
      <c r="AA73" s="1631"/>
      <c r="AB73" s="94"/>
      <c r="AC73" s="94"/>
      <c r="AD73" s="94"/>
      <c r="AE73" s="94"/>
      <c r="AF73" s="94"/>
      <c r="AG73" s="497" t="str">
        <f>IF($X$49="WEEKS","",IF($Z73="Manual Entry hrs/wk","",IF($X$49&gt;'FORMULA REFS'!A$1,$Z73,"")))</f>
        <v/>
      </c>
      <c r="AH73" s="497" t="str">
        <f>IF($X$49="WEEKS","",IF($Z73="Manual Entry hrs/wk","",IF($X$49&gt;'FORMULA REFS'!B$1,$Z73,"")))</f>
        <v/>
      </c>
      <c r="AI73" s="497" t="str">
        <f>IF($X$49="WEEKS","",IF($Z73="Manual Entry hrs/wk","",IF($X$49&gt;'FORMULA REFS'!C$1,$Z73,"")))</f>
        <v/>
      </c>
      <c r="AJ73" s="497" t="str">
        <f>IF($X$49="WEEKS","",IF($Z73="Manual Entry hrs/wk","",IF($X$49&gt;'FORMULA REFS'!D$1,$Z73,"")))</f>
        <v/>
      </c>
      <c r="AK73" s="497" t="str">
        <f>IF($X$49="WEEKS","",IF($Z73="Manual Entry hrs/wk","",IF($X$49&gt;'FORMULA REFS'!E$1,$Z73,"")))</f>
        <v/>
      </c>
      <c r="AL73" s="497" t="str">
        <f>IF($X$49="WEEKS","",IF($Z73="Manual Entry hrs/wk","",IF($X$49&gt;'FORMULA REFS'!F$1,$Z73,"")))</f>
        <v/>
      </c>
      <c r="AM73" s="497" t="str">
        <f>IF($X$49="WEEKS","",IF($Z73="Manual Entry hrs/wk","",IF($X$49&gt;'FORMULA REFS'!G$1,$Z73,"")))</f>
        <v/>
      </c>
      <c r="AN73" s="497" t="str">
        <f>IF($X$49="WEEKS","",IF($Z73="Manual Entry hrs/wk","",IF($X$49&gt;'FORMULA REFS'!H$1,$Z73,"")))</f>
        <v/>
      </c>
      <c r="AO73" s="497" t="str">
        <f>IF($X$49="WEEKS","",IF($Z73="Manual Entry hrs/wk","",IF($X$49&gt;'FORMULA REFS'!I$1,$Z73,"")))</f>
        <v/>
      </c>
      <c r="AP73" s="497" t="str">
        <f>IF($X$49="WEEKS","",IF($Z73="Manual Entry hrs/wk","",IF($X$49&gt;'FORMULA REFS'!J$1,$Z73,"")))</f>
        <v/>
      </c>
      <c r="AQ73" s="497" t="str">
        <f>IF($X$49="WEEKS","",IF($Z73="Manual Entry hrs/wk","",IF($X$49&gt;'FORMULA REFS'!K$1,$Z73,"")))</f>
        <v/>
      </c>
      <c r="AR73" s="497" t="str">
        <f>IF($X$49="WEEKS","",IF($Z73="Manual Entry hrs/wk","",IF($X$49&gt;'FORMULA REFS'!L$1,$Z73,"")))</f>
        <v/>
      </c>
      <c r="AS73" s="497" t="str">
        <f>IF($X$49="WEEKS","",IF($Z73="Manual Entry hrs/wk","",IF($X$49&gt;'FORMULA REFS'!M$1,$Z73,"")))</f>
        <v/>
      </c>
      <c r="AT73" s="497" t="str">
        <f>IF($X$49="WEEKS","",IF($Z73="Manual Entry hrs/wk","",IF($X$49&gt;'FORMULA REFS'!N$1,$Z73,"")))</f>
        <v/>
      </c>
      <c r="AU73" s="497" t="str">
        <f>IF($X$49="WEEKS","",IF($Z73="Manual Entry hrs/wk","",IF($X$49&gt;'FORMULA REFS'!O$1,$Z73,"")))</f>
        <v/>
      </c>
      <c r="AV73" s="497" t="str">
        <f>IF($X$49="WEEKS","",IF($Z73="Manual Entry hrs/wk","",IF($X$49&gt;'FORMULA REFS'!P$1,$Z73,"")))</f>
        <v/>
      </c>
      <c r="AW73" s="497" t="str">
        <f>IF($X$49="WEEKS","",IF($Z73="Manual Entry hrs/wk","",IF($X$49&gt;'FORMULA REFS'!Q$1,$Z73,"")))</f>
        <v/>
      </c>
      <c r="AX73" s="497" t="str">
        <f>IF($X$49="WEEKS","",IF($Z73="Manual Entry hrs/wk","",IF($X$49&gt;'FORMULA REFS'!R$1,$Z73,"")))</f>
        <v/>
      </c>
      <c r="AY73" s="497" t="str">
        <f>IF($X$49="WEEKS","",IF($Z73="Manual Entry hrs/wk","",IF($X$49&gt;'FORMULA REFS'!S$1,$Z73,"")))</f>
        <v/>
      </c>
      <c r="AZ73" s="497" t="str">
        <f>IF($X$49="WEEKS","",IF($Z73="Manual Entry hrs/wk","",IF($X$49&gt;'FORMULA REFS'!T$1,$Z73,"")))</f>
        <v/>
      </c>
      <c r="BA73" s="497" t="str">
        <f>IF($X$49="WEEKS","",IF($Z73="Manual Entry hrs/wk","",IF($X$49&gt;'FORMULA REFS'!U$1,$Z73,"")))</f>
        <v/>
      </c>
      <c r="BB73" s="497" t="str">
        <f>IF($X$49="WEEKS","",IF($Z73="Manual Entry hrs/wk","",IF($X$49&gt;'FORMULA REFS'!V$1,$Z73,"")))</f>
        <v/>
      </c>
      <c r="BC73" s="497" t="str">
        <f>IF($X$49="WEEKS","",IF($Z73="Manual Entry hrs/wk","",IF($X$49&gt;'FORMULA REFS'!W$1,$Z73,"")))</f>
        <v/>
      </c>
      <c r="BD73" s="497" t="str">
        <f>IF($X$49="WEEKS","",IF($Z73="Manual Entry hrs/wk","",IF($X$49&gt;'FORMULA REFS'!X$1,$Z73,"")))</f>
        <v/>
      </c>
      <c r="BE73" s="497" t="str">
        <f>IF($X$49="WEEKS","",IF($Z73="Manual Entry hrs/wk","",IF($X$49&gt;'FORMULA REFS'!Y$1,$Z73,"")))</f>
        <v/>
      </c>
      <c r="BF73" s="497" t="str">
        <f>IF($X$49="WEEKS","",IF($Z73="Manual Entry hrs/wk","",IF($X$49&gt;'FORMULA REFS'!Z$1,$Z73,"")))</f>
        <v/>
      </c>
      <c r="BG73" s="497" t="str">
        <f>IF($X$49="WEEKS","",IF($Z73="Manual Entry hrs/wk","",IF($X$49&gt;'FORMULA REFS'!AA$1,$Z73,"")))</f>
        <v/>
      </c>
      <c r="BH73" s="497" t="str">
        <f>IF($X$49="WEEKS","",IF($Z73="Manual Entry hrs/wk","",IF($X$49&gt;'FORMULA REFS'!AB$1,$Z73,"")))</f>
        <v/>
      </c>
      <c r="BI73" s="497" t="str">
        <f>IF($X$49="WEEKS","",IF($Z73="Manual Entry hrs/wk","",IF($X$49&gt;'FORMULA REFS'!AC$1,$Z73,"")))</f>
        <v/>
      </c>
      <c r="BJ73" s="497" t="str">
        <f>IF($X$49="WEEKS","",IF($Z73="Manual Entry hrs/wk","",IF($X$49&gt;'FORMULA REFS'!AD$1,$Z73,"")))</f>
        <v/>
      </c>
      <c r="BK73" s="497" t="str">
        <f>IF($X$49="WEEKS","",IF($Z73="Manual Entry hrs/wk","",IF($X$49&gt;'FORMULA REFS'!AE$1,$Z73,"")))</f>
        <v/>
      </c>
      <c r="BL73" s="497" t="str">
        <f>IF($X$49="WEEKS","",IF($Z73="Manual Entry hrs/wk","",IF($X$49&gt;'FORMULA REFS'!AF$1,$Z73,"")))</f>
        <v/>
      </c>
      <c r="BM73" s="497" t="str">
        <f>IF($X$49="WEEKS","",IF($Z73="Manual Entry hrs/wk","",IF($X$49&gt;'FORMULA REFS'!AG$1,$Z73,"")))</f>
        <v/>
      </c>
      <c r="BN73" s="497" t="str">
        <f>IF($X$49="WEEKS","",IF($Z73="Manual Entry hrs/wk","",IF($X$49&gt;'FORMULA REFS'!AH$1,$Z73,"")))</f>
        <v/>
      </c>
      <c r="BO73" s="497" t="str">
        <f>IF($X$49="WEEKS","",IF($Z73="Manual Entry hrs/wk","",IF($X$49&gt;'FORMULA REFS'!AI$1,$Z73,"")))</f>
        <v/>
      </c>
      <c r="BP73" s="497" t="str">
        <f>IF($X$49="WEEKS","",IF($Z73="Manual Entry hrs/wk","",IF($X$49&gt;'FORMULA REFS'!AJ$1,$Z73,"")))</f>
        <v/>
      </c>
      <c r="BQ73" s="497" t="str">
        <f>IF($X$49="WEEKS","",IF($Z73="Manual Entry hrs/wk","",IF($X$49&gt;'FORMULA REFS'!AK$1,$Z73,"")))</f>
        <v/>
      </c>
      <c r="BR73" s="497" t="str">
        <f>IF($X$49="WEEKS","",IF($Z73="Manual Entry hrs/wk","",IF($X$49&gt;'FORMULA REFS'!AL$1,$Z73,"")))</f>
        <v/>
      </c>
      <c r="BS73" s="497" t="str">
        <f>IF($X$49="WEEKS","",IF($Z73="Manual Entry hrs/wk","",IF($X$49&gt;'FORMULA REFS'!AM$1,$Z73,"")))</f>
        <v/>
      </c>
      <c r="BT73" s="497" t="str">
        <f>IF($X$49="WEEKS","",IF($Z73="Manual Entry hrs/wk","",IF($X$49&gt;'FORMULA REFS'!AN$1,$Z73,"")))</f>
        <v/>
      </c>
      <c r="BU73" s="497" t="str">
        <f>IF($X$49="WEEKS","",IF($Z73="Manual Entry hrs/wk","",IF($X$49&gt;'FORMULA REFS'!AO$1,$Z73,"")))</f>
        <v/>
      </c>
      <c r="BV73" s="497" t="str">
        <f>IF($X$49="WEEKS","",IF($Z73="Manual Entry hrs/wk","",IF($X$49&gt;'FORMULA REFS'!AP$1,$Z73,"")))</f>
        <v/>
      </c>
      <c r="BW73" s="497" t="str">
        <f>IF($X$49="WEEKS","",IF($Z73="Manual Entry hrs/wk","",IF($X$49&gt;'FORMULA REFS'!AQ$1,$Z73,"")))</f>
        <v/>
      </c>
      <c r="BX73" s="497" t="str">
        <f>IF($X$49="WEEKS","",IF($Z73="Manual Entry hrs/wk","",IF($X$49&gt;'FORMULA REFS'!AR$1,$Z73,"")))</f>
        <v/>
      </c>
      <c r="BY73" s="497" t="str">
        <f>IF($X$49="WEEKS","",IF($Z73="Manual Entry hrs/wk","",IF($X$49&gt;'FORMULA REFS'!AS$1,$Z73,"")))</f>
        <v/>
      </c>
      <c r="BZ73" s="497" t="str">
        <f>IF($X$49="WEEKS","",IF($Z73="Manual Entry hrs/wk","",IF($X$49&gt;'FORMULA REFS'!AT$1,$Z73,"")))</f>
        <v/>
      </c>
      <c r="CA73" s="497" t="str">
        <f>IF($X$49="WEEKS","",IF($Z73="Manual Entry hrs/wk","",IF($X$49&gt;'FORMULA REFS'!AU$1,$Z73,"")))</f>
        <v/>
      </c>
      <c r="CB73" s="497" t="str">
        <f>IF($X$49="WEEKS","",IF($Z73="Manual Entry hrs/wk","",IF($X$49&gt;'FORMULA REFS'!AV$1,$Z73,"")))</f>
        <v/>
      </c>
      <c r="CC73" s="497" t="str">
        <f>IF($X$49="WEEKS","",IF($Z73="Manual Entry hrs/wk","",IF($X$49&gt;'FORMULA REFS'!AW$1,$Z73,"")))</f>
        <v/>
      </c>
      <c r="CD73" s="497" t="str">
        <f>IF($X$49="WEEKS","",IF($Z73="Manual Entry hrs/wk","",IF($X$49&gt;'FORMULA REFS'!AX$1,$Z73,"")))</f>
        <v/>
      </c>
      <c r="CE73" s="497" t="str">
        <f>IF($X$49="WEEKS","",IF($Z73="Manual Entry hrs/wk","",IF($X$49&gt;'FORMULA REFS'!AY$1,$Z73,"")))</f>
        <v/>
      </c>
      <c r="CF73" s="497" t="str">
        <f>IF($X$49="WEEKS","",IF($Z73="Manual Entry hrs/wk","",IF($X$49&gt;'FORMULA REFS'!AZ$1,$Z73,"")))</f>
        <v/>
      </c>
      <c r="CG73" s="113"/>
      <c r="CH73" s="349" t="str">
        <f t="shared" si="16"/>
        <v/>
      </c>
      <c r="CI73" s="349">
        <f>IFERROR((_xlfn.XLOOKUP($M73,'Standard Rate Cards'!D:D,'Standard Rate Cards'!E:E))*Y73,0)</f>
        <v>0</v>
      </c>
      <c r="CJ73" s="349">
        <f>IF(CL73&lt;&gt;"","",IF($D$16="Select Type","Select Margin Class",IFERROR(IF($M73="",0,IF($D$16="Client Custom Rates",0,IF($D$16="Standard Rates",_xlfn.XLOOKUP($M73,'Standard Rate Cards'!$D:$D,'Standard Rate Cards'!G:G)))),0)))</f>
        <v>0</v>
      </c>
      <c r="CK73" s="349" cm="1">
        <f t="array" ref="CK73">IF(CL73&lt;&gt;"","",IFERROR(IF($D$16&lt;&gt;"Client Custom Rates",0,INDEX('Client Rate Cards'!E:E,MATCH(1,('Client Rate Cards'!B:B='2. Pricing &amp; Import'!$D$17)*('Client Rate Cards'!D:D='2. Pricing &amp; Import'!N73),0))),0))</f>
        <v>0</v>
      </c>
      <c r="CL73" s="350"/>
    </row>
    <row r="74" spans="3:90" ht="16.05" customHeight="1" x14ac:dyDescent="0.3">
      <c r="C74" s="346"/>
      <c r="D74" s="495"/>
      <c r="E74" s="346"/>
      <c r="F74" s="346" t="str">
        <f>IFERROR(_xlfn.XLOOKUP(E74,'Standard Rate Cards'!$BB$11:$BB$23,'Standard Rate Cards'!$BA$11:$BA$23),"")</f>
        <v/>
      </c>
      <c r="G74" s="346"/>
      <c r="H74" s="346" t="str">
        <f>IFERROR(_xlfn.XLOOKUP(G74,'Standard Rate Cards'!$AP$8:$AP$142,'Standard Rate Cards'!$AQ$8:$AQ$142),"")</f>
        <v/>
      </c>
      <c r="I74" s="346"/>
      <c r="J74" s="346"/>
      <c r="K74" s="496"/>
      <c r="L74" s="496" t="str">
        <f t="shared" si="13"/>
        <v xml:space="preserve"> </v>
      </c>
      <c r="M74" s="496" t="str" cm="1">
        <f t="array" ref="M74">IF(ISBLANK(D74),"",IF(D74&lt;&gt;"CrederaUS",INDEX('Standard Rate Cards'!$D$9:$D$433,MATCH(1,('Standard Rate Cards'!$B$9:$B$433='2. Pricing &amp; Import'!D74)*('Standard Rate Cards'!$C$9:$C$433='2. Pricing &amp; Import'!K74),0)),INDEX('Standard Rate Cards'!$D$9:$D$433,MATCH(1,('Standard Rate Cards'!$B$9:$B$433='2. Pricing &amp; Import'!D74)*('Standard Rate Cards'!$C$9:$C$433='2. Pricing &amp; Import'!K74)*('Standard Rate Cards'!$H$9:$H$433=L74),0))))</f>
        <v/>
      </c>
      <c r="N74" s="347"/>
      <c r="O74" s="110" t="str">
        <f>IF(ISBLANK(K74)," ",_xlfn.XLOOKUP(K74,'Standard Rate Cards'!C:C,'Standard Rate Cards'!H:H))</f>
        <v xml:space="preserve"> </v>
      </c>
      <c r="P74" s="246" t="str">
        <f>IF(ISBLANK($K74)," ",_xlfn.XLOOKUP($K74,'Standard Rate Cards'!C:C,'Standard Rate Cards'!F:F))</f>
        <v xml:space="preserve"> </v>
      </c>
      <c r="Q74" s="348"/>
      <c r="R74" s="250"/>
      <c r="S74" s="680"/>
      <c r="T74" s="681"/>
      <c r="U74" s="1637"/>
      <c r="V74" s="1638"/>
      <c r="W74" s="681"/>
      <c r="X74" s="681" t="str">
        <f t="shared" si="17"/>
        <v/>
      </c>
      <c r="Y74" s="682" t="str">
        <f t="shared" si="18"/>
        <v/>
      </c>
      <c r="Z74" s="1630" t="s">
        <v>309</v>
      </c>
      <c r="AA74" s="1631"/>
      <c r="AB74" s="94"/>
      <c r="AC74" s="94"/>
      <c r="AD74" s="94"/>
      <c r="AE74" s="94"/>
      <c r="AF74" s="94"/>
      <c r="AG74" s="497" t="str">
        <f>IF($X$49="WEEKS","",IF($Z74="Manual Entry hrs/wk","",IF($X$49&gt;'FORMULA REFS'!A$1,$Z74,"")))</f>
        <v/>
      </c>
      <c r="AH74" s="497" t="str">
        <f>IF($X$49="WEEKS","",IF($Z74="Manual Entry hrs/wk","",IF($X$49&gt;'FORMULA REFS'!B$1,$Z74,"")))</f>
        <v/>
      </c>
      <c r="AI74" s="497" t="str">
        <f>IF($X$49="WEEKS","",IF($Z74="Manual Entry hrs/wk","",IF($X$49&gt;'FORMULA REFS'!C$1,$Z74,"")))</f>
        <v/>
      </c>
      <c r="AJ74" s="497" t="str">
        <f>IF($X$49="WEEKS","",IF($Z74="Manual Entry hrs/wk","",IF($X$49&gt;'FORMULA REFS'!D$1,$Z74,"")))</f>
        <v/>
      </c>
      <c r="AK74" s="497" t="str">
        <f>IF($X$49="WEEKS","",IF($Z74="Manual Entry hrs/wk","",IF($X$49&gt;'FORMULA REFS'!E$1,$Z74,"")))</f>
        <v/>
      </c>
      <c r="AL74" s="497" t="str">
        <f>IF($X$49="WEEKS","",IF($Z74="Manual Entry hrs/wk","",IF($X$49&gt;'FORMULA REFS'!F$1,$Z74,"")))</f>
        <v/>
      </c>
      <c r="AM74" s="497" t="str">
        <f>IF($X$49="WEEKS","",IF($Z74="Manual Entry hrs/wk","",IF($X$49&gt;'FORMULA REFS'!G$1,$Z74,"")))</f>
        <v/>
      </c>
      <c r="AN74" s="497" t="str">
        <f>IF($X$49="WEEKS","",IF($Z74="Manual Entry hrs/wk","",IF($X$49&gt;'FORMULA REFS'!H$1,$Z74,"")))</f>
        <v/>
      </c>
      <c r="AO74" s="497" t="str">
        <f>IF($X$49="WEEKS","",IF($Z74="Manual Entry hrs/wk","",IF($X$49&gt;'FORMULA REFS'!I$1,$Z74,"")))</f>
        <v/>
      </c>
      <c r="AP74" s="497" t="str">
        <f>IF($X$49="WEEKS","",IF($Z74="Manual Entry hrs/wk","",IF($X$49&gt;'FORMULA REFS'!J$1,$Z74,"")))</f>
        <v/>
      </c>
      <c r="AQ74" s="497" t="str">
        <f>IF($X$49="WEEKS","",IF($Z74="Manual Entry hrs/wk","",IF($X$49&gt;'FORMULA REFS'!K$1,$Z74,"")))</f>
        <v/>
      </c>
      <c r="AR74" s="497" t="str">
        <f>IF($X$49="WEEKS","",IF($Z74="Manual Entry hrs/wk","",IF($X$49&gt;'FORMULA REFS'!L$1,$Z74,"")))</f>
        <v/>
      </c>
      <c r="AS74" s="497" t="str">
        <f>IF($X$49="WEEKS","",IF($Z74="Manual Entry hrs/wk","",IF($X$49&gt;'FORMULA REFS'!M$1,$Z74,"")))</f>
        <v/>
      </c>
      <c r="AT74" s="497" t="str">
        <f>IF($X$49="WEEKS","",IF($Z74="Manual Entry hrs/wk","",IF($X$49&gt;'FORMULA REFS'!N$1,$Z74,"")))</f>
        <v/>
      </c>
      <c r="AU74" s="497" t="str">
        <f>IF($X$49="WEEKS","",IF($Z74="Manual Entry hrs/wk","",IF($X$49&gt;'FORMULA REFS'!O$1,$Z74,"")))</f>
        <v/>
      </c>
      <c r="AV74" s="497" t="str">
        <f>IF($X$49="WEEKS","",IF($Z74="Manual Entry hrs/wk","",IF($X$49&gt;'FORMULA REFS'!P$1,$Z74,"")))</f>
        <v/>
      </c>
      <c r="AW74" s="497" t="str">
        <f>IF($X$49="WEEKS","",IF($Z74="Manual Entry hrs/wk","",IF($X$49&gt;'FORMULA REFS'!Q$1,$Z74,"")))</f>
        <v/>
      </c>
      <c r="AX74" s="497" t="str">
        <f>IF($X$49="WEEKS","",IF($Z74="Manual Entry hrs/wk","",IF($X$49&gt;'FORMULA REFS'!R$1,$Z74,"")))</f>
        <v/>
      </c>
      <c r="AY74" s="497" t="str">
        <f>IF($X$49="WEEKS","",IF($Z74="Manual Entry hrs/wk","",IF($X$49&gt;'FORMULA REFS'!S$1,$Z74,"")))</f>
        <v/>
      </c>
      <c r="AZ74" s="497" t="str">
        <f>IF($X$49="WEEKS","",IF($Z74="Manual Entry hrs/wk","",IF($X$49&gt;'FORMULA REFS'!T$1,$Z74,"")))</f>
        <v/>
      </c>
      <c r="BA74" s="497" t="str">
        <f>IF($X$49="WEEKS","",IF($Z74="Manual Entry hrs/wk","",IF($X$49&gt;'FORMULA REFS'!U$1,$Z74,"")))</f>
        <v/>
      </c>
      <c r="BB74" s="497" t="str">
        <f>IF($X$49="WEEKS","",IF($Z74="Manual Entry hrs/wk","",IF($X$49&gt;'FORMULA REFS'!V$1,$Z74,"")))</f>
        <v/>
      </c>
      <c r="BC74" s="497" t="str">
        <f>IF($X$49="WEEKS","",IF($Z74="Manual Entry hrs/wk","",IF($X$49&gt;'FORMULA REFS'!W$1,$Z74,"")))</f>
        <v/>
      </c>
      <c r="BD74" s="497" t="str">
        <f>IF($X$49="WEEKS","",IF($Z74="Manual Entry hrs/wk","",IF($X$49&gt;'FORMULA REFS'!X$1,$Z74,"")))</f>
        <v/>
      </c>
      <c r="BE74" s="497" t="str">
        <f>IF($X$49="WEEKS","",IF($Z74="Manual Entry hrs/wk","",IF($X$49&gt;'FORMULA REFS'!Y$1,$Z74,"")))</f>
        <v/>
      </c>
      <c r="BF74" s="497" t="str">
        <f>IF($X$49="WEEKS","",IF($Z74="Manual Entry hrs/wk","",IF($X$49&gt;'FORMULA REFS'!Z$1,$Z74,"")))</f>
        <v/>
      </c>
      <c r="BG74" s="497" t="str">
        <f>IF($X$49="WEEKS","",IF($Z74="Manual Entry hrs/wk","",IF($X$49&gt;'FORMULA REFS'!AA$1,$Z74,"")))</f>
        <v/>
      </c>
      <c r="BH74" s="497" t="str">
        <f>IF($X$49="WEEKS","",IF($Z74="Manual Entry hrs/wk","",IF($X$49&gt;'FORMULA REFS'!AB$1,$Z74,"")))</f>
        <v/>
      </c>
      <c r="BI74" s="497" t="str">
        <f>IF($X$49="WEEKS","",IF($Z74="Manual Entry hrs/wk","",IF($X$49&gt;'FORMULA REFS'!AC$1,$Z74,"")))</f>
        <v/>
      </c>
      <c r="BJ74" s="497" t="str">
        <f>IF($X$49="WEEKS","",IF($Z74="Manual Entry hrs/wk","",IF($X$49&gt;'FORMULA REFS'!AD$1,$Z74,"")))</f>
        <v/>
      </c>
      <c r="BK74" s="497" t="str">
        <f>IF($X$49="WEEKS","",IF($Z74="Manual Entry hrs/wk","",IF($X$49&gt;'FORMULA REFS'!AE$1,$Z74,"")))</f>
        <v/>
      </c>
      <c r="BL74" s="497" t="str">
        <f>IF($X$49="WEEKS","",IF($Z74="Manual Entry hrs/wk","",IF($X$49&gt;'FORMULA REFS'!AF$1,$Z74,"")))</f>
        <v/>
      </c>
      <c r="BM74" s="497" t="str">
        <f>IF($X$49="WEEKS","",IF($Z74="Manual Entry hrs/wk","",IF($X$49&gt;'FORMULA REFS'!AG$1,$Z74,"")))</f>
        <v/>
      </c>
      <c r="BN74" s="497" t="str">
        <f>IF($X$49="WEEKS","",IF($Z74="Manual Entry hrs/wk","",IF($X$49&gt;'FORMULA REFS'!AH$1,$Z74,"")))</f>
        <v/>
      </c>
      <c r="BO74" s="497" t="str">
        <f>IF($X$49="WEEKS","",IF($Z74="Manual Entry hrs/wk","",IF($X$49&gt;'FORMULA REFS'!AI$1,$Z74,"")))</f>
        <v/>
      </c>
      <c r="BP74" s="497" t="str">
        <f>IF($X$49="WEEKS","",IF($Z74="Manual Entry hrs/wk","",IF($X$49&gt;'FORMULA REFS'!AJ$1,$Z74,"")))</f>
        <v/>
      </c>
      <c r="BQ74" s="497" t="str">
        <f>IF($X$49="WEEKS","",IF($Z74="Manual Entry hrs/wk","",IF($X$49&gt;'FORMULA REFS'!AK$1,$Z74,"")))</f>
        <v/>
      </c>
      <c r="BR74" s="497" t="str">
        <f>IF($X$49="WEEKS","",IF($Z74="Manual Entry hrs/wk","",IF($X$49&gt;'FORMULA REFS'!AL$1,$Z74,"")))</f>
        <v/>
      </c>
      <c r="BS74" s="497" t="str">
        <f>IF($X$49="WEEKS","",IF($Z74="Manual Entry hrs/wk","",IF($X$49&gt;'FORMULA REFS'!AM$1,$Z74,"")))</f>
        <v/>
      </c>
      <c r="BT74" s="497" t="str">
        <f>IF($X$49="WEEKS","",IF($Z74="Manual Entry hrs/wk","",IF($X$49&gt;'FORMULA REFS'!AN$1,$Z74,"")))</f>
        <v/>
      </c>
      <c r="BU74" s="497" t="str">
        <f>IF($X$49="WEEKS","",IF($Z74="Manual Entry hrs/wk","",IF($X$49&gt;'FORMULA REFS'!AO$1,$Z74,"")))</f>
        <v/>
      </c>
      <c r="BV74" s="497" t="str">
        <f>IF($X$49="WEEKS","",IF($Z74="Manual Entry hrs/wk","",IF($X$49&gt;'FORMULA REFS'!AP$1,$Z74,"")))</f>
        <v/>
      </c>
      <c r="BW74" s="497" t="str">
        <f>IF($X$49="WEEKS","",IF($Z74="Manual Entry hrs/wk","",IF($X$49&gt;'FORMULA REFS'!AQ$1,$Z74,"")))</f>
        <v/>
      </c>
      <c r="BX74" s="497" t="str">
        <f>IF($X$49="WEEKS","",IF($Z74="Manual Entry hrs/wk","",IF($X$49&gt;'FORMULA REFS'!AR$1,$Z74,"")))</f>
        <v/>
      </c>
      <c r="BY74" s="497" t="str">
        <f>IF($X$49="WEEKS","",IF($Z74="Manual Entry hrs/wk","",IF($X$49&gt;'FORMULA REFS'!AS$1,$Z74,"")))</f>
        <v/>
      </c>
      <c r="BZ74" s="497" t="str">
        <f>IF($X$49="WEEKS","",IF($Z74="Manual Entry hrs/wk","",IF($X$49&gt;'FORMULA REFS'!AT$1,$Z74,"")))</f>
        <v/>
      </c>
      <c r="CA74" s="497" t="str">
        <f>IF($X$49="WEEKS","",IF($Z74="Manual Entry hrs/wk","",IF($X$49&gt;'FORMULA REFS'!AU$1,$Z74,"")))</f>
        <v/>
      </c>
      <c r="CB74" s="497" t="str">
        <f>IF($X$49="WEEKS","",IF($Z74="Manual Entry hrs/wk","",IF($X$49&gt;'FORMULA REFS'!AV$1,$Z74,"")))</f>
        <v/>
      </c>
      <c r="CC74" s="497" t="str">
        <f>IF($X$49="WEEKS","",IF($Z74="Manual Entry hrs/wk","",IF($X$49&gt;'FORMULA REFS'!AW$1,$Z74,"")))</f>
        <v/>
      </c>
      <c r="CD74" s="497" t="str">
        <f>IF($X$49="WEEKS","",IF($Z74="Manual Entry hrs/wk","",IF($X$49&gt;'FORMULA REFS'!AX$1,$Z74,"")))</f>
        <v/>
      </c>
      <c r="CE74" s="497" t="str">
        <f>IF($X$49="WEEKS","",IF($Z74="Manual Entry hrs/wk","",IF($X$49&gt;'FORMULA REFS'!AY$1,$Z74,"")))</f>
        <v/>
      </c>
      <c r="CF74" s="497" t="str">
        <f>IF($X$49="WEEKS","",IF($Z74="Manual Entry hrs/wk","",IF($X$49&gt;'FORMULA REFS'!AZ$1,$Z74,"")))</f>
        <v/>
      </c>
      <c r="CG74" s="113"/>
      <c r="CH74" s="349" t="str">
        <f t="shared" si="16"/>
        <v/>
      </c>
      <c r="CI74" s="349">
        <f>IFERROR((_xlfn.XLOOKUP($M74,'Standard Rate Cards'!D:D,'Standard Rate Cards'!E:E))*Y74,0)</f>
        <v>0</v>
      </c>
      <c r="CJ74" s="349">
        <f>IF(CL74&lt;&gt;"","",IF($D$16="Select Type","Select Margin Class",IFERROR(IF($M74="",0,IF($D$16="Client Custom Rates",0,IF($D$16="Standard Rates",_xlfn.XLOOKUP($M74,'Standard Rate Cards'!$D:$D,'Standard Rate Cards'!G:G)))),0)))</f>
        <v>0</v>
      </c>
      <c r="CK74" s="349" cm="1">
        <f t="array" ref="CK74">IF(CL74&lt;&gt;"","",IFERROR(IF($D$16&lt;&gt;"Client Custom Rates",0,INDEX('Client Rate Cards'!E:E,MATCH(1,('Client Rate Cards'!B:B='2. Pricing &amp; Import'!$D$17)*('Client Rate Cards'!D:D='2. Pricing &amp; Import'!N74),0))),0))</f>
        <v>0</v>
      </c>
      <c r="CL74" s="350"/>
    </row>
    <row r="75" spans="3:90" ht="16.05" hidden="1" customHeight="1" outlineLevel="1" x14ac:dyDescent="0.3">
      <c r="C75" s="346"/>
      <c r="D75" s="495"/>
      <c r="E75" s="346"/>
      <c r="F75" s="346" t="str">
        <f>IFERROR(_xlfn.XLOOKUP(E75,'Standard Rate Cards'!$BB$11:$BB$23,'Standard Rate Cards'!$BA$11:$BA$23),"")</f>
        <v/>
      </c>
      <c r="G75" s="346"/>
      <c r="H75" s="346" t="str">
        <f>IFERROR(_xlfn.XLOOKUP(G75,'Standard Rate Cards'!$AP$8:$AP$142,'Standard Rate Cards'!$AQ$8:$AQ$142),"")</f>
        <v/>
      </c>
      <c r="I75" s="346"/>
      <c r="J75" s="346"/>
      <c r="K75" s="496"/>
      <c r="L75" s="496" t="str">
        <f t="shared" si="13"/>
        <v xml:space="preserve"> </v>
      </c>
      <c r="M75" s="496" t="str" cm="1">
        <f t="array" ref="M75">IF(ISBLANK(D75),"",IF(D75&lt;&gt;"CrederaUS",INDEX('Standard Rate Cards'!$D$9:$D$433,MATCH(1,('Standard Rate Cards'!$B$9:$B$433='2. Pricing &amp; Import'!D75)*('Standard Rate Cards'!$C$9:$C$433='2. Pricing &amp; Import'!K75),0)),INDEX('Standard Rate Cards'!$D$9:$D$433,MATCH(1,('Standard Rate Cards'!$B$9:$B$433='2. Pricing &amp; Import'!D75)*('Standard Rate Cards'!$C$9:$C$433='2. Pricing &amp; Import'!K75)*('Standard Rate Cards'!$H$9:$H$433=L75),0))))</f>
        <v/>
      </c>
      <c r="N75" s="347"/>
      <c r="O75" s="110" t="str">
        <f>IF(ISBLANK(K75)," ",_xlfn.XLOOKUP(K75,'Standard Rate Cards'!C:C,'Standard Rate Cards'!H:H))</f>
        <v xml:space="preserve"> </v>
      </c>
      <c r="P75" s="246" t="str">
        <f>IF(ISBLANK($K75)," ",_xlfn.XLOOKUP($K75,'Standard Rate Cards'!C:C,'Standard Rate Cards'!F:F))</f>
        <v xml:space="preserve"> </v>
      </c>
      <c r="Q75" s="348"/>
      <c r="R75" s="250"/>
      <c r="S75" s="680"/>
      <c r="T75" s="681"/>
      <c r="U75" s="1637"/>
      <c r="V75" s="1638"/>
      <c r="W75" s="681"/>
      <c r="X75" s="681" t="str">
        <f t="shared" si="17"/>
        <v/>
      </c>
      <c r="Y75" s="682" t="str">
        <f t="shared" si="18"/>
        <v/>
      </c>
      <c r="Z75" s="1630" t="s">
        <v>309</v>
      </c>
      <c r="AA75" s="1631"/>
      <c r="AB75" s="94"/>
      <c r="AC75" s="94"/>
      <c r="AD75" s="94"/>
      <c r="AE75" s="94"/>
      <c r="AF75" s="94"/>
      <c r="AG75" s="497" t="str">
        <f>IF($X$49="WEEKS","",IF($Z75="Manual Entry hrs/wk","",IF($X$49&gt;'FORMULA REFS'!A$1,$Z75,"")))</f>
        <v/>
      </c>
      <c r="AH75" s="497" t="str">
        <f>IF($X$49="WEEKS","",IF($Z75="Manual Entry hrs/wk","",IF($X$49&gt;'FORMULA REFS'!B$1,$Z75,"")))</f>
        <v/>
      </c>
      <c r="AI75" s="497" t="str">
        <f>IF($X$49="WEEKS","",IF($Z75="Manual Entry hrs/wk","",IF($X$49&gt;'FORMULA REFS'!C$1,$Z75,"")))</f>
        <v/>
      </c>
      <c r="AJ75" s="497" t="str">
        <f>IF($X$49="WEEKS","",IF($Z75="Manual Entry hrs/wk","",IF($X$49&gt;'FORMULA REFS'!D$1,$Z75,"")))</f>
        <v/>
      </c>
      <c r="AK75" s="497" t="str">
        <f>IF($X$49="WEEKS","",IF($Z75="Manual Entry hrs/wk","",IF($X$49&gt;'FORMULA REFS'!E$1,$Z75,"")))</f>
        <v/>
      </c>
      <c r="AL75" s="497" t="str">
        <f>IF($X$49="WEEKS","",IF($Z75="Manual Entry hrs/wk","",IF($X$49&gt;'FORMULA REFS'!F$1,$Z75,"")))</f>
        <v/>
      </c>
      <c r="AM75" s="497" t="str">
        <f>IF($X$49="WEEKS","",IF($Z75="Manual Entry hrs/wk","",IF($X$49&gt;'FORMULA REFS'!G$1,$Z75,"")))</f>
        <v/>
      </c>
      <c r="AN75" s="497" t="str">
        <f>IF($X$49="WEEKS","",IF($Z75="Manual Entry hrs/wk","",IF($X$49&gt;'FORMULA REFS'!H$1,$Z75,"")))</f>
        <v/>
      </c>
      <c r="AO75" s="497" t="str">
        <f>IF($X$49="WEEKS","",IF($Z75="Manual Entry hrs/wk","",IF($X$49&gt;'FORMULA REFS'!I$1,$Z75,"")))</f>
        <v/>
      </c>
      <c r="AP75" s="497" t="str">
        <f>IF($X$49="WEEKS","",IF($Z75="Manual Entry hrs/wk","",IF($X$49&gt;'FORMULA REFS'!J$1,$Z75,"")))</f>
        <v/>
      </c>
      <c r="AQ75" s="497" t="str">
        <f>IF($X$49="WEEKS","",IF($Z75="Manual Entry hrs/wk","",IF($X$49&gt;'FORMULA REFS'!K$1,$Z75,"")))</f>
        <v/>
      </c>
      <c r="AR75" s="497" t="str">
        <f>IF($X$49="WEEKS","",IF($Z75="Manual Entry hrs/wk","",IF($X$49&gt;'FORMULA REFS'!L$1,$Z75,"")))</f>
        <v/>
      </c>
      <c r="AS75" s="497" t="str">
        <f>IF($X$49="WEEKS","",IF($Z75="Manual Entry hrs/wk","",IF($X$49&gt;'FORMULA REFS'!M$1,$Z75,"")))</f>
        <v/>
      </c>
      <c r="AT75" s="497" t="str">
        <f>IF($X$49="WEEKS","",IF($Z75="Manual Entry hrs/wk","",IF($X$49&gt;'FORMULA REFS'!N$1,$Z75,"")))</f>
        <v/>
      </c>
      <c r="AU75" s="497" t="str">
        <f>IF($X$49="WEEKS","",IF($Z75="Manual Entry hrs/wk","",IF($X$49&gt;'FORMULA REFS'!O$1,$Z75,"")))</f>
        <v/>
      </c>
      <c r="AV75" s="497" t="str">
        <f>IF($X$49="WEEKS","",IF($Z75="Manual Entry hrs/wk","",IF($X$49&gt;'FORMULA REFS'!P$1,$Z75,"")))</f>
        <v/>
      </c>
      <c r="AW75" s="497" t="str">
        <f>IF($X$49="WEEKS","",IF($Z75="Manual Entry hrs/wk","",IF($X$49&gt;'FORMULA REFS'!Q$1,$Z75,"")))</f>
        <v/>
      </c>
      <c r="AX75" s="497" t="str">
        <f>IF($X$49="WEEKS","",IF($Z75="Manual Entry hrs/wk","",IF($X$49&gt;'FORMULA REFS'!R$1,$Z75,"")))</f>
        <v/>
      </c>
      <c r="AY75" s="497" t="str">
        <f>IF($X$49="WEEKS","",IF($Z75="Manual Entry hrs/wk","",IF($X$49&gt;'FORMULA REFS'!S$1,$Z75,"")))</f>
        <v/>
      </c>
      <c r="AZ75" s="497" t="str">
        <f>IF($X$49="WEEKS","",IF($Z75="Manual Entry hrs/wk","",IF($X$49&gt;'FORMULA REFS'!T$1,$Z75,"")))</f>
        <v/>
      </c>
      <c r="BA75" s="497" t="str">
        <f>IF($X$49="WEEKS","",IF($Z75="Manual Entry hrs/wk","",IF($X$49&gt;'FORMULA REFS'!U$1,$Z75,"")))</f>
        <v/>
      </c>
      <c r="BB75" s="497" t="str">
        <f>IF($X$49="WEEKS","",IF($Z75="Manual Entry hrs/wk","",IF($X$49&gt;'FORMULA REFS'!V$1,$Z75,"")))</f>
        <v/>
      </c>
      <c r="BC75" s="497" t="str">
        <f>IF($X$49="WEEKS","",IF($Z75="Manual Entry hrs/wk","",IF($X$49&gt;'FORMULA REFS'!W$1,$Z75,"")))</f>
        <v/>
      </c>
      <c r="BD75" s="497" t="str">
        <f>IF($X$49="WEEKS","",IF($Z75="Manual Entry hrs/wk","",IF($X$49&gt;'FORMULA REFS'!X$1,$Z75,"")))</f>
        <v/>
      </c>
      <c r="BE75" s="497" t="str">
        <f>IF($X$49="WEEKS","",IF($Z75="Manual Entry hrs/wk","",IF($X$49&gt;'FORMULA REFS'!Y$1,$Z75,"")))</f>
        <v/>
      </c>
      <c r="BF75" s="497" t="str">
        <f>IF($X$49="WEEKS","",IF($Z75="Manual Entry hrs/wk","",IF($X$49&gt;'FORMULA REFS'!Z$1,$Z75,"")))</f>
        <v/>
      </c>
      <c r="BG75" s="497" t="str">
        <f>IF($X$49="WEEKS","",IF($Z75="Manual Entry hrs/wk","",IF($X$49&gt;'FORMULA REFS'!AA$1,$Z75,"")))</f>
        <v/>
      </c>
      <c r="BH75" s="497" t="str">
        <f>IF($X$49="WEEKS","",IF($Z75="Manual Entry hrs/wk","",IF($X$49&gt;'FORMULA REFS'!AB$1,$Z75,"")))</f>
        <v/>
      </c>
      <c r="BI75" s="497" t="str">
        <f>IF($X$49="WEEKS","",IF($Z75="Manual Entry hrs/wk","",IF($X$49&gt;'FORMULA REFS'!AC$1,$Z75,"")))</f>
        <v/>
      </c>
      <c r="BJ75" s="497" t="str">
        <f>IF($X$49="WEEKS","",IF($Z75="Manual Entry hrs/wk","",IF($X$49&gt;'FORMULA REFS'!AD$1,$Z75,"")))</f>
        <v/>
      </c>
      <c r="BK75" s="497" t="str">
        <f>IF($X$49="WEEKS","",IF($Z75="Manual Entry hrs/wk","",IF($X$49&gt;'FORMULA REFS'!AE$1,$Z75,"")))</f>
        <v/>
      </c>
      <c r="BL75" s="497" t="str">
        <f>IF($X$49="WEEKS","",IF($Z75="Manual Entry hrs/wk","",IF($X$49&gt;'FORMULA REFS'!AF$1,$Z75,"")))</f>
        <v/>
      </c>
      <c r="BM75" s="497" t="str">
        <f>IF($X$49="WEEKS","",IF($Z75="Manual Entry hrs/wk","",IF($X$49&gt;'FORMULA REFS'!AG$1,$Z75,"")))</f>
        <v/>
      </c>
      <c r="BN75" s="497" t="str">
        <f>IF($X$49="WEEKS","",IF($Z75="Manual Entry hrs/wk","",IF($X$49&gt;'FORMULA REFS'!AH$1,$Z75,"")))</f>
        <v/>
      </c>
      <c r="BO75" s="497" t="str">
        <f>IF($X$49="WEEKS","",IF($Z75="Manual Entry hrs/wk","",IF($X$49&gt;'FORMULA REFS'!AI$1,$Z75,"")))</f>
        <v/>
      </c>
      <c r="BP75" s="497" t="str">
        <f>IF($X$49="WEEKS","",IF($Z75="Manual Entry hrs/wk","",IF($X$49&gt;'FORMULA REFS'!AJ$1,$Z75,"")))</f>
        <v/>
      </c>
      <c r="BQ75" s="497" t="str">
        <f>IF($X$49="WEEKS","",IF($Z75="Manual Entry hrs/wk","",IF($X$49&gt;'FORMULA REFS'!AK$1,$Z75,"")))</f>
        <v/>
      </c>
      <c r="BR75" s="497" t="str">
        <f>IF($X$49="WEEKS","",IF($Z75="Manual Entry hrs/wk","",IF($X$49&gt;'FORMULA REFS'!AL$1,$Z75,"")))</f>
        <v/>
      </c>
      <c r="BS75" s="497" t="str">
        <f>IF($X$49="WEEKS","",IF($Z75="Manual Entry hrs/wk","",IF($X$49&gt;'FORMULA REFS'!AM$1,$Z75,"")))</f>
        <v/>
      </c>
      <c r="BT75" s="497" t="str">
        <f>IF($X$49="WEEKS","",IF($Z75="Manual Entry hrs/wk","",IF($X$49&gt;'FORMULA REFS'!AN$1,$Z75,"")))</f>
        <v/>
      </c>
      <c r="BU75" s="497" t="str">
        <f>IF($X$49="WEEKS","",IF($Z75="Manual Entry hrs/wk","",IF($X$49&gt;'FORMULA REFS'!AO$1,$Z75,"")))</f>
        <v/>
      </c>
      <c r="BV75" s="497" t="str">
        <f>IF($X$49="WEEKS","",IF($Z75="Manual Entry hrs/wk","",IF($X$49&gt;'FORMULA REFS'!AP$1,$Z75,"")))</f>
        <v/>
      </c>
      <c r="BW75" s="497" t="str">
        <f>IF($X$49="WEEKS","",IF($Z75="Manual Entry hrs/wk","",IF($X$49&gt;'FORMULA REFS'!AQ$1,$Z75,"")))</f>
        <v/>
      </c>
      <c r="BX75" s="497" t="str">
        <f>IF($X$49="WEEKS","",IF($Z75="Manual Entry hrs/wk","",IF($X$49&gt;'FORMULA REFS'!AR$1,$Z75,"")))</f>
        <v/>
      </c>
      <c r="BY75" s="497" t="str">
        <f>IF($X$49="WEEKS","",IF($Z75="Manual Entry hrs/wk","",IF($X$49&gt;'FORMULA REFS'!AS$1,$Z75,"")))</f>
        <v/>
      </c>
      <c r="BZ75" s="497" t="str">
        <f>IF($X$49="WEEKS","",IF($Z75="Manual Entry hrs/wk","",IF($X$49&gt;'FORMULA REFS'!AT$1,$Z75,"")))</f>
        <v/>
      </c>
      <c r="CA75" s="497" t="str">
        <f>IF($X$49="WEEKS","",IF($Z75="Manual Entry hrs/wk","",IF($X$49&gt;'FORMULA REFS'!AU$1,$Z75,"")))</f>
        <v/>
      </c>
      <c r="CB75" s="497" t="str">
        <f>IF($X$49="WEEKS","",IF($Z75="Manual Entry hrs/wk","",IF($X$49&gt;'FORMULA REFS'!AV$1,$Z75,"")))</f>
        <v/>
      </c>
      <c r="CC75" s="497" t="str">
        <f>IF($X$49="WEEKS","",IF($Z75="Manual Entry hrs/wk","",IF($X$49&gt;'FORMULA REFS'!AW$1,$Z75,"")))</f>
        <v/>
      </c>
      <c r="CD75" s="497" t="str">
        <f>IF($X$49="WEEKS","",IF($Z75="Manual Entry hrs/wk","",IF($X$49&gt;'FORMULA REFS'!AX$1,$Z75,"")))</f>
        <v/>
      </c>
      <c r="CE75" s="497" t="str">
        <f>IF($X$49="WEEKS","",IF($Z75="Manual Entry hrs/wk","",IF($X$49&gt;'FORMULA REFS'!AY$1,$Z75,"")))</f>
        <v/>
      </c>
      <c r="CF75" s="497" t="str">
        <f>IF($X$49="WEEKS","",IF($Z75="Manual Entry hrs/wk","",IF($X$49&gt;'FORMULA REFS'!AZ$1,$Z75,"")))</f>
        <v/>
      </c>
      <c r="CG75" s="113"/>
      <c r="CH75" s="349" t="str">
        <f t="shared" si="16"/>
        <v/>
      </c>
      <c r="CI75" s="349">
        <f>IFERROR((_xlfn.XLOOKUP($M75,'Standard Rate Cards'!D:D,'Standard Rate Cards'!E:E))*Y75,0)</f>
        <v>0</v>
      </c>
      <c r="CJ75" s="349">
        <f>IF(CL75&lt;&gt;"","",IF($D$16="Select Type","Select Margin Class",IFERROR(IF($M75="",0,IF($D$16="Client Custom Rates",0,IF($D$16="Standard Rates",_xlfn.XLOOKUP($M75,'Standard Rate Cards'!$D:$D,'Standard Rate Cards'!G:G)))),0)))</f>
        <v>0</v>
      </c>
      <c r="CK75" s="349" cm="1">
        <f t="array" ref="CK75">IF(CL75&lt;&gt;"","",IFERROR(IF($D$16&lt;&gt;"Client Custom Rates",0,INDEX('Client Rate Cards'!E:E,MATCH(1,('Client Rate Cards'!B:B='2. Pricing &amp; Import'!$D$17)*('Client Rate Cards'!D:D='2. Pricing &amp; Import'!N75),0))),0))</f>
        <v>0</v>
      </c>
      <c r="CL75" s="350"/>
    </row>
    <row r="76" spans="3:90" ht="16.05" hidden="1" customHeight="1" outlineLevel="1" x14ac:dyDescent="0.3">
      <c r="C76" s="346"/>
      <c r="D76" s="495"/>
      <c r="E76" s="346"/>
      <c r="F76" s="346" t="str">
        <f>IFERROR(_xlfn.XLOOKUP(E76,'Standard Rate Cards'!$BB$11:$BB$23,'Standard Rate Cards'!$BA$11:$BA$23),"")</f>
        <v/>
      </c>
      <c r="G76" s="346"/>
      <c r="H76" s="346" t="str">
        <f>IFERROR(_xlfn.XLOOKUP(G76,'Standard Rate Cards'!$AP$8:$AP$142,'Standard Rate Cards'!$AQ$8:$AQ$142),"")</f>
        <v/>
      </c>
      <c r="I76" s="346"/>
      <c r="J76" s="346"/>
      <c r="K76" s="496"/>
      <c r="L76" s="496" t="str">
        <f t="shared" si="13"/>
        <v xml:space="preserve"> </v>
      </c>
      <c r="M76" s="496" t="str" cm="1">
        <f t="array" ref="M76">IF(ISBLANK(D76),"",IF(D76&lt;&gt;"CrederaUS",INDEX('Standard Rate Cards'!$D$9:$D$433,MATCH(1,('Standard Rate Cards'!$B$9:$B$433='2. Pricing &amp; Import'!D76)*('Standard Rate Cards'!$C$9:$C$433='2. Pricing &amp; Import'!K76),0)),INDEX('Standard Rate Cards'!$D$9:$D$433,MATCH(1,('Standard Rate Cards'!$B$9:$B$433='2. Pricing &amp; Import'!D76)*('Standard Rate Cards'!$C$9:$C$433='2. Pricing &amp; Import'!K76)*('Standard Rate Cards'!$H$9:$H$433=L76),0))))</f>
        <v/>
      </c>
      <c r="N76" s="347"/>
      <c r="O76" s="110" t="str">
        <f>IF(ISBLANK(K76)," ",_xlfn.XLOOKUP(K76,'Standard Rate Cards'!C:C,'Standard Rate Cards'!H:H))</f>
        <v xml:space="preserve"> </v>
      </c>
      <c r="P76" s="246" t="str">
        <f>IF(ISBLANK($K76)," ",_xlfn.XLOOKUP($K76,'Standard Rate Cards'!C:C,'Standard Rate Cards'!F:F))</f>
        <v xml:space="preserve"> </v>
      </c>
      <c r="Q76" s="348"/>
      <c r="R76" s="250"/>
      <c r="S76" s="680"/>
      <c r="T76" s="681"/>
      <c r="U76" s="1637"/>
      <c r="V76" s="1638"/>
      <c r="W76" s="681"/>
      <c r="X76" s="681" t="str">
        <f t="shared" si="17"/>
        <v/>
      </c>
      <c r="Y76" s="682" t="str">
        <f t="shared" si="18"/>
        <v/>
      </c>
      <c r="Z76" s="1630" t="s">
        <v>309</v>
      </c>
      <c r="AA76" s="1631"/>
      <c r="AB76" s="94"/>
      <c r="AC76" s="94"/>
      <c r="AD76" s="94"/>
      <c r="AE76" s="94"/>
      <c r="AF76" s="94"/>
      <c r="AG76" s="497" t="str">
        <f>IF($X$49="WEEKS","",IF($Z76="Manual Entry hrs/wk","",IF($X$49&gt;'FORMULA REFS'!A$1,$Z76,"")))</f>
        <v/>
      </c>
      <c r="AH76" s="497" t="str">
        <f>IF($X$49="WEEKS","",IF($Z76="Manual Entry hrs/wk","",IF($X$49&gt;'FORMULA REFS'!B$1,$Z76,"")))</f>
        <v/>
      </c>
      <c r="AI76" s="497" t="str">
        <f>IF($X$49="WEEKS","",IF($Z76="Manual Entry hrs/wk","",IF($X$49&gt;'FORMULA REFS'!C$1,$Z76,"")))</f>
        <v/>
      </c>
      <c r="AJ76" s="497" t="str">
        <f>IF($X$49="WEEKS","",IF($Z76="Manual Entry hrs/wk","",IF($X$49&gt;'FORMULA REFS'!D$1,$Z76,"")))</f>
        <v/>
      </c>
      <c r="AK76" s="497" t="str">
        <f>IF($X$49="WEEKS","",IF($Z76="Manual Entry hrs/wk","",IF($X$49&gt;'FORMULA REFS'!E$1,$Z76,"")))</f>
        <v/>
      </c>
      <c r="AL76" s="497" t="str">
        <f>IF($X$49="WEEKS","",IF($Z76="Manual Entry hrs/wk","",IF($X$49&gt;'FORMULA REFS'!F$1,$Z76,"")))</f>
        <v/>
      </c>
      <c r="AM76" s="497" t="str">
        <f>IF($X$49="WEEKS","",IF($Z76="Manual Entry hrs/wk","",IF($X$49&gt;'FORMULA REFS'!G$1,$Z76,"")))</f>
        <v/>
      </c>
      <c r="AN76" s="497" t="str">
        <f>IF($X$49="WEEKS","",IF($Z76="Manual Entry hrs/wk","",IF($X$49&gt;'FORMULA REFS'!H$1,$Z76,"")))</f>
        <v/>
      </c>
      <c r="AO76" s="497" t="str">
        <f>IF($X$49="WEEKS","",IF($Z76="Manual Entry hrs/wk","",IF($X$49&gt;'FORMULA REFS'!I$1,$Z76,"")))</f>
        <v/>
      </c>
      <c r="AP76" s="497" t="str">
        <f>IF($X$49="WEEKS","",IF($Z76="Manual Entry hrs/wk","",IF($X$49&gt;'FORMULA REFS'!J$1,$Z76,"")))</f>
        <v/>
      </c>
      <c r="AQ76" s="497" t="str">
        <f>IF($X$49="WEEKS","",IF($Z76="Manual Entry hrs/wk","",IF($X$49&gt;'FORMULA REFS'!K$1,$Z76,"")))</f>
        <v/>
      </c>
      <c r="AR76" s="497" t="str">
        <f>IF($X$49="WEEKS","",IF($Z76="Manual Entry hrs/wk","",IF($X$49&gt;'FORMULA REFS'!L$1,$Z76,"")))</f>
        <v/>
      </c>
      <c r="AS76" s="497" t="str">
        <f>IF($X$49="WEEKS","",IF($Z76="Manual Entry hrs/wk","",IF($X$49&gt;'FORMULA REFS'!M$1,$Z76,"")))</f>
        <v/>
      </c>
      <c r="AT76" s="497" t="str">
        <f>IF($X$49="WEEKS","",IF($Z76="Manual Entry hrs/wk","",IF($X$49&gt;'FORMULA REFS'!N$1,$Z76,"")))</f>
        <v/>
      </c>
      <c r="AU76" s="497" t="str">
        <f>IF($X$49="WEEKS","",IF($Z76="Manual Entry hrs/wk","",IF($X$49&gt;'FORMULA REFS'!O$1,$Z76,"")))</f>
        <v/>
      </c>
      <c r="AV76" s="497" t="str">
        <f>IF($X$49="WEEKS","",IF($Z76="Manual Entry hrs/wk","",IF($X$49&gt;'FORMULA REFS'!P$1,$Z76,"")))</f>
        <v/>
      </c>
      <c r="AW76" s="497" t="str">
        <f>IF($X$49="WEEKS","",IF($Z76="Manual Entry hrs/wk","",IF($X$49&gt;'FORMULA REFS'!Q$1,$Z76,"")))</f>
        <v/>
      </c>
      <c r="AX76" s="497" t="str">
        <f>IF($X$49="WEEKS","",IF($Z76="Manual Entry hrs/wk","",IF($X$49&gt;'FORMULA REFS'!R$1,$Z76,"")))</f>
        <v/>
      </c>
      <c r="AY76" s="497" t="str">
        <f>IF($X$49="WEEKS","",IF($Z76="Manual Entry hrs/wk","",IF($X$49&gt;'FORMULA REFS'!S$1,$Z76,"")))</f>
        <v/>
      </c>
      <c r="AZ76" s="497" t="str">
        <f>IF($X$49="WEEKS","",IF($Z76="Manual Entry hrs/wk","",IF($X$49&gt;'FORMULA REFS'!T$1,$Z76,"")))</f>
        <v/>
      </c>
      <c r="BA76" s="497" t="str">
        <f>IF($X$49="WEEKS","",IF($Z76="Manual Entry hrs/wk","",IF($X$49&gt;'FORMULA REFS'!U$1,$Z76,"")))</f>
        <v/>
      </c>
      <c r="BB76" s="497" t="str">
        <f>IF($X$49="WEEKS","",IF($Z76="Manual Entry hrs/wk","",IF($X$49&gt;'FORMULA REFS'!V$1,$Z76,"")))</f>
        <v/>
      </c>
      <c r="BC76" s="497" t="str">
        <f>IF($X$49="WEEKS","",IF($Z76="Manual Entry hrs/wk","",IF($X$49&gt;'FORMULA REFS'!W$1,$Z76,"")))</f>
        <v/>
      </c>
      <c r="BD76" s="497" t="str">
        <f>IF($X$49="WEEKS","",IF($Z76="Manual Entry hrs/wk","",IF($X$49&gt;'FORMULA REFS'!X$1,$Z76,"")))</f>
        <v/>
      </c>
      <c r="BE76" s="497" t="str">
        <f>IF($X$49="WEEKS","",IF($Z76="Manual Entry hrs/wk","",IF($X$49&gt;'FORMULA REFS'!Y$1,$Z76,"")))</f>
        <v/>
      </c>
      <c r="BF76" s="497" t="str">
        <f>IF($X$49="WEEKS","",IF($Z76="Manual Entry hrs/wk","",IF($X$49&gt;'FORMULA REFS'!Z$1,$Z76,"")))</f>
        <v/>
      </c>
      <c r="BG76" s="497" t="str">
        <f>IF($X$49="WEEKS","",IF($Z76="Manual Entry hrs/wk","",IF($X$49&gt;'FORMULA REFS'!AA$1,$Z76,"")))</f>
        <v/>
      </c>
      <c r="BH76" s="497" t="str">
        <f>IF($X$49="WEEKS","",IF($Z76="Manual Entry hrs/wk","",IF($X$49&gt;'FORMULA REFS'!AB$1,$Z76,"")))</f>
        <v/>
      </c>
      <c r="BI76" s="497" t="str">
        <f>IF($X$49="WEEKS","",IF($Z76="Manual Entry hrs/wk","",IF($X$49&gt;'FORMULA REFS'!AC$1,$Z76,"")))</f>
        <v/>
      </c>
      <c r="BJ76" s="497" t="str">
        <f>IF($X$49="WEEKS","",IF($Z76="Manual Entry hrs/wk","",IF($X$49&gt;'FORMULA REFS'!AD$1,$Z76,"")))</f>
        <v/>
      </c>
      <c r="BK76" s="497" t="str">
        <f>IF($X$49="WEEKS","",IF($Z76="Manual Entry hrs/wk","",IF($X$49&gt;'FORMULA REFS'!AE$1,$Z76,"")))</f>
        <v/>
      </c>
      <c r="BL76" s="497" t="str">
        <f>IF($X$49="WEEKS","",IF($Z76="Manual Entry hrs/wk","",IF($X$49&gt;'FORMULA REFS'!AF$1,$Z76,"")))</f>
        <v/>
      </c>
      <c r="BM76" s="497" t="str">
        <f>IF($X$49="WEEKS","",IF($Z76="Manual Entry hrs/wk","",IF($X$49&gt;'FORMULA REFS'!AG$1,$Z76,"")))</f>
        <v/>
      </c>
      <c r="BN76" s="497" t="str">
        <f>IF($X$49="WEEKS","",IF($Z76="Manual Entry hrs/wk","",IF($X$49&gt;'FORMULA REFS'!AH$1,$Z76,"")))</f>
        <v/>
      </c>
      <c r="BO76" s="497" t="str">
        <f>IF($X$49="WEEKS","",IF($Z76="Manual Entry hrs/wk","",IF($X$49&gt;'FORMULA REFS'!AI$1,$Z76,"")))</f>
        <v/>
      </c>
      <c r="BP76" s="497" t="str">
        <f>IF($X$49="WEEKS","",IF($Z76="Manual Entry hrs/wk","",IF($X$49&gt;'FORMULA REFS'!AJ$1,$Z76,"")))</f>
        <v/>
      </c>
      <c r="BQ76" s="497" t="str">
        <f>IF($X$49="WEEKS","",IF($Z76="Manual Entry hrs/wk","",IF($X$49&gt;'FORMULA REFS'!AK$1,$Z76,"")))</f>
        <v/>
      </c>
      <c r="BR76" s="497" t="str">
        <f>IF($X$49="WEEKS","",IF($Z76="Manual Entry hrs/wk","",IF($X$49&gt;'FORMULA REFS'!AL$1,$Z76,"")))</f>
        <v/>
      </c>
      <c r="BS76" s="497" t="str">
        <f>IF($X$49="WEEKS","",IF($Z76="Manual Entry hrs/wk","",IF($X$49&gt;'FORMULA REFS'!AM$1,$Z76,"")))</f>
        <v/>
      </c>
      <c r="BT76" s="497" t="str">
        <f>IF($X$49="WEEKS","",IF($Z76="Manual Entry hrs/wk","",IF($X$49&gt;'FORMULA REFS'!AN$1,$Z76,"")))</f>
        <v/>
      </c>
      <c r="BU76" s="497" t="str">
        <f>IF($X$49="WEEKS","",IF($Z76="Manual Entry hrs/wk","",IF($X$49&gt;'FORMULA REFS'!AO$1,$Z76,"")))</f>
        <v/>
      </c>
      <c r="BV76" s="497" t="str">
        <f>IF($X$49="WEEKS","",IF($Z76="Manual Entry hrs/wk","",IF($X$49&gt;'FORMULA REFS'!AP$1,$Z76,"")))</f>
        <v/>
      </c>
      <c r="BW76" s="497" t="str">
        <f>IF($X$49="WEEKS","",IF($Z76="Manual Entry hrs/wk","",IF($X$49&gt;'FORMULA REFS'!AQ$1,$Z76,"")))</f>
        <v/>
      </c>
      <c r="BX76" s="497" t="str">
        <f>IF($X$49="WEEKS","",IF($Z76="Manual Entry hrs/wk","",IF($X$49&gt;'FORMULA REFS'!AR$1,$Z76,"")))</f>
        <v/>
      </c>
      <c r="BY76" s="497" t="str">
        <f>IF($X$49="WEEKS","",IF($Z76="Manual Entry hrs/wk","",IF($X$49&gt;'FORMULA REFS'!AS$1,$Z76,"")))</f>
        <v/>
      </c>
      <c r="BZ76" s="497" t="str">
        <f>IF($X$49="WEEKS","",IF($Z76="Manual Entry hrs/wk","",IF($X$49&gt;'FORMULA REFS'!AT$1,$Z76,"")))</f>
        <v/>
      </c>
      <c r="CA76" s="497" t="str">
        <f>IF($X$49="WEEKS","",IF($Z76="Manual Entry hrs/wk","",IF($X$49&gt;'FORMULA REFS'!AU$1,$Z76,"")))</f>
        <v/>
      </c>
      <c r="CB76" s="497" t="str">
        <f>IF($X$49="WEEKS","",IF($Z76="Manual Entry hrs/wk","",IF($X$49&gt;'FORMULA REFS'!AV$1,$Z76,"")))</f>
        <v/>
      </c>
      <c r="CC76" s="497" t="str">
        <f>IF($X$49="WEEKS","",IF($Z76="Manual Entry hrs/wk","",IF($X$49&gt;'FORMULA REFS'!AW$1,$Z76,"")))</f>
        <v/>
      </c>
      <c r="CD76" s="497" t="str">
        <f>IF($X$49="WEEKS","",IF($Z76="Manual Entry hrs/wk","",IF($X$49&gt;'FORMULA REFS'!AX$1,$Z76,"")))</f>
        <v/>
      </c>
      <c r="CE76" s="497" t="str">
        <f>IF($X$49="WEEKS","",IF($Z76="Manual Entry hrs/wk","",IF($X$49&gt;'FORMULA REFS'!AY$1,$Z76,"")))</f>
        <v/>
      </c>
      <c r="CF76" s="497" t="str">
        <f>IF($X$49="WEEKS","",IF($Z76="Manual Entry hrs/wk","",IF($X$49&gt;'FORMULA REFS'!AZ$1,$Z76,"")))</f>
        <v/>
      </c>
      <c r="CG76" s="113"/>
      <c r="CH76" s="349" t="str">
        <f t="shared" si="16"/>
        <v/>
      </c>
      <c r="CI76" s="349">
        <f>IFERROR((_xlfn.XLOOKUP($M76,'Standard Rate Cards'!D:D,'Standard Rate Cards'!E:E))*Y76,0)</f>
        <v>0</v>
      </c>
      <c r="CJ76" s="349">
        <f>IF(CL76&lt;&gt;"","",IF($D$16="Select Type","Select Margin Class",IFERROR(IF($M76="",0,IF($D$16="Client Custom Rates",0,IF($D$16="Standard Rates",_xlfn.XLOOKUP($M76,'Standard Rate Cards'!$D:$D,'Standard Rate Cards'!G:G)))),0)))</f>
        <v>0</v>
      </c>
      <c r="CK76" s="349" cm="1">
        <f t="array" ref="CK76">IF(CL76&lt;&gt;"","",IFERROR(IF($D$16&lt;&gt;"Client Custom Rates",0,INDEX('Client Rate Cards'!E:E,MATCH(1,('Client Rate Cards'!B:B='2. Pricing &amp; Import'!$D$17)*('Client Rate Cards'!D:D='2. Pricing &amp; Import'!N76),0))),0))</f>
        <v>0</v>
      </c>
      <c r="CL76" s="350"/>
    </row>
    <row r="77" spans="3:90" ht="16.05" hidden="1" customHeight="1" outlineLevel="1" x14ac:dyDescent="0.3">
      <c r="C77" s="346"/>
      <c r="D77" s="495"/>
      <c r="E77" s="346"/>
      <c r="F77" s="346" t="str">
        <f>IFERROR(_xlfn.XLOOKUP(E77,'Standard Rate Cards'!$BB$11:$BB$23,'Standard Rate Cards'!$BA$11:$BA$23),"")</f>
        <v/>
      </c>
      <c r="G77" s="346"/>
      <c r="H77" s="346" t="str">
        <f>IFERROR(_xlfn.XLOOKUP(G77,'Standard Rate Cards'!$AP$8:$AP$142,'Standard Rate Cards'!$AQ$8:$AQ$142),"")</f>
        <v/>
      </c>
      <c r="I77" s="346"/>
      <c r="J77" s="346"/>
      <c r="K77" s="496"/>
      <c r="L77" s="496" t="str">
        <f t="shared" si="13"/>
        <v xml:space="preserve"> </v>
      </c>
      <c r="M77" s="496" t="str" cm="1">
        <f t="array" ref="M77">IF(ISBLANK(D77),"",IF(D77&lt;&gt;"CrederaUS",INDEX('Standard Rate Cards'!$D$9:$D$433,MATCH(1,('Standard Rate Cards'!$B$9:$B$433='2. Pricing &amp; Import'!D77)*('Standard Rate Cards'!$C$9:$C$433='2. Pricing &amp; Import'!K77),0)),INDEX('Standard Rate Cards'!$D$9:$D$433,MATCH(1,('Standard Rate Cards'!$B$9:$B$433='2. Pricing &amp; Import'!D77)*('Standard Rate Cards'!$C$9:$C$433='2. Pricing &amp; Import'!K77)*('Standard Rate Cards'!$H$9:$H$433=L77),0))))</f>
        <v/>
      </c>
      <c r="N77" s="347"/>
      <c r="O77" s="110" t="str">
        <f>IF(ISBLANK(K77)," ",_xlfn.XLOOKUP(K77,'Standard Rate Cards'!C:C,'Standard Rate Cards'!H:H))</f>
        <v xml:space="preserve"> </v>
      </c>
      <c r="P77" s="246" t="str">
        <f>IF(ISBLANK($K77)," ",_xlfn.XLOOKUP($K77,'Standard Rate Cards'!C:C,'Standard Rate Cards'!F:F))</f>
        <v xml:space="preserve"> </v>
      </c>
      <c r="Q77" s="348"/>
      <c r="R77" s="250"/>
      <c r="S77" s="680"/>
      <c r="T77" s="681"/>
      <c r="U77" s="1637"/>
      <c r="V77" s="1638"/>
      <c r="W77" s="681"/>
      <c r="X77" s="681" t="str">
        <f t="shared" si="17"/>
        <v/>
      </c>
      <c r="Y77" s="682" t="str">
        <f t="shared" si="18"/>
        <v/>
      </c>
      <c r="Z77" s="1630" t="s">
        <v>309</v>
      </c>
      <c r="AA77" s="1631"/>
      <c r="AB77" s="94"/>
      <c r="AC77" s="94"/>
      <c r="AD77" s="94"/>
      <c r="AE77" s="94"/>
      <c r="AF77" s="94"/>
      <c r="AG77" s="497" t="str">
        <f>IF($X$49="WEEKS","",IF($Z77="Manual Entry hrs/wk","",IF($X$49&gt;'FORMULA REFS'!A$1,$Z77,"")))</f>
        <v/>
      </c>
      <c r="AH77" s="497" t="str">
        <f>IF($X$49="WEEKS","",IF($Z77="Manual Entry hrs/wk","",IF($X$49&gt;'FORMULA REFS'!B$1,$Z77,"")))</f>
        <v/>
      </c>
      <c r="AI77" s="497" t="str">
        <f>IF($X$49="WEEKS","",IF($Z77="Manual Entry hrs/wk","",IF($X$49&gt;'FORMULA REFS'!C$1,$Z77,"")))</f>
        <v/>
      </c>
      <c r="AJ77" s="497" t="str">
        <f>IF($X$49="WEEKS","",IF($Z77="Manual Entry hrs/wk","",IF($X$49&gt;'FORMULA REFS'!D$1,$Z77,"")))</f>
        <v/>
      </c>
      <c r="AK77" s="497" t="str">
        <f>IF($X$49="WEEKS","",IF($Z77="Manual Entry hrs/wk","",IF($X$49&gt;'FORMULA REFS'!E$1,$Z77,"")))</f>
        <v/>
      </c>
      <c r="AL77" s="497" t="str">
        <f>IF($X$49="WEEKS","",IF($Z77="Manual Entry hrs/wk","",IF($X$49&gt;'FORMULA REFS'!F$1,$Z77,"")))</f>
        <v/>
      </c>
      <c r="AM77" s="497" t="str">
        <f>IF($X$49="WEEKS","",IF($Z77="Manual Entry hrs/wk","",IF($X$49&gt;'FORMULA REFS'!G$1,$Z77,"")))</f>
        <v/>
      </c>
      <c r="AN77" s="497" t="str">
        <f>IF($X$49="WEEKS","",IF($Z77="Manual Entry hrs/wk","",IF($X$49&gt;'FORMULA REFS'!H$1,$Z77,"")))</f>
        <v/>
      </c>
      <c r="AO77" s="497" t="str">
        <f>IF($X$49="WEEKS","",IF($Z77="Manual Entry hrs/wk","",IF($X$49&gt;'FORMULA REFS'!I$1,$Z77,"")))</f>
        <v/>
      </c>
      <c r="AP77" s="497" t="str">
        <f>IF($X$49="WEEKS","",IF($Z77="Manual Entry hrs/wk","",IF($X$49&gt;'FORMULA REFS'!J$1,$Z77,"")))</f>
        <v/>
      </c>
      <c r="AQ77" s="497" t="str">
        <f>IF($X$49="WEEKS","",IF($Z77="Manual Entry hrs/wk","",IF($X$49&gt;'FORMULA REFS'!K$1,$Z77,"")))</f>
        <v/>
      </c>
      <c r="AR77" s="497" t="str">
        <f>IF($X$49="WEEKS","",IF($Z77="Manual Entry hrs/wk","",IF($X$49&gt;'FORMULA REFS'!L$1,$Z77,"")))</f>
        <v/>
      </c>
      <c r="AS77" s="497" t="str">
        <f>IF($X$49="WEEKS","",IF($Z77="Manual Entry hrs/wk","",IF($X$49&gt;'FORMULA REFS'!M$1,$Z77,"")))</f>
        <v/>
      </c>
      <c r="AT77" s="497" t="str">
        <f>IF($X$49="WEEKS","",IF($Z77="Manual Entry hrs/wk","",IF($X$49&gt;'FORMULA REFS'!N$1,$Z77,"")))</f>
        <v/>
      </c>
      <c r="AU77" s="497" t="str">
        <f>IF($X$49="WEEKS","",IF($Z77="Manual Entry hrs/wk","",IF($X$49&gt;'FORMULA REFS'!O$1,$Z77,"")))</f>
        <v/>
      </c>
      <c r="AV77" s="497" t="str">
        <f>IF($X$49="WEEKS","",IF($Z77="Manual Entry hrs/wk","",IF($X$49&gt;'FORMULA REFS'!P$1,$Z77,"")))</f>
        <v/>
      </c>
      <c r="AW77" s="497" t="str">
        <f>IF($X$49="WEEKS","",IF($Z77="Manual Entry hrs/wk","",IF($X$49&gt;'FORMULA REFS'!Q$1,$Z77,"")))</f>
        <v/>
      </c>
      <c r="AX77" s="497" t="str">
        <f>IF($X$49="WEEKS","",IF($Z77="Manual Entry hrs/wk","",IF($X$49&gt;'FORMULA REFS'!R$1,$Z77,"")))</f>
        <v/>
      </c>
      <c r="AY77" s="497" t="str">
        <f>IF($X$49="WEEKS","",IF($Z77="Manual Entry hrs/wk","",IF($X$49&gt;'FORMULA REFS'!S$1,$Z77,"")))</f>
        <v/>
      </c>
      <c r="AZ77" s="497" t="str">
        <f>IF($X$49="WEEKS","",IF($Z77="Manual Entry hrs/wk","",IF($X$49&gt;'FORMULA REFS'!T$1,$Z77,"")))</f>
        <v/>
      </c>
      <c r="BA77" s="497" t="str">
        <f>IF($X$49="WEEKS","",IF($Z77="Manual Entry hrs/wk","",IF($X$49&gt;'FORMULA REFS'!U$1,$Z77,"")))</f>
        <v/>
      </c>
      <c r="BB77" s="497" t="str">
        <f>IF($X$49="WEEKS","",IF($Z77="Manual Entry hrs/wk","",IF($X$49&gt;'FORMULA REFS'!V$1,$Z77,"")))</f>
        <v/>
      </c>
      <c r="BC77" s="497" t="str">
        <f>IF($X$49="WEEKS","",IF($Z77="Manual Entry hrs/wk","",IF($X$49&gt;'FORMULA REFS'!W$1,$Z77,"")))</f>
        <v/>
      </c>
      <c r="BD77" s="497" t="str">
        <f>IF($X$49="WEEKS","",IF($Z77="Manual Entry hrs/wk","",IF($X$49&gt;'FORMULA REFS'!X$1,$Z77,"")))</f>
        <v/>
      </c>
      <c r="BE77" s="497" t="str">
        <f>IF($X$49="WEEKS","",IF($Z77="Manual Entry hrs/wk","",IF($X$49&gt;'FORMULA REFS'!Y$1,$Z77,"")))</f>
        <v/>
      </c>
      <c r="BF77" s="497" t="str">
        <f>IF($X$49="WEEKS","",IF($Z77="Manual Entry hrs/wk","",IF($X$49&gt;'FORMULA REFS'!Z$1,$Z77,"")))</f>
        <v/>
      </c>
      <c r="BG77" s="497" t="str">
        <f>IF($X$49="WEEKS","",IF($Z77="Manual Entry hrs/wk","",IF($X$49&gt;'FORMULA REFS'!AA$1,$Z77,"")))</f>
        <v/>
      </c>
      <c r="BH77" s="497" t="str">
        <f>IF($X$49="WEEKS","",IF($Z77="Manual Entry hrs/wk","",IF($X$49&gt;'FORMULA REFS'!AB$1,$Z77,"")))</f>
        <v/>
      </c>
      <c r="BI77" s="497" t="str">
        <f>IF($X$49="WEEKS","",IF($Z77="Manual Entry hrs/wk","",IF($X$49&gt;'FORMULA REFS'!AC$1,$Z77,"")))</f>
        <v/>
      </c>
      <c r="BJ77" s="497" t="str">
        <f>IF($X$49="WEEKS","",IF($Z77="Manual Entry hrs/wk","",IF($X$49&gt;'FORMULA REFS'!AD$1,$Z77,"")))</f>
        <v/>
      </c>
      <c r="BK77" s="497" t="str">
        <f>IF($X$49="WEEKS","",IF($Z77="Manual Entry hrs/wk","",IF($X$49&gt;'FORMULA REFS'!AE$1,$Z77,"")))</f>
        <v/>
      </c>
      <c r="BL77" s="497" t="str">
        <f>IF($X$49="WEEKS","",IF($Z77="Manual Entry hrs/wk","",IF($X$49&gt;'FORMULA REFS'!AF$1,$Z77,"")))</f>
        <v/>
      </c>
      <c r="BM77" s="497" t="str">
        <f>IF($X$49="WEEKS","",IF($Z77="Manual Entry hrs/wk","",IF($X$49&gt;'FORMULA REFS'!AG$1,$Z77,"")))</f>
        <v/>
      </c>
      <c r="BN77" s="497" t="str">
        <f>IF($X$49="WEEKS","",IF($Z77="Manual Entry hrs/wk","",IF($X$49&gt;'FORMULA REFS'!AH$1,$Z77,"")))</f>
        <v/>
      </c>
      <c r="BO77" s="497" t="str">
        <f>IF($X$49="WEEKS","",IF($Z77="Manual Entry hrs/wk","",IF($X$49&gt;'FORMULA REFS'!AI$1,$Z77,"")))</f>
        <v/>
      </c>
      <c r="BP77" s="497" t="str">
        <f>IF($X$49="WEEKS","",IF($Z77="Manual Entry hrs/wk","",IF($X$49&gt;'FORMULA REFS'!AJ$1,$Z77,"")))</f>
        <v/>
      </c>
      <c r="BQ77" s="497" t="str">
        <f>IF($X$49="WEEKS","",IF($Z77="Manual Entry hrs/wk","",IF($X$49&gt;'FORMULA REFS'!AK$1,$Z77,"")))</f>
        <v/>
      </c>
      <c r="BR77" s="497" t="str">
        <f>IF($X$49="WEEKS","",IF($Z77="Manual Entry hrs/wk","",IF($X$49&gt;'FORMULA REFS'!AL$1,$Z77,"")))</f>
        <v/>
      </c>
      <c r="BS77" s="497" t="str">
        <f>IF($X$49="WEEKS","",IF($Z77="Manual Entry hrs/wk","",IF($X$49&gt;'FORMULA REFS'!AM$1,$Z77,"")))</f>
        <v/>
      </c>
      <c r="BT77" s="497" t="str">
        <f>IF($X$49="WEEKS","",IF($Z77="Manual Entry hrs/wk","",IF($X$49&gt;'FORMULA REFS'!AN$1,$Z77,"")))</f>
        <v/>
      </c>
      <c r="BU77" s="497" t="str">
        <f>IF($X$49="WEEKS","",IF($Z77="Manual Entry hrs/wk","",IF($X$49&gt;'FORMULA REFS'!AO$1,$Z77,"")))</f>
        <v/>
      </c>
      <c r="BV77" s="497" t="str">
        <f>IF($X$49="WEEKS","",IF($Z77="Manual Entry hrs/wk","",IF($X$49&gt;'FORMULA REFS'!AP$1,$Z77,"")))</f>
        <v/>
      </c>
      <c r="BW77" s="497" t="str">
        <f>IF($X$49="WEEKS","",IF($Z77="Manual Entry hrs/wk","",IF($X$49&gt;'FORMULA REFS'!AQ$1,$Z77,"")))</f>
        <v/>
      </c>
      <c r="BX77" s="497" t="str">
        <f>IF($X$49="WEEKS","",IF($Z77="Manual Entry hrs/wk","",IF($X$49&gt;'FORMULA REFS'!AR$1,$Z77,"")))</f>
        <v/>
      </c>
      <c r="BY77" s="497" t="str">
        <f>IF($X$49="WEEKS","",IF($Z77="Manual Entry hrs/wk","",IF($X$49&gt;'FORMULA REFS'!AS$1,$Z77,"")))</f>
        <v/>
      </c>
      <c r="BZ77" s="497" t="str">
        <f>IF($X$49="WEEKS","",IF($Z77="Manual Entry hrs/wk","",IF($X$49&gt;'FORMULA REFS'!AT$1,$Z77,"")))</f>
        <v/>
      </c>
      <c r="CA77" s="497" t="str">
        <f>IF($X$49="WEEKS","",IF($Z77="Manual Entry hrs/wk","",IF($X$49&gt;'FORMULA REFS'!AU$1,$Z77,"")))</f>
        <v/>
      </c>
      <c r="CB77" s="497" t="str">
        <f>IF($X$49="WEEKS","",IF($Z77="Manual Entry hrs/wk","",IF($X$49&gt;'FORMULA REFS'!AV$1,$Z77,"")))</f>
        <v/>
      </c>
      <c r="CC77" s="497" t="str">
        <f>IF($X$49="WEEKS","",IF($Z77="Manual Entry hrs/wk","",IF($X$49&gt;'FORMULA REFS'!AW$1,$Z77,"")))</f>
        <v/>
      </c>
      <c r="CD77" s="497" t="str">
        <f>IF($X$49="WEEKS","",IF($Z77="Manual Entry hrs/wk","",IF($X$49&gt;'FORMULA REFS'!AX$1,$Z77,"")))</f>
        <v/>
      </c>
      <c r="CE77" s="497" t="str">
        <f>IF($X$49="WEEKS","",IF($Z77="Manual Entry hrs/wk","",IF($X$49&gt;'FORMULA REFS'!AY$1,$Z77,"")))</f>
        <v/>
      </c>
      <c r="CF77" s="497" t="str">
        <f>IF($X$49="WEEKS","",IF($Z77="Manual Entry hrs/wk","",IF($X$49&gt;'FORMULA REFS'!AZ$1,$Z77,"")))</f>
        <v/>
      </c>
      <c r="CG77" s="113"/>
      <c r="CH77" s="349" t="str">
        <f t="shared" si="16"/>
        <v/>
      </c>
      <c r="CI77" s="349">
        <f>IFERROR((_xlfn.XLOOKUP($M77,'Standard Rate Cards'!D:D,'Standard Rate Cards'!E:E))*Y77,0)</f>
        <v>0</v>
      </c>
      <c r="CJ77" s="349">
        <f>IF(CL77&lt;&gt;"","",IF($D$16="Select Type","Select Margin Class",IFERROR(IF($M77="",0,IF($D$16="Client Custom Rates",0,IF($D$16="Standard Rates",_xlfn.XLOOKUP($M77,'Standard Rate Cards'!$D:$D,'Standard Rate Cards'!G:G)))),0)))</f>
        <v>0</v>
      </c>
      <c r="CK77" s="349" cm="1">
        <f t="array" ref="CK77">IF(CL77&lt;&gt;"","",IFERROR(IF($D$16&lt;&gt;"Client Custom Rates",0,INDEX('Client Rate Cards'!E:E,MATCH(1,('Client Rate Cards'!B:B='2. Pricing &amp; Import'!$D$17)*('Client Rate Cards'!D:D='2. Pricing &amp; Import'!N77),0))),0))</f>
        <v>0</v>
      </c>
      <c r="CL77" s="350"/>
    </row>
    <row r="78" spans="3:90" ht="16.05" hidden="1" customHeight="1" outlineLevel="1" x14ac:dyDescent="0.3">
      <c r="C78" s="346"/>
      <c r="D78" s="495"/>
      <c r="E78" s="346"/>
      <c r="F78" s="346" t="str">
        <f>IFERROR(_xlfn.XLOOKUP(E78,'Standard Rate Cards'!$BB$11:$BB$23,'Standard Rate Cards'!$BA$11:$BA$23),"")</f>
        <v/>
      </c>
      <c r="G78" s="346"/>
      <c r="H78" s="346" t="str">
        <f>IFERROR(_xlfn.XLOOKUP(G78,'Standard Rate Cards'!$AP$8:$AP$142,'Standard Rate Cards'!$AQ$8:$AQ$142),"")</f>
        <v/>
      </c>
      <c r="I78" s="346"/>
      <c r="J78" s="346"/>
      <c r="K78" s="496"/>
      <c r="L78" s="496" t="str">
        <f t="shared" si="13"/>
        <v xml:space="preserve"> </v>
      </c>
      <c r="M78" s="496" t="str" cm="1">
        <f t="array" ref="M78">IF(ISBLANK(D78),"",IF(D78&lt;&gt;"CrederaUS",INDEX('Standard Rate Cards'!$D$9:$D$433,MATCH(1,('Standard Rate Cards'!$B$9:$B$433='2. Pricing &amp; Import'!D78)*('Standard Rate Cards'!$C$9:$C$433='2. Pricing &amp; Import'!K78),0)),INDEX('Standard Rate Cards'!$D$9:$D$433,MATCH(1,('Standard Rate Cards'!$B$9:$B$433='2. Pricing &amp; Import'!D78)*('Standard Rate Cards'!$C$9:$C$433='2. Pricing &amp; Import'!K78)*('Standard Rate Cards'!$H$9:$H$433=L78),0))))</f>
        <v/>
      </c>
      <c r="N78" s="347"/>
      <c r="O78" s="110" t="str">
        <f>IF(ISBLANK(K78)," ",_xlfn.XLOOKUP(K78,'Standard Rate Cards'!C:C,'Standard Rate Cards'!H:H))</f>
        <v xml:space="preserve"> </v>
      </c>
      <c r="P78" s="246" t="str">
        <f>IF(ISBLANK($K78)," ",_xlfn.XLOOKUP($K78,'Standard Rate Cards'!C:C,'Standard Rate Cards'!F:F))</f>
        <v xml:space="preserve"> </v>
      </c>
      <c r="Q78" s="348"/>
      <c r="R78" s="250"/>
      <c r="S78" s="680"/>
      <c r="T78" s="681"/>
      <c r="U78" s="1637"/>
      <c r="V78" s="1638"/>
      <c r="W78" s="681"/>
      <c r="X78" s="681" t="str">
        <f t="shared" si="17"/>
        <v/>
      </c>
      <c r="Y78" s="682" t="str">
        <f t="shared" si="18"/>
        <v/>
      </c>
      <c r="Z78" s="1630" t="s">
        <v>309</v>
      </c>
      <c r="AA78" s="1631"/>
      <c r="AB78" s="94"/>
      <c r="AC78" s="94"/>
      <c r="AD78" s="94"/>
      <c r="AE78" s="94"/>
      <c r="AF78" s="94"/>
      <c r="AG78" s="497" t="str">
        <f>IF($X$49="WEEKS","",IF($Z78="Manual Entry hrs/wk","",IF($X$49&gt;'FORMULA REFS'!A$1,$Z78,"")))</f>
        <v/>
      </c>
      <c r="AH78" s="497" t="str">
        <f>IF($X$49="WEEKS","",IF($Z78="Manual Entry hrs/wk","",IF($X$49&gt;'FORMULA REFS'!B$1,$Z78,"")))</f>
        <v/>
      </c>
      <c r="AI78" s="497" t="str">
        <f>IF($X$49="WEEKS","",IF($Z78="Manual Entry hrs/wk","",IF($X$49&gt;'FORMULA REFS'!C$1,$Z78,"")))</f>
        <v/>
      </c>
      <c r="AJ78" s="497" t="str">
        <f>IF($X$49="WEEKS","",IF($Z78="Manual Entry hrs/wk","",IF($X$49&gt;'FORMULA REFS'!D$1,$Z78,"")))</f>
        <v/>
      </c>
      <c r="AK78" s="497" t="str">
        <f>IF($X$49="WEEKS","",IF($Z78="Manual Entry hrs/wk","",IF($X$49&gt;'FORMULA REFS'!E$1,$Z78,"")))</f>
        <v/>
      </c>
      <c r="AL78" s="497" t="str">
        <f>IF($X$49="WEEKS","",IF($Z78="Manual Entry hrs/wk","",IF($X$49&gt;'FORMULA REFS'!F$1,$Z78,"")))</f>
        <v/>
      </c>
      <c r="AM78" s="497" t="str">
        <f>IF($X$49="WEEKS","",IF($Z78="Manual Entry hrs/wk","",IF($X$49&gt;'FORMULA REFS'!G$1,$Z78,"")))</f>
        <v/>
      </c>
      <c r="AN78" s="497" t="str">
        <f>IF($X$49="WEEKS","",IF($Z78="Manual Entry hrs/wk","",IF($X$49&gt;'FORMULA REFS'!H$1,$Z78,"")))</f>
        <v/>
      </c>
      <c r="AO78" s="497" t="str">
        <f>IF($X$49="WEEKS","",IF($Z78="Manual Entry hrs/wk","",IF($X$49&gt;'FORMULA REFS'!I$1,$Z78,"")))</f>
        <v/>
      </c>
      <c r="AP78" s="497" t="str">
        <f>IF($X$49="WEEKS","",IF($Z78="Manual Entry hrs/wk","",IF($X$49&gt;'FORMULA REFS'!J$1,$Z78,"")))</f>
        <v/>
      </c>
      <c r="AQ78" s="497" t="str">
        <f>IF($X$49="WEEKS","",IF($Z78="Manual Entry hrs/wk","",IF($X$49&gt;'FORMULA REFS'!K$1,$Z78,"")))</f>
        <v/>
      </c>
      <c r="AR78" s="497" t="str">
        <f>IF($X$49="WEEKS","",IF($Z78="Manual Entry hrs/wk","",IF($X$49&gt;'FORMULA REFS'!L$1,$Z78,"")))</f>
        <v/>
      </c>
      <c r="AS78" s="497" t="str">
        <f>IF($X$49="WEEKS","",IF($Z78="Manual Entry hrs/wk","",IF($X$49&gt;'FORMULA REFS'!M$1,$Z78,"")))</f>
        <v/>
      </c>
      <c r="AT78" s="497" t="str">
        <f>IF($X$49="WEEKS","",IF($Z78="Manual Entry hrs/wk","",IF($X$49&gt;'FORMULA REFS'!N$1,$Z78,"")))</f>
        <v/>
      </c>
      <c r="AU78" s="497" t="str">
        <f>IF($X$49="WEEKS","",IF($Z78="Manual Entry hrs/wk","",IF($X$49&gt;'FORMULA REFS'!O$1,$Z78,"")))</f>
        <v/>
      </c>
      <c r="AV78" s="497" t="str">
        <f>IF($X$49="WEEKS","",IF($Z78="Manual Entry hrs/wk","",IF($X$49&gt;'FORMULA REFS'!P$1,$Z78,"")))</f>
        <v/>
      </c>
      <c r="AW78" s="497" t="str">
        <f>IF($X$49="WEEKS","",IF($Z78="Manual Entry hrs/wk","",IF($X$49&gt;'FORMULA REFS'!Q$1,$Z78,"")))</f>
        <v/>
      </c>
      <c r="AX78" s="497" t="str">
        <f>IF($X$49="WEEKS","",IF($Z78="Manual Entry hrs/wk","",IF($X$49&gt;'FORMULA REFS'!R$1,$Z78,"")))</f>
        <v/>
      </c>
      <c r="AY78" s="497" t="str">
        <f>IF($X$49="WEEKS","",IF($Z78="Manual Entry hrs/wk","",IF($X$49&gt;'FORMULA REFS'!S$1,$Z78,"")))</f>
        <v/>
      </c>
      <c r="AZ78" s="497" t="str">
        <f>IF($X$49="WEEKS","",IF($Z78="Manual Entry hrs/wk","",IF($X$49&gt;'FORMULA REFS'!T$1,$Z78,"")))</f>
        <v/>
      </c>
      <c r="BA78" s="497" t="str">
        <f>IF($X$49="WEEKS","",IF($Z78="Manual Entry hrs/wk","",IF($X$49&gt;'FORMULA REFS'!U$1,$Z78,"")))</f>
        <v/>
      </c>
      <c r="BB78" s="497" t="str">
        <f>IF($X$49="WEEKS","",IF($Z78="Manual Entry hrs/wk","",IF($X$49&gt;'FORMULA REFS'!V$1,$Z78,"")))</f>
        <v/>
      </c>
      <c r="BC78" s="497" t="str">
        <f>IF($X$49="WEEKS","",IF($Z78="Manual Entry hrs/wk","",IF($X$49&gt;'FORMULA REFS'!W$1,$Z78,"")))</f>
        <v/>
      </c>
      <c r="BD78" s="497" t="str">
        <f>IF($X$49="WEEKS","",IF($Z78="Manual Entry hrs/wk","",IF($X$49&gt;'FORMULA REFS'!X$1,$Z78,"")))</f>
        <v/>
      </c>
      <c r="BE78" s="497" t="str">
        <f>IF($X$49="WEEKS","",IF($Z78="Manual Entry hrs/wk","",IF($X$49&gt;'FORMULA REFS'!Y$1,$Z78,"")))</f>
        <v/>
      </c>
      <c r="BF78" s="497" t="str">
        <f>IF($X$49="WEEKS","",IF($Z78="Manual Entry hrs/wk","",IF($X$49&gt;'FORMULA REFS'!Z$1,$Z78,"")))</f>
        <v/>
      </c>
      <c r="BG78" s="497" t="str">
        <f>IF($X$49="WEEKS","",IF($Z78="Manual Entry hrs/wk","",IF($X$49&gt;'FORMULA REFS'!AA$1,$Z78,"")))</f>
        <v/>
      </c>
      <c r="BH78" s="497" t="str">
        <f>IF($X$49="WEEKS","",IF($Z78="Manual Entry hrs/wk","",IF($X$49&gt;'FORMULA REFS'!AB$1,$Z78,"")))</f>
        <v/>
      </c>
      <c r="BI78" s="497" t="str">
        <f>IF($X$49="WEEKS","",IF($Z78="Manual Entry hrs/wk","",IF($X$49&gt;'FORMULA REFS'!AC$1,$Z78,"")))</f>
        <v/>
      </c>
      <c r="BJ78" s="497" t="str">
        <f>IF($X$49="WEEKS","",IF($Z78="Manual Entry hrs/wk","",IF($X$49&gt;'FORMULA REFS'!AD$1,$Z78,"")))</f>
        <v/>
      </c>
      <c r="BK78" s="497" t="str">
        <f>IF($X$49="WEEKS","",IF($Z78="Manual Entry hrs/wk","",IF($X$49&gt;'FORMULA REFS'!AE$1,$Z78,"")))</f>
        <v/>
      </c>
      <c r="BL78" s="497" t="str">
        <f>IF($X$49="WEEKS","",IF($Z78="Manual Entry hrs/wk","",IF($X$49&gt;'FORMULA REFS'!AF$1,$Z78,"")))</f>
        <v/>
      </c>
      <c r="BM78" s="497" t="str">
        <f>IF($X$49="WEEKS","",IF($Z78="Manual Entry hrs/wk","",IF($X$49&gt;'FORMULA REFS'!AG$1,$Z78,"")))</f>
        <v/>
      </c>
      <c r="BN78" s="497" t="str">
        <f>IF($X$49="WEEKS","",IF($Z78="Manual Entry hrs/wk","",IF($X$49&gt;'FORMULA REFS'!AH$1,$Z78,"")))</f>
        <v/>
      </c>
      <c r="BO78" s="497" t="str">
        <f>IF($X$49="WEEKS","",IF($Z78="Manual Entry hrs/wk","",IF($X$49&gt;'FORMULA REFS'!AI$1,$Z78,"")))</f>
        <v/>
      </c>
      <c r="BP78" s="497" t="str">
        <f>IF($X$49="WEEKS","",IF($Z78="Manual Entry hrs/wk","",IF($X$49&gt;'FORMULA REFS'!AJ$1,$Z78,"")))</f>
        <v/>
      </c>
      <c r="BQ78" s="497" t="str">
        <f>IF($X$49="WEEKS","",IF($Z78="Manual Entry hrs/wk","",IF($X$49&gt;'FORMULA REFS'!AK$1,$Z78,"")))</f>
        <v/>
      </c>
      <c r="BR78" s="497" t="str">
        <f>IF($X$49="WEEKS","",IF($Z78="Manual Entry hrs/wk","",IF($X$49&gt;'FORMULA REFS'!AL$1,$Z78,"")))</f>
        <v/>
      </c>
      <c r="BS78" s="497" t="str">
        <f>IF($X$49="WEEKS","",IF($Z78="Manual Entry hrs/wk","",IF($X$49&gt;'FORMULA REFS'!AM$1,$Z78,"")))</f>
        <v/>
      </c>
      <c r="BT78" s="497" t="str">
        <f>IF($X$49="WEEKS","",IF($Z78="Manual Entry hrs/wk","",IF($X$49&gt;'FORMULA REFS'!AN$1,$Z78,"")))</f>
        <v/>
      </c>
      <c r="BU78" s="497" t="str">
        <f>IF($X$49="WEEKS","",IF($Z78="Manual Entry hrs/wk","",IF($X$49&gt;'FORMULA REFS'!AO$1,$Z78,"")))</f>
        <v/>
      </c>
      <c r="BV78" s="497" t="str">
        <f>IF($X$49="WEEKS","",IF($Z78="Manual Entry hrs/wk","",IF($X$49&gt;'FORMULA REFS'!AP$1,$Z78,"")))</f>
        <v/>
      </c>
      <c r="BW78" s="497" t="str">
        <f>IF($X$49="WEEKS","",IF($Z78="Manual Entry hrs/wk","",IF($X$49&gt;'FORMULA REFS'!AQ$1,$Z78,"")))</f>
        <v/>
      </c>
      <c r="BX78" s="497" t="str">
        <f>IF($X$49="WEEKS","",IF($Z78="Manual Entry hrs/wk","",IF($X$49&gt;'FORMULA REFS'!AR$1,$Z78,"")))</f>
        <v/>
      </c>
      <c r="BY78" s="497" t="str">
        <f>IF($X$49="WEEKS","",IF($Z78="Manual Entry hrs/wk","",IF($X$49&gt;'FORMULA REFS'!AS$1,$Z78,"")))</f>
        <v/>
      </c>
      <c r="BZ78" s="497" t="str">
        <f>IF($X$49="WEEKS","",IF($Z78="Manual Entry hrs/wk","",IF($X$49&gt;'FORMULA REFS'!AT$1,$Z78,"")))</f>
        <v/>
      </c>
      <c r="CA78" s="497" t="str">
        <f>IF($X$49="WEEKS","",IF($Z78="Manual Entry hrs/wk","",IF($X$49&gt;'FORMULA REFS'!AU$1,$Z78,"")))</f>
        <v/>
      </c>
      <c r="CB78" s="497" t="str">
        <f>IF($X$49="WEEKS","",IF($Z78="Manual Entry hrs/wk","",IF($X$49&gt;'FORMULA REFS'!AV$1,$Z78,"")))</f>
        <v/>
      </c>
      <c r="CC78" s="497" t="str">
        <f>IF($X$49="WEEKS","",IF($Z78="Manual Entry hrs/wk","",IF($X$49&gt;'FORMULA REFS'!AW$1,$Z78,"")))</f>
        <v/>
      </c>
      <c r="CD78" s="497" t="str">
        <f>IF($X$49="WEEKS","",IF($Z78="Manual Entry hrs/wk","",IF($X$49&gt;'FORMULA REFS'!AX$1,$Z78,"")))</f>
        <v/>
      </c>
      <c r="CE78" s="497" t="str">
        <f>IF($X$49="WEEKS","",IF($Z78="Manual Entry hrs/wk","",IF($X$49&gt;'FORMULA REFS'!AY$1,$Z78,"")))</f>
        <v/>
      </c>
      <c r="CF78" s="497" t="str">
        <f>IF($X$49="WEEKS","",IF($Z78="Manual Entry hrs/wk","",IF($X$49&gt;'FORMULA REFS'!AZ$1,$Z78,"")))</f>
        <v/>
      </c>
      <c r="CG78" s="113"/>
      <c r="CH78" s="349" t="str">
        <f t="shared" si="16"/>
        <v/>
      </c>
      <c r="CI78" s="349">
        <f>IFERROR((_xlfn.XLOOKUP($M78,'Standard Rate Cards'!D:D,'Standard Rate Cards'!E:E))*Y78,0)</f>
        <v>0</v>
      </c>
      <c r="CJ78" s="349">
        <f>IF(CL78&lt;&gt;"","",IF($D$16="Select Type","Select Margin Class",IFERROR(IF($M78="",0,IF($D$16="Client Custom Rates",0,IF($D$16="Standard Rates",_xlfn.XLOOKUP($M78,'Standard Rate Cards'!$D:$D,'Standard Rate Cards'!G:G)))),0)))</f>
        <v>0</v>
      </c>
      <c r="CK78" s="349" cm="1">
        <f t="array" ref="CK78">IF(CL78&lt;&gt;"","",IFERROR(IF($D$16&lt;&gt;"Client Custom Rates",0,INDEX('Client Rate Cards'!E:E,MATCH(1,('Client Rate Cards'!B:B='2. Pricing &amp; Import'!$D$17)*('Client Rate Cards'!D:D='2. Pricing &amp; Import'!N78),0))),0))</f>
        <v>0</v>
      </c>
      <c r="CL78" s="350"/>
    </row>
    <row r="79" spans="3:90" ht="16.05" hidden="1" customHeight="1" outlineLevel="1" x14ac:dyDescent="0.3">
      <c r="C79" s="346"/>
      <c r="D79" s="495"/>
      <c r="E79" s="346"/>
      <c r="F79" s="346" t="str">
        <f>IFERROR(_xlfn.XLOOKUP(E79,'Standard Rate Cards'!$BB$11:$BB$23,'Standard Rate Cards'!$BA$11:$BA$23),"")</f>
        <v/>
      </c>
      <c r="G79" s="346"/>
      <c r="H79" s="346" t="str">
        <f>IFERROR(_xlfn.XLOOKUP(G79,'Standard Rate Cards'!$AP$8:$AP$142,'Standard Rate Cards'!$AQ$8:$AQ$142),"")</f>
        <v/>
      </c>
      <c r="I79" s="346"/>
      <c r="J79" s="346"/>
      <c r="K79" s="496"/>
      <c r="L79" s="496" t="str">
        <f t="shared" si="13"/>
        <v xml:space="preserve"> </v>
      </c>
      <c r="M79" s="496" t="str" cm="1">
        <f t="array" ref="M79">IF(ISBLANK(D79),"",IF(D79&lt;&gt;"CrederaUS",INDEX('Standard Rate Cards'!$D$9:$D$433,MATCH(1,('Standard Rate Cards'!$B$9:$B$433='2. Pricing &amp; Import'!D79)*('Standard Rate Cards'!$C$9:$C$433='2. Pricing &amp; Import'!K79),0)),INDEX('Standard Rate Cards'!$D$9:$D$433,MATCH(1,('Standard Rate Cards'!$B$9:$B$433='2. Pricing &amp; Import'!D79)*('Standard Rate Cards'!$C$9:$C$433='2. Pricing &amp; Import'!K79)*('Standard Rate Cards'!$H$9:$H$433=L79),0))))</f>
        <v/>
      </c>
      <c r="N79" s="347"/>
      <c r="O79" s="110" t="str">
        <f>IF(ISBLANK(K79)," ",_xlfn.XLOOKUP(K79,'Standard Rate Cards'!C:C,'Standard Rate Cards'!H:H))</f>
        <v xml:space="preserve"> </v>
      </c>
      <c r="P79" s="246" t="str">
        <f>IF(ISBLANK($K79)," ",_xlfn.XLOOKUP($K79,'Standard Rate Cards'!C:C,'Standard Rate Cards'!F:F))</f>
        <v xml:space="preserve"> </v>
      </c>
      <c r="Q79" s="348"/>
      <c r="R79" s="250"/>
      <c r="S79" s="680"/>
      <c r="T79" s="681"/>
      <c r="U79" s="1637"/>
      <c r="V79" s="1638"/>
      <c r="W79" s="681"/>
      <c r="X79" s="681" t="str">
        <f t="shared" si="17"/>
        <v/>
      </c>
      <c r="Y79" s="682" t="str">
        <f t="shared" si="18"/>
        <v/>
      </c>
      <c r="Z79" s="1630" t="s">
        <v>309</v>
      </c>
      <c r="AA79" s="1631"/>
      <c r="AB79" s="94"/>
      <c r="AC79" s="94"/>
      <c r="AD79" s="94"/>
      <c r="AE79" s="94"/>
      <c r="AF79" s="94"/>
      <c r="AG79" s="497" t="str">
        <f>IF($X$49="WEEKS","",IF($Z79="Manual Entry hrs/wk","",IF($X$49&gt;'FORMULA REFS'!A$1,$Z79,"")))</f>
        <v/>
      </c>
      <c r="AH79" s="497" t="str">
        <f>IF($X$49="WEEKS","",IF($Z79="Manual Entry hrs/wk","",IF($X$49&gt;'FORMULA REFS'!B$1,$Z79,"")))</f>
        <v/>
      </c>
      <c r="AI79" s="497" t="str">
        <f>IF($X$49="WEEKS","",IF($Z79="Manual Entry hrs/wk","",IF($X$49&gt;'FORMULA REFS'!C$1,$Z79,"")))</f>
        <v/>
      </c>
      <c r="AJ79" s="497" t="str">
        <f>IF($X$49="WEEKS","",IF($Z79="Manual Entry hrs/wk","",IF($X$49&gt;'FORMULA REFS'!D$1,$Z79,"")))</f>
        <v/>
      </c>
      <c r="AK79" s="497" t="str">
        <f>IF($X$49="WEEKS","",IF($Z79="Manual Entry hrs/wk","",IF($X$49&gt;'FORMULA REFS'!E$1,$Z79,"")))</f>
        <v/>
      </c>
      <c r="AL79" s="497" t="str">
        <f>IF($X$49="WEEKS","",IF($Z79="Manual Entry hrs/wk","",IF($X$49&gt;'FORMULA REFS'!F$1,$Z79,"")))</f>
        <v/>
      </c>
      <c r="AM79" s="497" t="str">
        <f>IF($X$49="WEEKS","",IF($Z79="Manual Entry hrs/wk","",IF($X$49&gt;'FORMULA REFS'!G$1,$Z79,"")))</f>
        <v/>
      </c>
      <c r="AN79" s="497" t="str">
        <f>IF($X$49="WEEKS","",IF($Z79="Manual Entry hrs/wk","",IF($X$49&gt;'FORMULA REFS'!H$1,$Z79,"")))</f>
        <v/>
      </c>
      <c r="AO79" s="497" t="str">
        <f>IF($X$49="WEEKS","",IF($Z79="Manual Entry hrs/wk","",IF($X$49&gt;'FORMULA REFS'!I$1,$Z79,"")))</f>
        <v/>
      </c>
      <c r="AP79" s="497" t="str">
        <f>IF($X$49="WEEKS","",IF($Z79="Manual Entry hrs/wk","",IF($X$49&gt;'FORMULA REFS'!J$1,$Z79,"")))</f>
        <v/>
      </c>
      <c r="AQ79" s="497" t="str">
        <f>IF($X$49="WEEKS","",IF($Z79="Manual Entry hrs/wk","",IF($X$49&gt;'FORMULA REFS'!K$1,$Z79,"")))</f>
        <v/>
      </c>
      <c r="AR79" s="497" t="str">
        <f>IF($X$49="WEEKS","",IF($Z79="Manual Entry hrs/wk","",IF($X$49&gt;'FORMULA REFS'!L$1,$Z79,"")))</f>
        <v/>
      </c>
      <c r="AS79" s="497" t="str">
        <f>IF($X$49="WEEKS","",IF($Z79="Manual Entry hrs/wk","",IF($X$49&gt;'FORMULA REFS'!M$1,$Z79,"")))</f>
        <v/>
      </c>
      <c r="AT79" s="497" t="str">
        <f>IF($X$49="WEEKS","",IF($Z79="Manual Entry hrs/wk","",IF($X$49&gt;'FORMULA REFS'!N$1,$Z79,"")))</f>
        <v/>
      </c>
      <c r="AU79" s="497" t="str">
        <f>IF($X$49="WEEKS","",IF($Z79="Manual Entry hrs/wk","",IF($X$49&gt;'FORMULA REFS'!O$1,$Z79,"")))</f>
        <v/>
      </c>
      <c r="AV79" s="497" t="str">
        <f>IF($X$49="WEEKS","",IF($Z79="Manual Entry hrs/wk","",IF($X$49&gt;'FORMULA REFS'!P$1,$Z79,"")))</f>
        <v/>
      </c>
      <c r="AW79" s="497" t="str">
        <f>IF($X$49="WEEKS","",IF($Z79="Manual Entry hrs/wk","",IF($X$49&gt;'FORMULA REFS'!Q$1,$Z79,"")))</f>
        <v/>
      </c>
      <c r="AX79" s="497" t="str">
        <f>IF($X$49="WEEKS","",IF($Z79="Manual Entry hrs/wk","",IF($X$49&gt;'FORMULA REFS'!R$1,$Z79,"")))</f>
        <v/>
      </c>
      <c r="AY79" s="497" t="str">
        <f>IF($X$49="WEEKS","",IF($Z79="Manual Entry hrs/wk","",IF($X$49&gt;'FORMULA REFS'!S$1,$Z79,"")))</f>
        <v/>
      </c>
      <c r="AZ79" s="497" t="str">
        <f>IF($X$49="WEEKS","",IF($Z79="Manual Entry hrs/wk","",IF($X$49&gt;'FORMULA REFS'!T$1,$Z79,"")))</f>
        <v/>
      </c>
      <c r="BA79" s="497" t="str">
        <f>IF($X$49="WEEKS","",IF($Z79="Manual Entry hrs/wk","",IF($X$49&gt;'FORMULA REFS'!U$1,$Z79,"")))</f>
        <v/>
      </c>
      <c r="BB79" s="497" t="str">
        <f>IF($X$49="WEEKS","",IF($Z79="Manual Entry hrs/wk","",IF($X$49&gt;'FORMULA REFS'!V$1,$Z79,"")))</f>
        <v/>
      </c>
      <c r="BC79" s="497" t="str">
        <f>IF($X$49="WEEKS","",IF($Z79="Manual Entry hrs/wk","",IF($X$49&gt;'FORMULA REFS'!W$1,$Z79,"")))</f>
        <v/>
      </c>
      <c r="BD79" s="497" t="str">
        <f>IF($X$49="WEEKS","",IF($Z79="Manual Entry hrs/wk","",IF($X$49&gt;'FORMULA REFS'!X$1,$Z79,"")))</f>
        <v/>
      </c>
      <c r="BE79" s="497" t="str">
        <f>IF($X$49="WEEKS","",IF($Z79="Manual Entry hrs/wk","",IF($X$49&gt;'FORMULA REFS'!Y$1,$Z79,"")))</f>
        <v/>
      </c>
      <c r="BF79" s="497" t="str">
        <f>IF($X$49="WEEKS","",IF($Z79="Manual Entry hrs/wk","",IF($X$49&gt;'FORMULA REFS'!Z$1,$Z79,"")))</f>
        <v/>
      </c>
      <c r="BG79" s="497" t="str">
        <f>IF($X$49="WEEKS","",IF($Z79="Manual Entry hrs/wk","",IF($X$49&gt;'FORMULA REFS'!AA$1,$Z79,"")))</f>
        <v/>
      </c>
      <c r="BH79" s="497" t="str">
        <f>IF($X$49="WEEKS","",IF($Z79="Manual Entry hrs/wk","",IF($X$49&gt;'FORMULA REFS'!AB$1,$Z79,"")))</f>
        <v/>
      </c>
      <c r="BI79" s="497" t="str">
        <f>IF($X$49="WEEKS","",IF($Z79="Manual Entry hrs/wk","",IF($X$49&gt;'FORMULA REFS'!AC$1,$Z79,"")))</f>
        <v/>
      </c>
      <c r="BJ79" s="497" t="str">
        <f>IF($X$49="WEEKS","",IF($Z79="Manual Entry hrs/wk","",IF($X$49&gt;'FORMULA REFS'!AD$1,$Z79,"")))</f>
        <v/>
      </c>
      <c r="BK79" s="497" t="str">
        <f>IF($X$49="WEEKS","",IF($Z79="Manual Entry hrs/wk","",IF($X$49&gt;'FORMULA REFS'!AE$1,$Z79,"")))</f>
        <v/>
      </c>
      <c r="BL79" s="497" t="str">
        <f>IF($X$49="WEEKS","",IF($Z79="Manual Entry hrs/wk","",IF($X$49&gt;'FORMULA REFS'!AF$1,$Z79,"")))</f>
        <v/>
      </c>
      <c r="BM79" s="497" t="str">
        <f>IF($X$49="WEEKS","",IF($Z79="Manual Entry hrs/wk","",IF($X$49&gt;'FORMULA REFS'!AG$1,$Z79,"")))</f>
        <v/>
      </c>
      <c r="BN79" s="497" t="str">
        <f>IF($X$49="WEEKS","",IF($Z79="Manual Entry hrs/wk","",IF($X$49&gt;'FORMULA REFS'!AH$1,$Z79,"")))</f>
        <v/>
      </c>
      <c r="BO79" s="497" t="str">
        <f>IF($X$49="WEEKS","",IF($Z79="Manual Entry hrs/wk","",IF($X$49&gt;'FORMULA REFS'!AI$1,$Z79,"")))</f>
        <v/>
      </c>
      <c r="BP79" s="497" t="str">
        <f>IF($X$49="WEEKS","",IF($Z79="Manual Entry hrs/wk","",IF($X$49&gt;'FORMULA REFS'!AJ$1,$Z79,"")))</f>
        <v/>
      </c>
      <c r="BQ79" s="497" t="str">
        <f>IF($X$49="WEEKS","",IF($Z79="Manual Entry hrs/wk","",IF($X$49&gt;'FORMULA REFS'!AK$1,$Z79,"")))</f>
        <v/>
      </c>
      <c r="BR79" s="497" t="str">
        <f>IF($X$49="WEEKS","",IF($Z79="Manual Entry hrs/wk","",IF($X$49&gt;'FORMULA REFS'!AL$1,$Z79,"")))</f>
        <v/>
      </c>
      <c r="BS79" s="497" t="str">
        <f>IF($X$49="WEEKS","",IF($Z79="Manual Entry hrs/wk","",IF($X$49&gt;'FORMULA REFS'!AM$1,$Z79,"")))</f>
        <v/>
      </c>
      <c r="BT79" s="497" t="str">
        <f>IF($X$49="WEEKS","",IF($Z79="Manual Entry hrs/wk","",IF($X$49&gt;'FORMULA REFS'!AN$1,$Z79,"")))</f>
        <v/>
      </c>
      <c r="BU79" s="497" t="str">
        <f>IF($X$49="WEEKS","",IF($Z79="Manual Entry hrs/wk","",IF($X$49&gt;'FORMULA REFS'!AO$1,$Z79,"")))</f>
        <v/>
      </c>
      <c r="BV79" s="497" t="str">
        <f>IF($X$49="WEEKS","",IF($Z79="Manual Entry hrs/wk","",IF($X$49&gt;'FORMULA REFS'!AP$1,$Z79,"")))</f>
        <v/>
      </c>
      <c r="BW79" s="497" t="str">
        <f>IF($X$49="WEEKS","",IF($Z79="Manual Entry hrs/wk","",IF($X$49&gt;'FORMULA REFS'!AQ$1,$Z79,"")))</f>
        <v/>
      </c>
      <c r="BX79" s="497" t="str">
        <f>IF($X$49="WEEKS","",IF($Z79="Manual Entry hrs/wk","",IF($X$49&gt;'FORMULA REFS'!AR$1,$Z79,"")))</f>
        <v/>
      </c>
      <c r="BY79" s="497" t="str">
        <f>IF($X$49="WEEKS","",IF($Z79="Manual Entry hrs/wk","",IF($X$49&gt;'FORMULA REFS'!AS$1,$Z79,"")))</f>
        <v/>
      </c>
      <c r="BZ79" s="497" t="str">
        <f>IF($X$49="WEEKS","",IF($Z79="Manual Entry hrs/wk","",IF($X$49&gt;'FORMULA REFS'!AT$1,$Z79,"")))</f>
        <v/>
      </c>
      <c r="CA79" s="497" t="str">
        <f>IF($X$49="WEEKS","",IF($Z79="Manual Entry hrs/wk","",IF($X$49&gt;'FORMULA REFS'!AU$1,$Z79,"")))</f>
        <v/>
      </c>
      <c r="CB79" s="497" t="str">
        <f>IF($X$49="WEEKS","",IF($Z79="Manual Entry hrs/wk","",IF($X$49&gt;'FORMULA REFS'!AV$1,$Z79,"")))</f>
        <v/>
      </c>
      <c r="CC79" s="497" t="str">
        <f>IF($X$49="WEEKS","",IF($Z79="Manual Entry hrs/wk","",IF($X$49&gt;'FORMULA REFS'!AW$1,$Z79,"")))</f>
        <v/>
      </c>
      <c r="CD79" s="497" t="str">
        <f>IF($X$49="WEEKS","",IF($Z79="Manual Entry hrs/wk","",IF($X$49&gt;'FORMULA REFS'!AX$1,$Z79,"")))</f>
        <v/>
      </c>
      <c r="CE79" s="497" t="str">
        <f>IF($X$49="WEEKS","",IF($Z79="Manual Entry hrs/wk","",IF($X$49&gt;'FORMULA REFS'!AY$1,$Z79,"")))</f>
        <v/>
      </c>
      <c r="CF79" s="497" t="str">
        <f>IF($X$49="WEEKS","",IF($Z79="Manual Entry hrs/wk","",IF($X$49&gt;'FORMULA REFS'!AZ$1,$Z79,"")))</f>
        <v/>
      </c>
      <c r="CG79" s="113"/>
      <c r="CH79" s="349" t="str">
        <f t="shared" si="16"/>
        <v/>
      </c>
      <c r="CI79" s="349">
        <f>IFERROR((_xlfn.XLOOKUP($M79,'Standard Rate Cards'!D:D,'Standard Rate Cards'!E:E))*Y79,0)</f>
        <v>0</v>
      </c>
      <c r="CJ79" s="349">
        <f>IF(CL79&lt;&gt;"","",IF($D$16="Select Type","Select Margin Class",IFERROR(IF($M79="",0,IF($D$16="Client Custom Rates",0,IF($D$16="Standard Rates",_xlfn.XLOOKUP($M79,'Standard Rate Cards'!$D:$D,'Standard Rate Cards'!G:G)))),0)))</f>
        <v>0</v>
      </c>
      <c r="CK79" s="349" cm="1">
        <f t="array" ref="CK79">IF(CL79&lt;&gt;"","",IFERROR(IF($D$16&lt;&gt;"Client Custom Rates",0,INDEX('Client Rate Cards'!E:E,MATCH(1,('Client Rate Cards'!B:B='2. Pricing &amp; Import'!$D$17)*('Client Rate Cards'!D:D='2. Pricing &amp; Import'!N79),0))),0))</f>
        <v>0</v>
      </c>
      <c r="CL79" s="350"/>
    </row>
    <row r="80" spans="3:90" ht="16.05" hidden="1" customHeight="1" outlineLevel="1" x14ac:dyDescent="0.3">
      <c r="C80" s="346"/>
      <c r="D80" s="495"/>
      <c r="E80" s="346"/>
      <c r="F80" s="346" t="str">
        <f>IFERROR(_xlfn.XLOOKUP(E80,'Standard Rate Cards'!$BB$11:$BB$23,'Standard Rate Cards'!$BA$11:$BA$23),"")</f>
        <v/>
      </c>
      <c r="G80" s="346"/>
      <c r="H80" s="346" t="str">
        <f>IFERROR(_xlfn.XLOOKUP(G80,'Standard Rate Cards'!$AP$8:$AP$142,'Standard Rate Cards'!$AQ$8:$AQ$142),"")</f>
        <v/>
      </c>
      <c r="I80" s="346"/>
      <c r="J80" s="346"/>
      <c r="K80" s="496"/>
      <c r="L80" s="496" t="str">
        <f t="shared" si="13"/>
        <v xml:space="preserve"> </v>
      </c>
      <c r="M80" s="496" t="str" cm="1">
        <f t="array" ref="M80">IF(ISBLANK(D80),"",IF(D80&lt;&gt;"CrederaUS",INDEX('Standard Rate Cards'!$D$9:$D$433,MATCH(1,('Standard Rate Cards'!$B$9:$B$433='2. Pricing &amp; Import'!D80)*('Standard Rate Cards'!$C$9:$C$433='2. Pricing &amp; Import'!K80),0)),INDEX('Standard Rate Cards'!$D$9:$D$433,MATCH(1,('Standard Rate Cards'!$B$9:$B$433='2. Pricing &amp; Import'!D80)*('Standard Rate Cards'!$C$9:$C$433='2. Pricing &amp; Import'!K80)*('Standard Rate Cards'!$H$9:$H$433=L80),0))))</f>
        <v/>
      </c>
      <c r="N80" s="347"/>
      <c r="O80" s="110" t="str">
        <f>IF(ISBLANK(K80)," ",_xlfn.XLOOKUP(K80,'Standard Rate Cards'!C:C,'Standard Rate Cards'!H:H))</f>
        <v xml:space="preserve"> </v>
      </c>
      <c r="P80" s="246" t="str">
        <f>IF(ISBLANK($K80)," ",_xlfn.XLOOKUP($K80,'Standard Rate Cards'!C:C,'Standard Rate Cards'!F:F))</f>
        <v xml:space="preserve"> </v>
      </c>
      <c r="Q80" s="348"/>
      <c r="R80" s="250"/>
      <c r="S80" s="680"/>
      <c r="T80" s="681"/>
      <c r="U80" s="1637"/>
      <c r="V80" s="1638"/>
      <c r="W80" s="681"/>
      <c r="X80" s="681" t="str">
        <f t="shared" si="17"/>
        <v/>
      </c>
      <c r="Y80" s="682" t="str">
        <f t="shared" si="18"/>
        <v/>
      </c>
      <c r="Z80" s="1630" t="s">
        <v>309</v>
      </c>
      <c r="AA80" s="1631"/>
      <c r="AB80" s="94"/>
      <c r="AC80" s="94"/>
      <c r="AD80" s="94"/>
      <c r="AE80" s="94"/>
      <c r="AF80" s="94"/>
      <c r="AG80" s="497" t="str">
        <f>IF($X$49="WEEKS","",IF($Z80="Manual Entry hrs/wk","",IF($X$49&gt;'FORMULA REFS'!A$1,$Z80,"")))</f>
        <v/>
      </c>
      <c r="AH80" s="497" t="str">
        <f>IF($X$49="WEEKS","",IF($Z80="Manual Entry hrs/wk","",IF($X$49&gt;'FORMULA REFS'!B$1,$Z80,"")))</f>
        <v/>
      </c>
      <c r="AI80" s="497" t="str">
        <f>IF($X$49="WEEKS","",IF($Z80="Manual Entry hrs/wk","",IF($X$49&gt;'FORMULA REFS'!C$1,$Z80,"")))</f>
        <v/>
      </c>
      <c r="AJ80" s="497" t="str">
        <f>IF($X$49="WEEKS","",IF($Z80="Manual Entry hrs/wk","",IF($X$49&gt;'FORMULA REFS'!D$1,$Z80,"")))</f>
        <v/>
      </c>
      <c r="AK80" s="497" t="str">
        <f>IF($X$49="WEEKS","",IF($Z80="Manual Entry hrs/wk","",IF($X$49&gt;'FORMULA REFS'!E$1,$Z80,"")))</f>
        <v/>
      </c>
      <c r="AL80" s="497" t="str">
        <f>IF($X$49="WEEKS","",IF($Z80="Manual Entry hrs/wk","",IF($X$49&gt;'FORMULA REFS'!F$1,$Z80,"")))</f>
        <v/>
      </c>
      <c r="AM80" s="497" t="str">
        <f>IF($X$49="WEEKS","",IF($Z80="Manual Entry hrs/wk","",IF($X$49&gt;'FORMULA REFS'!G$1,$Z80,"")))</f>
        <v/>
      </c>
      <c r="AN80" s="497" t="str">
        <f>IF($X$49="WEEKS","",IF($Z80="Manual Entry hrs/wk","",IF($X$49&gt;'FORMULA REFS'!H$1,$Z80,"")))</f>
        <v/>
      </c>
      <c r="AO80" s="497" t="str">
        <f>IF($X$49="WEEKS","",IF($Z80="Manual Entry hrs/wk","",IF($X$49&gt;'FORMULA REFS'!I$1,$Z80,"")))</f>
        <v/>
      </c>
      <c r="AP80" s="497" t="str">
        <f>IF($X$49="WEEKS","",IF($Z80="Manual Entry hrs/wk","",IF($X$49&gt;'FORMULA REFS'!J$1,$Z80,"")))</f>
        <v/>
      </c>
      <c r="AQ80" s="497" t="str">
        <f>IF($X$49="WEEKS","",IF($Z80="Manual Entry hrs/wk","",IF($X$49&gt;'FORMULA REFS'!K$1,$Z80,"")))</f>
        <v/>
      </c>
      <c r="AR80" s="497" t="str">
        <f>IF($X$49="WEEKS","",IF($Z80="Manual Entry hrs/wk","",IF($X$49&gt;'FORMULA REFS'!L$1,$Z80,"")))</f>
        <v/>
      </c>
      <c r="AS80" s="497" t="str">
        <f>IF($X$49="WEEKS","",IF($Z80="Manual Entry hrs/wk","",IF($X$49&gt;'FORMULA REFS'!M$1,$Z80,"")))</f>
        <v/>
      </c>
      <c r="AT80" s="497" t="str">
        <f>IF($X$49="WEEKS","",IF($Z80="Manual Entry hrs/wk","",IF($X$49&gt;'FORMULA REFS'!N$1,$Z80,"")))</f>
        <v/>
      </c>
      <c r="AU80" s="497" t="str">
        <f>IF($X$49="WEEKS","",IF($Z80="Manual Entry hrs/wk","",IF($X$49&gt;'FORMULA REFS'!O$1,$Z80,"")))</f>
        <v/>
      </c>
      <c r="AV80" s="497" t="str">
        <f>IF($X$49="WEEKS","",IF($Z80="Manual Entry hrs/wk","",IF($X$49&gt;'FORMULA REFS'!P$1,$Z80,"")))</f>
        <v/>
      </c>
      <c r="AW80" s="497" t="str">
        <f>IF($X$49="WEEKS","",IF($Z80="Manual Entry hrs/wk","",IF($X$49&gt;'FORMULA REFS'!Q$1,$Z80,"")))</f>
        <v/>
      </c>
      <c r="AX80" s="497" t="str">
        <f>IF($X$49="WEEKS","",IF($Z80="Manual Entry hrs/wk","",IF($X$49&gt;'FORMULA REFS'!R$1,$Z80,"")))</f>
        <v/>
      </c>
      <c r="AY80" s="497" t="str">
        <f>IF($X$49="WEEKS","",IF($Z80="Manual Entry hrs/wk","",IF($X$49&gt;'FORMULA REFS'!S$1,$Z80,"")))</f>
        <v/>
      </c>
      <c r="AZ80" s="497" t="str">
        <f>IF($X$49="WEEKS","",IF($Z80="Manual Entry hrs/wk","",IF($X$49&gt;'FORMULA REFS'!T$1,$Z80,"")))</f>
        <v/>
      </c>
      <c r="BA80" s="497" t="str">
        <f>IF($X$49="WEEKS","",IF($Z80="Manual Entry hrs/wk","",IF($X$49&gt;'FORMULA REFS'!U$1,$Z80,"")))</f>
        <v/>
      </c>
      <c r="BB80" s="497" t="str">
        <f>IF($X$49="WEEKS","",IF($Z80="Manual Entry hrs/wk","",IF($X$49&gt;'FORMULA REFS'!V$1,$Z80,"")))</f>
        <v/>
      </c>
      <c r="BC80" s="497" t="str">
        <f>IF($X$49="WEEKS","",IF($Z80="Manual Entry hrs/wk","",IF($X$49&gt;'FORMULA REFS'!W$1,$Z80,"")))</f>
        <v/>
      </c>
      <c r="BD80" s="497" t="str">
        <f>IF($X$49="WEEKS","",IF($Z80="Manual Entry hrs/wk","",IF($X$49&gt;'FORMULA REFS'!X$1,$Z80,"")))</f>
        <v/>
      </c>
      <c r="BE80" s="497" t="str">
        <f>IF($X$49="WEEKS","",IF($Z80="Manual Entry hrs/wk","",IF($X$49&gt;'FORMULA REFS'!Y$1,$Z80,"")))</f>
        <v/>
      </c>
      <c r="BF80" s="497" t="str">
        <f>IF($X$49="WEEKS","",IF($Z80="Manual Entry hrs/wk","",IF($X$49&gt;'FORMULA REFS'!Z$1,$Z80,"")))</f>
        <v/>
      </c>
      <c r="BG80" s="497" t="str">
        <f>IF($X$49="WEEKS","",IF($Z80="Manual Entry hrs/wk","",IF($X$49&gt;'FORMULA REFS'!AA$1,$Z80,"")))</f>
        <v/>
      </c>
      <c r="BH80" s="497" t="str">
        <f>IF($X$49="WEEKS","",IF($Z80="Manual Entry hrs/wk","",IF($X$49&gt;'FORMULA REFS'!AB$1,$Z80,"")))</f>
        <v/>
      </c>
      <c r="BI80" s="497" t="str">
        <f>IF($X$49="WEEKS","",IF($Z80="Manual Entry hrs/wk","",IF($X$49&gt;'FORMULA REFS'!AC$1,$Z80,"")))</f>
        <v/>
      </c>
      <c r="BJ80" s="497" t="str">
        <f>IF($X$49="WEEKS","",IF($Z80="Manual Entry hrs/wk","",IF($X$49&gt;'FORMULA REFS'!AD$1,$Z80,"")))</f>
        <v/>
      </c>
      <c r="BK80" s="497" t="str">
        <f>IF($X$49="WEEKS","",IF($Z80="Manual Entry hrs/wk","",IF($X$49&gt;'FORMULA REFS'!AE$1,$Z80,"")))</f>
        <v/>
      </c>
      <c r="BL80" s="497" t="str">
        <f>IF($X$49="WEEKS","",IF($Z80="Manual Entry hrs/wk","",IF($X$49&gt;'FORMULA REFS'!AF$1,$Z80,"")))</f>
        <v/>
      </c>
      <c r="BM80" s="497" t="str">
        <f>IF($X$49="WEEKS","",IF($Z80="Manual Entry hrs/wk","",IF($X$49&gt;'FORMULA REFS'!AG$1,$Z80,"")))</f>
        <v/>
      </c>
      <c r="BN80" s="497" t="str">
        <f>IF($X$49="WEEKS","",IF($Z80="Manual Entry hrs/wk","",IF($X$49&gt;'FORMULA REFS'!AH$1,$Z80,"")))</f>
        <v/>
      </c>
      <c r="BO80" s="497" t="str">
        <f>IF($X$49="WEEKS","",IF($Z80="Manual Entry hrs/wk","",IF($X$49&gt;'FORMULA REFS'!AI$1,$Z80,"")))</f>
        <v/>
      </c>
      <c r="BP80" s="497" t="str">
        <f>IF($X$49="WEEKS","",IF($Z80="Manual Entry hrs/wk","",IF($X$49&gt;'FORMULA REFS'!AJ$1,$Z80,"")))</f>
        <v/>
      </c>
      <c r="BQ80" s="497" t="str">
        <f>IF($X$49="WEEKS","",IF($Z80="Manual Entry hrs/wk","",IF($X$49&gt;'FORMULA REFS'!AK$1,$Z80,"")))</f>
        <v/>
      </c>
      <c r="BR80" s="497" t="str">
        <f>IF($X$49="WEEKS","",IF($Z80="Manual Entry hrs/wk","",IF($X$49&gt;'FORMULA REFS'!AL$1,$Z80,"")))</f>
        <v/>
      </c>
      <c r="BS80" s="497" t="str">
        <f>IF($X$49="WEEKS","",IF($Z80="Manual Entry hrs/wk","",IF($X$49&gt;'FORMULA REFS'!AM$1,$Z80,"")))</f>
        <v/>
      </c>
      <c r="BT80" s="497" t="str">
        <f>IF($X$49="WEEKS","",IF($Z80="Manual Entry hrs/wk","",IF($X$49&gt;'FORMULA REFS'!AN$1,$Z80,"")))</f>
        <v/>
      </c>
      <c r="BU80" s="497" t="str">
        <f>IF($X$49="WEEKS","",IF($Z80="Manual Entry hrs/wk","",IF($X$49&gt;'FORMULA REFS'!AO$1,$Z80,"")))</f>
        <v/>
      </c>
      <c r="BV80" s="497" t="str">
        <f>IF($X$49="WEEKS","",IF($Z80="Manual Entry hrs/wk","",IF($X$49&gt;'FORMULA REFS'!AP$1,$Z80,"")))</f>
        <v/>
      </c>
      <c r="BW80" s="497" t="str">
        <f>IF($X$49="WEEKS","",IF($Z80="Manual Entry hrs/wk","",IF($X$49&gt;'FORMULA REFS'!AQ$1,$Z80,"")))</f>
        <v/>
      </c>
      <c r="BX80" s="497" t="str">
        <f>IF($X$49="WEEKS","",IF($Z80="Manual Entry hrs/wk","",IF($X$49&gt;'FORMULA REFS'!AR$1,$Z80,"")))</f>
        <v/>
      </c>
      <c r="BY80" s="497" t="str">
        <f>IF($X$49="WEEKS","",IF($Z80="Manual Entry hrs/wk","",IF($X$49&gt;'FORMULA REFS'!AS$1,$Z80,"")))</f>
        <v/>
      </c>
      <c r="BZ80" s="497" t="str">
        <f>IF($X$49="WEEKS","",IF($Z80="Manual Entry hrs/wk","",IF($X$49&gt;'FORMULA REFS'!AT$1,$Z80,"")))</f>
        <v/>
      </c>
      <c r="CA80" s="497" t="str">
        <f>IF($X$49="WEEKS","",IF($Z80="Manual Entry hrs/wk","",IF($X$49&gt;'FORMULA REFS'!AU$1,$Z80,"")))</f>
        <v/>
      </c>
      <c r="CB80" s="497" t="str">
        <f>IF($X$49="WEEKS","",IF($Z80="Manual Entry hrs/wk","",IF($X$49&gt;'FORMULA REFS'!AV$1,$Z80,"")))</f>
        <v/>
      </c>
      <c r="CC80" s="497" t="str">
        <f>IF($X$49="WEEKS","",IF($Z80="Manual Entry hrs/wk","",IF($X$49&gt;'FORMULA REFS'!AW$1,$Z80,"")))</f>
        <v/>
      </c>
      <c r="CD80" s="497" t="str">
        <f>IF($X$49="WEEKS","",IF($Z80="Manual Entry hrs/wk","",IF($X$49&gt;'FORMULA REFS'!AX$1,$Z80,"")))</f>
        <v/>
      </c>
      <c r="CE80" s="497" t="str">
        <f>IF($X$49="WEEKS","",IF($Z80="Manual Entry hrs/wk","",IF($X$49&gt;'FORMULA REFS'!AY$1,$Z80,"")))</f>
        <v/>
      </c>
      <c r="CF80" s="497" t="str">
        <f>IF($X$49="WEEKS","",IF($Z80="Manual Entry hrs/wk","",IF($X$49&gt;'FORMULA REFS'!AZ$1,$Z80,"")))</f>
        <v/>
      </c>
      <c r="CG80" s="113"/>
      <c r="CH80" s="349" t="str">
        <f t="shared" si="16"/>
        <v/>
      </c>
      <c r="CI80" s="349">
        <f>IFERROR((_xlfn.XLOOKUP($M80,'Standard Rate Cards'!D:D,'Standard Rate Cards'!E:E))*Y80,0)</f>
        <v>0</v>
      </c>
      <c r="CJ80" s="349">
        <f>IF(CL80&lt;&gt;"","",IF($D$16="Select Type","Select Margin Class",IFERROR(IF($M80="",0,IF($D$16="Client Custom Rates",0,IF($D$16="Standard Rates",_xlfn.XLOOKUP($M80,'Standard Rate Cards'!$D:$D,'Standard Rate Cards'!G:G)))),0)))</f>
        <v>0</v>
      </c>
      <c r="CK80" s="349" cm="1">
        <f t="array" ref="CK80">IF(CL80&lt;&gt;"","",IFERROR(IF($D$16&lt;&gt;"Client Custom Rates",0,INDEX('Client Rate Cards'!E:E,MATCH(1,('Client Rate Cards'!B:B='2. Pricing &amp; Import'!$D$17)*('Client Rate Cards'!D:D='2. Pricing &amp; Import'!N80),0))),0))</f>
        <v>0</v>
      </c>
      <c r="CL80" s="350"/>
    </row>
    <row r="81" spans="3:90" ht="16.05" hidden="1" customHeight="1" outlineLevel="1" x14ac:dyDescent="0.3">
      <c r="C81" s="346"/>
      <c r="D81" s="495"/>
      <c r="E81" s="346"/>
      <c r="F81" s="346" t="str">
        <f>IFERROR(_xlfn.XLOOKUP(E81,'Standard Rate Cards'!$BB$11:$BB$23,'Standard Rate Cards'!$BA$11:$BA$23),"")</f>
        <v/>
      </c>
      <c r="G81" s="346"/>
      <c r="H81" s="346" t="str">
        <f>IFERROR(_xlfn.XLOOKUP(G81,'Standard Rate Cards'!$AP$8:$AP$142,'Standard Rate Cards'!$AQ$8:$AQ$142),"")</f>
        <v/>
      </c>
      <c r="I81" s="346"/>
      <c r="J81" s="346"/>
      <c r="K81" s="496"/>
      <c r="L81" s="496" t="str">
        <f t="shared" si="13"/>
        <v xml:space="preserve"> </v>
      </c>
      <c r="M81" s="496" t="str" cm="1">
        <f t="array" ref="M81">IF(ISBLANK(D81),"",IF(D81&lt;&gt;"CrederaUS",INDEX('Standard Rate Cards'!$D$9:$D$433,MATCH(1,('Standard Rate Cards'!$B$9:$B$433='2. Pricing &amp; Import'!D81)*('Standard Rate Cards'!$C$9:$C$433='2. Pricing &amp; Import'!K81),0)),INDEX('Standard Rate Cards'!$D$9:$D$433,MATCH(1,('Standard Rate Cards'!$B$9:$B$433='2. Pricing &amp; Import'!D81)*('Standard Rate Cards'!$C$9:$C$433='2. Pricing &amp; Import'!K81)*('Standard Rate Cards'!$H$9:$H$433=L81),0))))</f>
        <v/>
      </c>
      <c r="N81" s="347"/>
      <c r="O81" s="110" t="str">
        <f>IF(ISBLANK(K81)," ",_xlfn.XLOOKUP(K81,'Standard Rate Cards'!C:C,'Standard Rate Cards'!H:H))</f>
        <v xml:space="preserve"> </v>
      </c>
      <c r="P81" s="246" t="str">
        <f>IF(ISBLANK($K81)," ",_xlfn.XLOOKUP($K81,'Standard Rate Cards'!C:C,'Standard Rate Cards'!F:F))</f>
        <v xml:space="preserve"> </v>
      </c>
      <c r="Q81" s="348"/>
      <c r="R81" s="250"/>
      <c r="S81" s="680"/>
      <c r="T81" s="681"/>
      <c r="U81" s="1637"/>
      <c r="V81" s="1638"/>
      <c r="W81" s="681"/>
      <c r="X81" s="681" t="str">
        <f t="shared" si="17"/>
        <v/>
      </c>
      <c r="Y81" s="682" t="str">
        <f t="shared" si="18"/>
        <v/>
      </c>
      <c r="Z81" s="1630" t="s">
        <v>309</v>
      </c>
      <c r="AA81" s="1631"/>
      <c r="AB81" s="94"/>
      <c r="AC81" s="94"/>
      <c r="AD81" s="94"/>
      <c r="AE81" s="94"/>
      <c r="AF81" s="94"/>
      <c r="AG81" s="497" t="str">
        <f>IF($X$49="WEEKS","",IF($Z81="Manual Entry hrs/wk","",IF($X$49&gt;'FORMULA REFS'!A$1,$Z81,"")))</f>
        <v/>
      </c>
      <c r="AH81" s="497" t="str">
        <f>IF($X$49="WEEKS","",IF($Z81="Manual Entry hrs/wk","",IF($X$49&gt;'FORMULA REFS'!B$1,$Z81,"")))</f>
        <v/>
      </c>
      <c r="AI81" s="497" t="str">
        <f>IF($X$49="WEEKS","",IF($Z81="Manual Entry hrs/wk","",IF($X$49&gt;'FORMULA REFS'!C$1,$Z81,"")))</f>
        <v/>
      </c>
      <c r="AJ81" s="497" t="str">
        <f>IF($X$49="WEEKS","",IF($Z81="Manual Entry hrs/wk","",IF($X$49&gt;'FORMULA REFS'!D$1,$Z81,"")))</f>
        <v/>
      </c>
      <c r="AK81" s="497" t="str">
        <f>IF($X$49="WEEKS","",IF($Z81="Manual Entry hrs/wk","",IF($X$49&gt;'FORMULA REFS'!E$1,$Z81,"")))</f>
        <v/>
      </c>
      <c r="AL81" s="497" t="str">
        <f>IF($X$49="WEEKS","",IF($Z81="Manual Entry hrs/wk","",IF($X$49&gt;'FORMULA REFS'!F$1,$Z81,"")))</f>
        <v/>
      </c>
      <c r="AM81" s="497" t="str">
        <f>IF($X$49="WEEKS","",IF($Z81="Manual Entry hrs/wk","",IF($X$49&gt;'FORMULA REFS'!G$1,$Z81,"")))</f>
        <v/>
      </c>
      <c r="AN81" s="497" t="str">
        <f>IF($X$49="WEEKS","",IF($Z81="Manual Entry hrs/wk","",IF($X$49&gt;'FORMULA REFS'!H$1,$Z81,"")))</f>
        <v/>
      </c>
      <c r="AO81" s="497" t="str">
        <f>IF($X$49="WEEKS","",IF($Z81="Manual Entry hrs/wk","",IF($X$49&gt;'FORMULA REFS'!I$1,$Z81,"")))</f>
        <v/>
      </c>
      <c r="AP81" s="497" t="str">
        <f>IF($X$49="WEEKS","",IF($Z81="Manual Entry hrs/wk","",IF($X$49&gt;'FORMULA REFS'!J$1,$Z81,"")))</f>
        <v/>
      </c>
      <c r="AQ81" s="497" t="str">
        <f>IF($X$49="WEEKS","",IF($Z81="Manual Entry hrs/wk","",IF($X$49&gt;'FORMULA REFS'!K$1,$Z81,"")))</f>
        <v/>
      </c>
      <c r="AR81" s="497" t="str">
        <f>IF($X$49="WEEKS","",IF($Z81="Manual Entry hrs/wk","",IF($X$49&gt;'FORMULA REFS'!L$1,$Z81,"")))</f>
        <v/>
      </c>
      <c r="AS81" s="497" t="str">
        <f>IF($X$49="WEEKS","",IF($Z81="Manual Entry hrs/wk","",IF($X$49&gt;'FORMULA REFS'!M$1,$Z81,"")))</f>
        <v/>
      </c>
      <c r="AT81" s="497" t="str">
        <f>IF($X$49="WEEKS","",IF($Z81="Manual Entry hrs/wk","",IF($X$49&gt;'FORMULA REFS'!N$1,$Z81,"")))</f>
        <v/>
      </c>
      <c r="AU81" s="497" t="str">
        <f>IF($X$49="WEEKS","",IF($Z81="Manual Entry hrs/wk","",IF($X$49&gt;'FORMULA REFS'!O$1,$Z81,"")))</f>
        <v/>
      </c>
      <c r="AV81" s="497" t="str">
        <f>IF($X$49="WEEKS","",IF($Z81="Manual Entry hrs/wk","",IF($X$49&gt;'FORMULA REFS'!P$1,$Z81,"")))</f>
        <v/>
      </c>
      <c r="AW81" s="497" t="str">
        <f>IF($X$49="WEEKS","",IF($Z81="Manual Entry hrs/wk","",IF($X$49&gt;'FORMULA REFS'!Q$1,$Z81,"")))</f>
        <v/>
      </c>
      <c r="AX81" s="497" t="str">
        <f>IF($X$49="WEEKS","",IF($Z81="Manual Entry hrs/wk","",IF($X$49&gt;'FORMULA REFS'!R$1,$Z81,"")))</f>
        <v/>
      </c>
      <c r="AY81" s="497" t="str">
        <f>IF($X$49="WEEKS","",IF($Z81="Manual Entry hrs/wk","",IF($X$49&gt;'FORMULA REFS'!S$1,$Z81,"")))</f>
        <v/>
      </c>
      <c r="AZ81" s="497" t="str">
        <f>IF($X$49="WEEKS","",IF($Z81="Manual Entry hrs/wk","",IF($X$49&gt;'FORMULA REFS'!T$1,$Z81,"")))</f>
        <v/>
      </c>
      <c r="BA81" s="497" t="str">
        <f>IF($X$49="WEEKS","",IF($Z81="Manual Entry hrs/wk","",IF($X$49&gt;'FORMULA REFS'!U$1,$Z81,"")))</f>
        <v/>
      </c>
      <c r="BB81" s="497" t="str">
        <f>IF($X$49="WEEKS","",IF($Z81="Manual Entry hrs/wk","",IF($X$49&gt;'FORMULA REFS'!V$1,$Z81,"")))</f>
        <v/>
      </c>
      <c r="BC81" s="497" t="str">
        <f>IF($X$49="WEEKS","",IF($Z81="Manual Entry hrs/wk","",IF($X$49&gt;'FORMULA REFS'!W$1,$Z81,"")))</f>
        <v/>
      </c>
      <c r="BD81" s="497" t="str">
        <f>IF($X$49="WEEKS","",IF($Z81="Manual Entry hrs/wk","",IF($X$49&gt;'FORMULA REFS'!X$1,$Z81,"")))</f>
        <v/>
      </c>
      <c r="BE81" s="497" t="str">
        <f>IF($X$49="WEEKS","",IF($Z81="Manual Entry hrs/wk","",IF($X$49&gt;'FORMULA REFS'!Y$1,$Z81,"")))</f>
        <v/>
      </c>
      <c r="BF81" s="497" t="str">
        <f>IF($X$49="WEEKS","",IF($Z81="Manual Entry hrs/wk","",IF($X$49&gt;'FORMULA REFS'!Z$1,$Z81,"")))</f>
        <v/>
      </c>
      <c r="BG81" s="497" t="str">
        <f>IF($X$49="WEEKS","",IF($Z81="Manual Entry hrs/wk","",IF($X$49&gt;'FORMULA REFS'!AA$1,$Z81,"")))</f>
        <v/>
      </c>
      <c r="BH81" s="497" t="str">
        <f>IF($X$49="WEEKS","",IF($Z81="Manual Entry hrs/wk","",IF($X$49&gt;'FORMULA REFS'!AB$1,$Z81,"")))</f>
        <v/>
      </c>
      <c r="BI81" s="497" t="str">
        <f>IF($X$49="WEEKS","",IF($Z81="Manual Entry hrs/wk","",IF($X$49&gt;'FORMULA REFS'!AC$1,$Z81,"")))</f>
        <v/>
      </c>
      <c r="BJ81" s="497" t="str">
        <f>IF($X$49="WEEKS","",IF($Z81="Manual Entry hrs/wk","",IF($X$49&gt;'FORMULA REFS'!AD$1,$Z81,"")))</f>
        <v/>
      </c>
      <c r="BK81" s="497" t="str">
        <f>IF($X$49="WEEKS","",IF($Z81="Manual Entry hrs/wk","",IF($X$49&gt;'FORMULA REFS'!AE$1,$Z81,"")))</f>
        <v/>
      </c>
      <c r="BL81" s="497" t="str">
        <f>IF($X$49="WEEKS","",IF($Z81="Manual Entry hrs/wk","",IF($X$49&gt;'FORMULA REFS'!AF$1,$Z81,"")))</f>
        <v/>
      </c>
      <c r="BM81" s="497" t="str">
        <f>IF($X$49="WEEKS","",IF($Z81="Manual Entry hrs/wk","",IF($X$49&gt;'FORMULA REFS'!AG$1,$Z81,"")))</f>
        <v/>
      </c>
      <c r="BN81" s="497" t="str">
        <f>IF($X$49="WEEKS","",IF($Z81="Manual Entry hrs/wk","",IF($X$49&gt;'FORMULA REFS'!AH$1,$Z81,"")))</f>
        <v/>
      </c>
      <c r="BO81" s="497" t="str">
        <f>IF($X$49="WEEKS","",IF($Z81="Manual Entry hrs/wk","",IF($X$49&gt;'FORMULA REFS'!AI$1,$Z81,"")))</f>
        <v/>
      </c>
      <c r="BP81" s="497" t="str">
        <f>IF($X$49="WEEKS","",IF($Z81="Manual Entry hrs/wk","",IF($X$49&gt;'FORMULA REFS'!AJ$1,$Z81,"")))</f>
        <v/>
      </c>
      <c r="BQ81" s="497" t="str">
        <f>IF($X$49="WEEKS","",IF($Z81="Manual Entry hrs/wk","",IF($X$49&gt;'FORMULA REFS'!AK$1,$Z81,"")))</f>
        <v/>
      </c>
      <c r="BR81" s="497" t="str">
        <f>IF($X$49="WEEKS","",IF($Z81="Manual Entry hrs/wk","",IF($X$49&gt;'FORMULA REFS'!AL$1,$Z81,"")))</f>
        <v/>
      </c>
      <c r="BS81" s="497" t="str">
        <f>IF($X$49="WEEKS","",IF($Z81="Manual Entry hrs/wk","",IF($X$49&gt;'FORMULA REFS'!AM$1,$Z81,"")))</f>
        <v/>
      </c>
      <c r="BT81" s="497" t="str">
        <f>IF($X$49="WEEKS","",IF($Z81="Manual Entry hrs/wk","",IF($X$49&gt;'FORMULA REFS'!AN$1,$Z81,"")))</f>
        <v/>
      </c>
      <c r="BU81" s="497" t="str">
        <f>IF($X$49="WEEKS","",IF($Z81="Manual Entry hrs/wk","",IF($X$49&gt;'FORMULA REFS'!AO$1,$Z81,"")))</f>
        <v/>
      </c>
      <c r="BV81" s="497" t="str">
        <f>IF($X$49="WEEKS","",IF($Z81="Manual Entry hrs/wk","",IF($X$49&gt;'FORMULA REFS'!AP$1,$Z81,"")))</f>
        <v/>
      </c>
      <c r="BW81" s="497" t="str">
        <f>IF($X$49="WEEKS","",IF($Z81="Manual Entry hrs/wk","",IF($X$49&gt;'FORMULA REFS'!AQ$1,$Z81,"")))</f>
        <v/>
      </c>
      <c r="BX81" s="497" t="str">
        <f>IF($X$49="WEEKS","",IF($Z81="Manual Entry hrs/wk","",IF($X$49&gt;'FORMULA REFS'!AR$1,$Z81,"")))</f>
        <v/>
      </c>
      <c r="BY81" s="497" t="str">
        <f>IF($X$49="WEEKS","",IF($Z81="Manual Entry hrs/wk","",IF($X$49&gt;'FORMULA REFS'!AS$1,$Z81,"")))</f>
        <v/>
      </c>
      <c r="BZ81" s="497" t="str">
        <f>IF($X$49="WEEKS","",IF($Z81="Manual Entry hrs/wk","",IF($X$49&gt;'FORMULA REFS'!AT$1,$Z81,"")))</f>
        <v/>
      </c>
      <c r="CA81" s="497" t="str">
        <f>IF($X$49="WEEKS","",IF($Z81="Manual Entry hrs/wk","",IF($X$49&gt;'FORMULA REFS'!AU$1,$Z81,"")))</f>
        <v/>
      </c>
      <c r="CB81" s="497" t="str">
        <f>IF($X$49="WEEKS","",IF($Z81="Manual Entry hrs/wk","",IF($X$49&gt;'FORMULA REFS'!AV$1,$Z81,"")))</f>
        <v/>
      </c>
      <c r="CC81" s="497" t="str">
        <f>IF($X$49="WEEKS","",IF($Z81="Manual Entry hrs/wk","",IF($X$49&gt;'FORMULA REFS'!AW$1,$Z81,"")))</f>
        <v/>
      </c>
      <c r="CD81" s="497" t="str">
        <f>IF($X$49="WEEKS","",IF($Z81="Manual Entry hrs/wk","",IF($X$49&gt;'FORMULA REFS'!AX$1,$Z81,"")))</f>
        <v/>
      </c>
      <c r="CE81" s="497" t="str">
        <f>IF($X$49="WEEKS","",IF($Z81="Manual Entry hrs/wk","",IF($X$49&gt;'FORMULA REFS'!AY$1,$Z81,"")))</f>
        <v/>
      </c>
      <c r="CF81" s="497" t="str">
        <f>IF($X$49="WEEKS","",IF($Z81="Manual Entry hrs/wk","",IF($X$49&gt;'FORMULA REFS'!AZ$1,$Z81,"")))</f>
        <v/>
      </c>
      <c r="CG81" s="113"/>
      <c r="CH81" s="349" t="str">
        <f t="shared" si="16"/>
        <v/>
      </c>
      <c r="CI81" s="349">
        <f>IFERROR((_xlfn.XLOOKUP($M81,'Standard Rate Cards'!D:D,'Standard Rate Cards'!E:E))*Y81,0)</f>
        <v>0</v>
      </c>
      <c r="CJ81" s="349">
        <f>IF(CL81&lt;&gt;"","",IF($D$16="Select Type","Select Margin Class",IFERROR(IF($M81="",0,IF($D$16="Client Custom Rates",0,IF($D$16="Standard Rates",_xlfn.XLOOKUP($M81,'Standard Rate Cards'!$D:$D,'Standard Rate Cards'!G:G)))),0)))</f>
        <v>0</v>
      </c>
      <c r="CK81" s="349" cm="1">
        <f t="array" ref="CK81">IF(CL81&lt;&gt;"","",IFERROR(IF($D$16&lt;&gt;"Client Custom Rates",0,INDEX('Client Rate Cards'!E:E,MATCH(1,('Client Rate Cards'!B:B='2. Pricing &amp; Import'!$D$17)*('Client Rate Cards'!D:D='2. Pricing &amp; Import'!N81),0))),0))</f>
        <v>0</v>
      </c>
      <c r="CL81" s="350"/>
    </row>
    <row r="82" spans="3:90" ht="16.05" hidden="1" customHeight="1" outlineLevel="1" x14ac:dyDescent="0.3">
      <c r="C82" s="346"/>
      <c r="D82" s="495"/>
      <c r="E82" s="346"/>
      <c r="F82" s="346" t="str">
        <f>IFERROR(_xlfn.XLOOKUP(E82,'Standard Rate Cards'!$BB$11:$BB$23,'Standard Rate Cards'!$BA$11:$BA$23),"")</f>
        <v/>
      </c>
      <c r="G82" s="346"/>
      <c r="H82" s="346" t="str">
        <f>IFERROR(_xlfn.XLOOKUP(G82,'Standard Rate Cards'!$AP$8:$AP$142,'Standard Rate Cards'!$AQ$8:$AQ$142),"")</f>
        <v/>
      </c>
      <c r="I82" s="346"/>
      <c r="J82" s="346"/>
      <c r="K82" s="496"/>
      <c r="L82" s="496" t="str">
        <f t="shared" si="13"/>
        <v xml:space="preserve"> </v>
      </c>
      <c r="M82" s="496" t="str" cm="1">
        <f t="array" ref="M82">IF(ISBLANK(D82),"",IF(D82&lt;&gt;"CrederaUS",INDEX('Standard Rate Cards'!$D$9:$D$433,MATCH(1,('Standard Rate Cards'!$B$9:$B$433='2. Pricing &amp; Import'!D82)*('Standard Rate Cards'!$C$9:$C$433='2. Pricing &amp; Import'!K82),0)),INDEX('Standard Rate Cards'!$D$9:$D$433,MATCH(1,('Standard Rate Cards'!$B$9:$B$433='2. Pricing &amp; Import'!D82)*('Standard Rate Cards'!$C$9:$C$433='2. Pricing &amp; Import'!K82)*('Standard Rate Cards'!$H$9:$H$433=L82),0))))</f>
        <v/>
      </c>
      <c r="N82" s="347"/>
      <c r="O82" s="110" t="str">
        <f>IF(ISBLANK(K82)," ",_xlfn.XLOOKUP(K82,'Standard Rate Cards'!C:C,'Standard Rate Cards'!H:H))</f>
        <v xml:space="preserve"> </v>
      </c>
      <c r="P82" s="246" t="str">
        <f>IF(ISBLANK($K82)," ",_xlfn.XLOOKUP($K82,'Standard Rate Cards'!C:C,'Standard Rate Cards'!F:F))</f>
        <v xml:space="preserve"> </v>
      </c>
      <c r="Q82" s="348"/>
      <c r="R82" s="250"/>
      <c r="S82" s="680"/>
      <c r="T82" s="681"/>
      <c r="U82" s="1637"/>
      <c r="V82" s="1638"/>
      <c r="W82" s="681"/>
      <c r="X82" s="681" t="str">
        <f t="shared" si="17"/>
        <v/>
      </c>
      <c r="Y82" s="682" t="str">
        <f t="shared" si="18"/>
        <v/>
      </c>
      <c r="Z82" s="1630" t="s">
        <v>309</v>
      </c>
      <c r="AA82" s="1631"/>
      <c r="AB82" s="94"/>
      <c r="AC82" s="94"/>
      <c r="AD82" s="94"/>
      <c r="AE82" s="94"/>
      <c r="AF82" s="94"/>
      <c r="AG82" s="497" t="str">
        <f>IF($X$49="WEEKS","",IF($Z82="Manual Entry hrs/wk","",IF($X$49&gt;'FORMULA REFS'!A$1,$Z82,"")))</f>
        <v/>
      </c>
      <c r="AH82" s="497" t="str">
        <f>IF($X$49="WEEKS","",IF($Z82="Manual Entry hrs/wk","",IF($X$49&gt;'FORMULA REFS'!B$1,$Z82,"")))</f>
        <v/>
      </c>
      <c r="AI82" s="497" t="str">
        <f>IF($X$49="WEEKS","",IF($Z82="Manual Entry hrs/wk","",IF($X$49&gt;'FORMULA REFS'!C$1,$Z82,"")))</f>
        <v/>
      </c>
      <c r="AJ82" s="497" t="str">
        <f>IF($X$49="WEEKS","",IF($Z82="Manual Entry hrs/wk","",IF($X$49&gt;'FORMULA REFS'!D$1,$Z82,"")))</f>
        <v/>
      </c>
      <c r="AK82" s="497" t="str">
        <f>IF($X$49="WEEKS","",IF($Z82="Manual Entry hrs/wk","",IF($X$49&gt;'FORMULA REFS'!E$1,$Z82,"")))</f>
        <v/>
      </c>
      <c r="AL82" s="497" t="str">
        <f>IF($X$49="WEEKS","",IF($Z82="Manual Entry hrs/wk","",IF($X$49&gt;'FORMULA REFS'!F$1,$Z82,"")))</f>
        <v/>
      </c>
      <c r="AM82" s="497" t="str">
        <f>IF($X$49="WEEKS","",IF($Z82="Manual Entry hrs/wk","",IF($X$49&gt;'FORMULA REFS'!G$1,$Z82,"")))</f>
        <v/>
      </c>
      <c r="AN82" s="497" t="str">
        <f>IF($X$49="WEEKS","",IF($Z82="Manual Entry hrs/wk","",IF($X$49&gt;'FORMULA REFS'!H$1,$Z82,"")))</f>
        <v/>
      </c>
      <c r="AO82" s="497" t="str">
        <f>IF($X$49="WEEKS","",IF($Z82="Manual Entry hrs/wk","",IF($X$49&gt;'FORMULA REFS'!I$1,$Z82,"")))</f>
        <v/>
      </c>
      <c r="AP82" s="497" t="str">
        <f>IF($X$49="WEEKS","",IF($Z82="Manual Entry hrs/wk","",IF($X$49&gt;'FORMULA REFS'!J$1,$Z82,"")))</f>
        <v/>
      </c>
      <c r="AQ82" s="497" t="str">
        <f>IF($X$49="WEEKS","",IF($Z82="Manual Entry hrs/wk","",IF($X$49&gt;'FORMULA REFS'!K$1,$Z82,"")))</f>
        <v/>
      </c>
      <c r="AR82" s="497" t="str">
        <f>IF($X$49="WEEKS","",IF($Z82="Manual Entry hrs/wk","",IF($X$49&gt;'FORMULA REFS'!L$1,$Z82,"")))</f>
        <v/>
      </c>
      <c r="AS82" s="497" t="str">
        <f>IF($X$49="WEEKS","",IF($Z82="Manual Entry hrs/wk","",IF($X$49&gt;'FORMULA REFS'!M$1,$Z82,"")))</f>
        <v/>
      </c>
      <c r="AT82" s="497" t="str">
        <f>IF($X$49="WEEKS","",IF($Z82="Manual Entry hrs/wk","",IF($X$49&gt;'FORMULA REFS'!N$1,$Z82,"")))</f>
        <v/>
      </c>
      <c r="AU82" s="497" t="str">
        <f>IF($X$49="WEEKS","",IF($Z82="Manual Entry hrs/wk","",IF($X$49&gt;'FORMULA REFS'!O$1,$Z82,"")))</f>
        <v/>
      </c>
      <c r="AV82" s="497" t="str">
        <f>IF($X$49="WEEKS","",IF($Z82="Manual Entry hrs/wk","",IF($X$49&gt;'FORMULA REFS'!P$1,$Z82,"")))</f>
        <v/>
      </c>
      <c r="AW82" s="497" t="str">
        <f>IF($X$49="WEEKS","",IF($Z82="Manual Entry hrs/wk","",IF($X$49&gt;'FORMULA REFS'!Q$1,$Z82,"")))</f>
        <v/>
      </c>
      <c r="AX82" s="497" t="str">
        <f>IF($X$49="WEEKS","",IF($Z82="Manual Entry hrs/wk","",IF($X$49&gt;'FORMULA REFS'!R$1,$Z82,"")))</f>
        <v/>
      </c>
      <c r="AY82" s="497" t="str">
        <f>IF($X$49="WEEKS","",IF($Z82="Manual Entry hrs/wk","",IF($X$49&gt;'FORMULA REFS'!S$1,$Z82,"")))</f>
        <v/>
      </c>
      <c r="AZ82" s="497" t="str">
        <f>IF($X$49="WEEKS","",IF($Z82="Manual Entry hrs/wk","",IF($X$49&gt;'FORMULA REFS'!T$1,$Z82,"")))</f>
        <v/>
      </c>
      <c r="BA82" s="497" t="str">
        <f>IF($X$49="WEEKS","",IF($Z82="Manual Entry hrs/wk","",IF($X$49&gt;'FORMULA REFS'!U$1,$Z82,"")))</f>
        <v/>
      </c>
      <c r="BB82" s="497" t="str">
        <f>IF($X$49="WEEKS","",IF($Z82="Manual Entry hrs/wk","",IF($X$49&gt;'FORMULA REFS'!V$1,$Z82,"")))</f>
        <v/>
      </c>
      <c r="BC82" s="497" t="str">
        <f>IF($X$49="WEEKS","",IF($Z82="Manual Entry hrs/wk","",IF($X$49&gt;'FORMULA REFS'!W$1,$Z82,"")))</f>
        <v/>
      </c>
      <c r="BD82" s="497" t="str">
        <f>IF($X$49="WEEKS","",IF($Z82="Manual Entry hrs/wk","",IF($X$49&gt;'FORMULA REFS'!X$1,$Z82,"")))</f>
        <v/>
      </c>
      <c r="BE82" s="497" t="str">
        <f>IF($X$49="WEEKS","",IF($Z82="Manual Entry hrs/wk","",IF($X$49&gt;'FORMULA REFS'!Y$1,$Z82,"")))</f>
        <v/>
      </c>
      <c r="BF82" s="497" t="str">
        <f>IF($X$49="WEEKS","",IF($Z82="Manual Entry hrs/wk","",IF($X$49&gt;'FORMULA REFS'!Z$1,$Z82,"")))</f>
        <v/>
      </c>
      <c r="BG82" s="497" t="str">
        <f>IF($X$49="WEEKS","",IF($Z82="Manual Entry hrs/wk","",IF($X$49&gt;'FORMULA REFS'!AA$1,$Z82,"")))</f>
        <v/>
      </c>
      <c r="BH82" s="497" t="str">
        <f>IF($X$49="WEEKS","",IF($Z82="Manual Entry hrs/wk","",IF($X$49&gt;'FORMULA REFS'!AB$1,$Z82,"")))</f>
        <v/>
      </c>
      <c r="BI82" s="497" t="str">
        <f>IF($X$49="WEEKS","",IF($Z82="Manual Entry hrs/wk","",IF($X$49&gt;'FORMULA REFS'!AC$1,$Z82,"")))</f>
        <v/>
      </c>
      <c r="BJ82" s="497" t="str">
        <f>IF($X$49="WEEKS","",IF($Z82="Manual Entry hrs/wk","",IF($X$49&gt;'FORMULA REFS'!AD$1,$Z82,"")))</f>
        <v/>
      </c>
      <c r="BK82" s="497" t="str">
        <f>IF($X$49="WEEKS","",IF($Z82="Manual Entry hrs/wk","",IF($X$49&gt;'FORMULA REFS'!AE$1,$Z82,"")))</f>
        <v/>
      </c>
      <c r="BL82" s="497" t="str">
        <f>IF($X$49="WEEKS","",IF($Z82="Manual Entry hrs/wk","",IF($X$49&gt;'FORMULA REFS'!AF$1,$Z82,"")))</f>
        <v/>
      </c>
      <c r="BM82" s="497" t="str">
        <f>IF($X$49="WEEKS","",IF($Z82="Manual Entry hrs/wk","",IF($X$49&gt;'FORMULA REFS'!AG$1,$Z82,"")))</f>
        <v/>
      </c>
      <c r="BN82" s="497" t="str">
        <f>IF($X$49="WEEKS","",IF($Z82="Manual Entry hrs/wk","",IF($X$49&gt;'FORMULA REFS'!AH$1,$Z82,"")))</f>
        <v/>
      </c>
      <c r="BO82" s="497" t="str">
        <f>IF($X$49="WEEKS","",IF($Z82="Manual Entry hrs/wk","",IF($X$49&gt;'FORMULA REFS'!AI$1,$Z82,"")))</f>
        <v/>
      </c>
      <c r="BP82" s="497" t="str">
        <f>IF($X$49="WEEKS","",IF($Z82="Manual Entry hrs/wk","",IF($X$49&gt;'FORMULA REFS'!AJ$1,$Z82,"")))</f>
        <v/>
      </c>
      <c r="BQ82" s="497" t="str">
        <f>IF($X$49="WEEKS","",IF($Z82="Manual Entry hrs/wk","",IF($X$49&gt;'FORMULA REFS'!AK$1,$Z82,"")))</f>
        <v/>
      </c>
      <c r="BR82" s="497" t="str">
        <f>IF($X$49="WEEKS","",IF($Z82="Manual Entry hrs/wk","",IF($X$49&gt;'FORMULA REFS'!AL$1,$Z82,"")))</f>
        <v/>
      </c>
      <c r="BS82" s="497" t="str">
        <f>IF($X$49="WEEKS","",IF($Z82="Manual Entry hrs/wk","",IF($X$49&gt;'FORMULA REFS'!AM$1,$Z82,"")))</f>
        <v/>
      </c>
      <c r="BT82" s="497" t="str">
        <f>IF($X$49="WEEKS","",IF($Z82="Manual Entry hrs/wk","",IF($X$49&gt;'FORMULA REFS'!AN$1,$Z82,"")))</f>
        <v/>
      </c>
      <c r="BU82" s="497" t="str">
        <f>IF($X$49="WEEKS","",IF($Z82="Manual Entry hrs/wk","",IF($X$49&gt;'FORMULA REFS'!AO$1,$Z82,"")))</f>
        <v/>
      </c>
      <c r="BV82" s="497" t="str">
        <f>IF($X$49="WEEKS","",IF($Z82="Manual Entry hrs/wk","",IF($X$49&gt;'FORMULA REFS'!AP$1,$Z82,"")))</f>
        <v/>
      </c>
      <c r="BW82" s="497" t="str">
        <f>IF($X$49="WEEKS","",IF($Z82="Manual Entry hrs/wk","",IF($X$49&gt;'FORMULA REFS'!AQ$1,$Z82,"")))</f>
        <v/>
      </c>
      <c r="BX82" s="497" t="str">
        <f>IF($X$49="WEEKS","",IF($Z82="Manual Entry hrs/wk","",IF($X$49&gt;'FORMULA REFS'!AR$1,$Z82,"")))</f>
        <v/>
      </c>
      <c r="BY82" s="497" t="str">
        <f>IF($X$49="WEEKS","",IF($Z82="Manual Entry hrs/wk","",IF($X$49&gt;'FORMULA REFS'!AS$1,$Z82,"")))</f>
        <v/>
      </c>
      <c r="BZ82" s="497" t="str">
        <f>IF($X$49="WEEKS","",IF($Z82="Manual Entry hrs/wk","",IF($X$49&gt;'FORMULA REFS'!AT$1,$Z82,"")))</f>
        <v/>
      </c>
      <c r="CA82" s="497" t="str">
        <f>IF($X$49="WEEKS","",IF($Z82="Manual Entry hrs/wk","",IF($X$49&gt;'FORMULA REFS'!AU$1,$Z82,"")))</f>
        <v/>
      </c>
      <c r="CB82" s="497" t="str">
        <f>IF($X$49="WEEKS","",IF($Z82="Manual Entry hrs/wk","",IF($X$49&gt;'FORMULA REFS'!AV$1,$Z82,"")))</f>
        <v/>
      </c>
      <c r="CC82" s="497" t="str">
        <f>IF($X$49="WEEKS","",IF($Z82="Manual Entry hrs/wk","",IF($X$49&gt;'FORMULA REFS'!AW$1,$Z82,"")))</f>
        <v/>
      </c>
      <c r="CD82" s="497" t="str">
        <f>IF($X$49="WEEKS","",IF($Z82="Manual Entry hrs/wk","",IF($X$49&gt;'FORMULA REFS'!AX$1,$Z82,"")))</f>
        <v/>
      </c>
      <c r="CE82" s="497" t="str">
        <f>IF($X$49="WEEKS","",IF($Z82="Manual Entry hrs/wk","",IF($X$49&gt;'FORMULA REFS'!AY$1,$Z82,"")))</f>
        <v/>
      </c>
      <c r="CF82" s="497" t="str">
        <f>IF($X$49="WEEKS","",IF($Z82="Manual Entry hrs/wk","",IF($X$49&gt;'FORMULA REFS'!AZ$1,$Z82,"")))</f>
        <v/>
      </c>
      <c r="CG82" s="113"/>
      <c r="CH82" s="349" t="str">
        <f t="shared" ref="CH82:CH113" si="19">IFERROR(IF(ISBLANK($CL82),(IF($D$16="Select Type","Select Margin Class",IF($D$16="Standard Rates",CJ82*Y82,IF($D$16="Client Custom Rates",CK82*Y82)))),CL82*Y82),"")</f>
        <v/>
      </c>
      <c r="CI82" s="349">
        <f>IFERROR((_xlfn.XLOOKUP($M82,'Standard Rate Cards'!D:D,'Standard Rate Cards'!E:E))*Y82,0)</f>
        <v>0</v>
      </c>
      <c r="CJ82" s="349">
        <f>IF(CL82&lt;&gt;"","",IF($D$16="Select Type","Select Margin Class",IFERROR(IF($M82="",0,IF($D$16="Client Custom Rates",0,IF($D$16="Standard Rates",_xlfn.XLOOKUP($M82,'Standard Rate Cards'!$D:$D,'Standard Rate Cards'!G:G)))),0)))</f>
        <v>0</v>
      </c>
      <c r="CK82" s="349" cm="1">
        <f t="array" ref="CK82">IF(CL82&lt;&gt;"","",IFERROR(IF($D$16&lt;&gt;"Client Custom Rates",0,INDEX('Client Rate Cards'!E:E,MATCH(1,('Client Rate Cards'!B:B='2. Pricing &amp; Import'!$D$17)*('Client Rate Cards'!D:D='2. Pricing &amp; Import'!N82),0))),0))</f>
        <v>0</v>
      </c>
      <c r="CL82" s="350"/>
    </row>
    <row r="83" spans="3:90" ht="16.05" hidden="1" customHeight="1" outlineLevel="1" x14ac:dyDescent="0.3">
      <c r="C83" s="346"/>
      <c r="D83" s="495"/>
      <c r="E83" s="346"/>
      <c r="F83" s="346" t="str">
        <f>IFERROR(_xlfn.XLOOKUP(E83,'Standard Rate Cards'!$BB$11:$BB$23,'Standard Rate Cards'!$BA$11:$BA$23),"")</f>
        <v/>
      </c>
      <c r="G83" s="346"/>
      <c r="H83" s="346" t="str">
        <f>IFERROR(_xlfn.XLOOKUP(G83,'Standard Rate Cards'!$AP$8:$AP$142,'Standard Rate Cards'!$AQ$8:$AQ$142),"")</f>
        <v/>
      </c>
      <c r="I83" s="346"/>
      <c r="J83" s="346"/>
      <c r="K83" s="496"/>
      <c r="L83" s="496" t="str">
        <f t="shared" si="13"/>
        <v xml:space="preserve"> </v>
      </c>
      <c r="M83" s="496" t="str" cm="1">
        <f t="array" ref="M83">IF(ISBLANK(D83),"",IF(D83&lt;&gt;"CrederaUS",INDEX('Standard Rate Cards'!$D$9:$D$433,MATCH(1,('Standard Rate Cards'!$B$9:$B$433='2. Pricing &amp; Import'!D83)*('Standard Rate Cards'!$C$9:$C$433='2. Pricing &amp; Import'!K83),0)),INDEX('Standard Rate Cards'!$D$9:$D$433,MATCH(1,('Standard Rate Cards'!$B$9:$B$433='2. Pricing &amp; Import'!D83)*('Standard Rate Cards'!$C$9:$C$433='2. Pricing &amp; Import'!K83)*('Standard Rate Cards'!$H$9:$H$433=L83),0))))</f>
        <v/>
      </c>
      <c r="N83" s="347"/>
      <c r="O83" s="110" t="str">
        <f>IF(ISBLANK(K83)," ",_xlfn.XLOOKUP(K83,'Standard Rate Cards'!C:C,'Standard Rate Cards'!H:H))</f>
        <v xml:space="preserve"> </v>
      </c>
      <c r="P83" s="246" t="str">
        <f>IF(ISBLANK($K83)," ",_xlfn.XLOOKUP($K83,'Standard Rate Cards'!C:C,'Standard Rate Cards'!F:F))</f>
        <v xml:space="preserve"> </v>
      </c>
      <c r="Q83" s="348"/>
      <c r="R83" s="250"/>
      <c r="S83" s="680"/>
      <c r="T83" s="681"/>
      <c r="U83" s="1637"/>
      <c r="V83" s="1638"/>
      <c r="W83" s="681"/>
      <c r="X83" s="681" t="str">
        <f t="shared" si="17"/>
        <v/>
      </c>
      <c r="Y83" s="682" t="str">
        <f t="shared" si="18"/>
        <v/>
      </c>
      <c r="Z83" s="1630" t="s">
        <v>309</v>
      </c>
      <c r="AA83" s="1631"/>
      <c r="AB83" s="94"/>
      <c r="AC83" s="94"/>
      <c r="AD83" s="94"/>
      <c r="AE83" s="94"/>
      <c r="AF83" s="94"/>
      <c r="AG83" s="497" t="str">
        <f>IF($X$49="WEEKS","",IF($Z83="Manual Entry hrs/wk","",IF($X$49&gt;'FORMULA REFS'!A$1,$Z83,"")))</f>
        <v/>
      </c>
      <c r="AH83" s="497" t="str">
        <f>IF($X$49="WEEKS","",IF($Z83="Manual Entry hrs/wk","",IF($X$49&gt;'FORMULA REFS'!B$1,$Z83,"")))</f>
        <v/>
      </c>
      <c r="AI83" s="497" t="str">
        <f>IF($X$49="WEEKS","",IF($Z83="Manual Entry hrs/wk","",IF($X$49&gt;'FORMULA REFS'!C$1,$Z83,"")))</f>
        <v/>
      </c>
      <c r="AJ83" s="497" t="str">
        <f>IF($X$49="WEEKS","",IF($Z83="Manual Entry hrs/wk","",IF($X$49&gt;'FORMULA REFS'!D$1,$Z83,"")))</f>
        <v/>
      </c>
      <c r="AK83" s="497" t="str">
        <f>IF($X$49="WEEKS","",IF($Z83="Manual Entry hrs/wk","",IF($X$49&gt;'FORMULA REFS'!E$1,$Z83,"")))</f>
        <v/>
      </c>
      <c r="AL83" s="497" t="str">
        <f>IF($X$49="WEEKS","",IF($Z83="Manual Entry hrs/wk","",IF($X$49&gt;'FORMULA REFS'!F$1,$Z83,"")))</f>
        <v/>
      </c>
      <c r="AM83" s="497" t="str">
        <f>IF($X$49="WEEKS","",IF($Z83="Manual Entry hrs/wk","",IF($X$49&gt;'FORMULA REFS'!G$1,$Z83,"")))</f>
        <v/>
      </c>
      <c r="AN83" s="497" t="str">
        <f>IF($X$49="WEEKS","",IF($Z83="Manual Entry hrs/wk","",IF($X$49&gt;'FORMULA REFS'!H$1,$Z83,"")))</f>
        <v/>
      </c>
      <c r="AO83" s="497" t="str">
        <f>IF($X$49="WEEKS","",IF($Z83="Manual Entry hrs/wk","",IF($X$49&gt;'FORMULA REFS'!I$1,$Z83,"")))</f>
        <v/>
      </c>
      <c r="AP83" s="497" t="str">
        <f>IF($X$49="WEEKS","",IF($Z83="Manual Entry hrs/wk","",IF($X$49&gt;'FORMULA REFS'!J$1,$Z83,"")))</f>
        <v/>
      </c>
      <c r="AQ83" s="497" t="str">
        <f>IF($X$49="WEEKS","",IF($Z83="Manual Entry hrs/wk","",IF($X$49&gt;'FORMULA REFS'!K$1,$Z83,"")))</f>
        <v/>
      </c>
      <c r="AR83" s="497" t="str">
        <f>IF($X$49="WEEKS","",IF($Z83="Manual Entry hrs/wk","",IF($X$49&gt;'FORMULA REFS'!L$1,$Z83,"")))</f>
        <v/>
      </c>
      <c r="AS83" s="497" t="str">
        <f>IF($X$49="WEEKS","",IF($Z83="Manual Entry hrs/wk","",IF($X$49&gt;'FORMULA REFS'!M$1,$Z83,"")))</f>
        <v/>
      </c>
      <c r="AT83" s="497" t="str">
        <f>IF($X$49="WEEKS","",IF($Z83="Manual Entry hrs/wk","",IF($X$49&gt;'FORMULA REFS'!N$1,$Z83,"")))</f>
        <v/>
      </c>
      <c r="AU83" s="497" t="str">
        <f>IF($X$49="WEEKS","",IF($Z83="Manual Entry hrs/wk","",IF($X$49&gt;'FORMULA REFS'!O$1,$Z83,"")))</f>
        <v/>
      </c>
      <c r="AV83" s="497" t="str">
        <f>IF($X$49="WEEKS","",IF($Z83="Manual Entry hrs/wk","",IF($X$49&gt;'FORMULA REFS'!P$1,$Z83,"")))</f>
        <v/>
      </c>
      <c r="AW83" s="497" t="str">
        <f>IF($X$49="WEEKS","",IF($Z83="Manual Entry hrs/wk","",IF($X$49&gt;'FORMULA REFS'!Q$1,$Z83,"")))</f>
        <v/>
      </c>
      <c r="AX83" s="497" t="str">
        <f>IF($X$49="WEEKS","",IF($Z83="Manual Entry hrs/wk","",IF($X$49&gt;'FORMULA REFS'!R$1,$Z83,"")))</f>
        <v/>
      </c>
      <c r="AY83" s="497" t="str">
        <f>IF($X$49="WEEKS","",IF($Z83="Manual Entry hrs/wk","",IF($X$49&gt;'FORMULA REFS'!S$1,$Z83,"")))</f>
        <v/>
      </c>
      <c r="AZ83" s="497" t="str">
        <f>IF($X$49="WEEKS","",IF($Z83="Manual Entry hrs/wk","",IF($X$49&gt;'FORMULA REFS'!T$1,$Z83,"")))</f>
        <v/>
      </c>
      <c r="BA83" s="497" t="str">
        <f>IF($X$49="WEEKS","",IF($Z83="Manual Entry hrs/wk","",IF($X$49&gt;'FORMULA REFS'!U$1,$Z83,"")))</f>
        <v/>
      </c>
      <c r="BB83" s="497" t="str">
        <f>IF($X$49="WEEKS","",IF($Z83="Manual Entry hrs/wk","",IF($X$49&gt;'FORMULA REFS'!V$1,$Z83,"")))</f>
        <v/>
      </c>
      <c r="BC83" s="497" t="str">
        <f>IF($X$49="WEEKS","",IF($Z83="Manual Entry hrs/wk","",IF($X$49&gt;'FORMULA REFS'!W$1,$Z83,"")))</f>
        <v/>
      </c>
      <c r="BD83" s="497" t="str">
        <f>IF($X$49="WEEKS","",IF($Z83="Manual Entry hrs/wk","",IF($X$49&gt;'FORMULA REFS'!X$1,$Z83,"")))</f>
        <v/>
      </c>
      <c r="BE83" s="497" t="str">
        <f>IF($X$49="WEEKS","",IF($Z83="Manual Entry hrs/wk","",IF($X$49&gt;'FORMULA REFS'!Y$1,$Z83,"")))</f>
        <v/>
      </c>
      <c r="BF83" s="497" t="str">
        <f>IF($X$49="WEEKS","",IF($Z83="Manual Entry hrs/wk","",IF($X$49&gt;'FORMULA REFS'!Z$1,$Z83,"")))</f>
        <v/>
      </c>
      <c r="BG83" s="497" t="str">
        <f>IF($X$49="WEEKS","",IF($Z83="Manual Entry hrs/wk","",IF($X$49&gt;'FORMULA REFS'!AA$1,$Z83,"")))</f>
        <v/>
      </c>
      <c r="BH83" s="497" t="str">
        <f>IF($X$49="WEEKS","",IF($Z83="Manual Entry hrs/wk","",IF($X$49&gt;'FORMULA REFS'!AB$1,$Z83,"")))</f>
        <v/>
      </c>
      <c r="BI83" s="497" t="str">
        <f>IF($X$49="WEEKS","",IF($Z83="Manual Entry hrs/wk","",IF($X$49&gt;'FORMULA REFS'!AC$1,$Z83,"")))</f>
        <v/>
      </c>
      <c r="BJ83" s="497" t="str">
        <f>IF($X$49="WEEKS","",IF($Z83="Manual Entry hrs/wk","",IF($X$49&gt;'FORMULA REFS'!AD$1,$Z83,"")))</f>
        <v/>
      </c>
      <c r="BK83" s="497" t="str">
        <f>IF($X$49="WEEKS","",IF($Z83="Manual Entry hrs/wk","",IF($X$49&gt;'FORMULA REFS'!AE$1,$Z83,"")))</f>
        <v/>
      </c>
      <c r="BL83" s="497" t="str">
        <f>IF($X$49="WEEKS","",IF($Z83="Manual Entry hrs/wk","",IF($X$49&gt;'FORMULA REFS'!AF$1,$Z83,"")))</f>
        <v/>
      </c>
      <c r="BM83" s="497" t="str">
        <f>IF($X$49="WEEKS","",IF($Z83="Manual Entry hrs/wk","",IF($X$49&gt;'FORMULA REFS'!AG$1,$Z83,"")))</f>
        <v/>
      </c>
      <c r="BN83" s="497" t="str">
        <f>IF($X$49="WEEKS","",IF($Z83="Manual Entry hrs/wk","",IF($X$49&gt;'FORMULA REFS'!AH$1,$Z83,"")))</f>
        <v/>
      </c>
      <c r="BO83" s="497" t="str">
        <f>IF($X$49="WEEKS","",IF($Z83="Manual Entry hrs/wk","",IF($X$49&gt;'FORMULA REFS'!AI$1,$Z83,"")))</f>
        <v/>
      </c>
      <c r="BP83" s="497" t="str">
        <f>IF($X$49="WEEKS","",IF($Z83="Manual Entry hrs/wk","",IF($X$49&gt;'FORMULA REFS'!AJ$1,$Z83,"")))</f>
        <v/>
      </c>
      <c r="BQ83" s="497" t="str">
        <f>IF($X$49="WEEKS","",IF($Z83="Manual Entry hrs/wk","",IF($X$49&gt;'FORMULA REFS'!AK$1,$Z83,"")))</f>
        <v/>
      </c>
      <c r="BR83" s="497" t="str">
        <f>IF($X$49="WEEKS","",IF($Z83="Manual Entry hrs/wk","",IF($X$49&gt;'FORMULA REFS'!AL$1,$Z83,"")))</f>
        <v/>
      </c>
      <c r="BS83" s="497" t="str">
        <f>IF($X$49="WEEKS","",IF($Z83="Manual Entry hrs/wk","",IF($X$49&gt;'FORMULA REFS'!AM$1,$Z83,"")))</f>
        <v/>
      </c>
      <c r="BT83" s="497" t="str">
        <f>IF($X$49="WEEKS","",IF($Z83="Manual Entry hrs/wk","",IF($X$49&gt;'FORMULA REFS'!AN$1,$Z83,"")))</f>
        <v/>
      </c>
      <c r="BU83" s="497" t="str">
        <f>IF($X$49="WEEKS","",IF($Z83="Manual Entry hrs/wk","",IF($X$49&gt;'FORMULA REFS'!AO$1,$Z83,"")))</f>
        <v/>
      </c>
      <c r="BV83" s="497" t="str">
        <f>IF($X$49="WEEKS","",IF($Z83="Manual Entry hrs/wk","",IF($X$49&gt;'FORMULA REFS'!AP$1,$Z83,"")))</f>
        <v/>
      </c>
      <c r="BW83" s="497" t="str">
        <f>IF($X$49="WEEKS","",IF($Z83="Manual Entry hrs/wk","",IF($X$49&gt;'FORMULA REFS'!AQ$1,$Z83,"")))</f>
        <v/>
      </c>
      <c r="BX83" s="497" t="str">
        <f>IF($X$49="WEEKS","",IF($Z83="Manual Entry hrs/wk","",IF($X$49&gt;'FORMULA REFS'!AR$1,$Z83,"")))</f>
        <v/>
      </c>
      <c r="BY83" s="497" t="str">
        <f>IF($X$49="WEEKS","",IF($Z83="Manual Entry hrs/wk","",IF($X$49&gt;'FORMULA REFS'!AS$1,$Z83,"")))</f>
        <v/>
      </c>
      <c r="BZ83" s="497" t="str">
        <f>IF($X$49="WEEKS","",IF($Z83="Manual Entry hrs/wk","",IF($X$49&gt;'FORMULA REFS'!AT$1,$Z83,"")))</f>
        <v/>
      </c>
      <c r="CA83" s="497" t="str">
        <f>IF($X$49="WEEKS","",IF($Z83="Manual Entry hrs/wk","",IF($X$49&gt;'FORMULA REFS'!AU$1,$Z83,"")))</f>
        <v/>
      </c>
      <c r="CB83" s="497" t="str">
        <f>IF($X$49="WEEKS","",IF($Z83="Manual Entry hrs/wk","",IF($X$49&gt;'FORMULA REFS'!AV$1,$Z83,"")))</f>
        <v/>
      </c>
      <c r="CC83" s="497" t="str">
        <f>IF($X$49="WEEKS","",IF($Z83="Manual Entry hrs/wk","",IF($X$49&gt;'FORMULA REFS'!AW$1,$Z83,"")))</f>
        <v/>
      </c>
      <c r="CD83" s="497" t="str">
        <f>IF($X$49="WEEKS","",IF($Z83="Manual Entry hrs/wk","",IF($X$49&gt;'FORMULA REFS'!AX$1,$Z83,"")))</f>
        <v/>
      </c>
      <c r="CE83" s="497" t="str">
        <f>IF($X$49="WEEKS","",IF($Z83="Manual Entry hrs/wk","",IF($X$49&gt;'FORMULA REFS'!AY$1,$Z83,"")))</f>
        <v/>
      </c>
      <c r="CF83" s="497" t="str">
        <f>IF($X$49="WEEKS","",IF($Z83="Manual Entry hrs/wk","",IF($X$49&gt;'FORMULA REFS'!AZ$1,$Z83,"")))</f>
        <v/>
      </c>
      <c r="CG83" s="113"/>
      <c r="CH83" s="349" t="str">
        <f t="shared" si="19"/>
        <v/>
      </c>
      <c r="CI83" s="349">
        <f>IFERROR((_xlfn.XLOOKUP($M83,'Standard Rate Cards'!D:D,'Standard Rate Cards'!E:E))*Y83,0)</f>
        <v>0</v>
      </c>
      <c r="CJ83" s="349">
        <f>IF(CL83&lt;&gt;"","",IF($D$16="Select Type","Select Margin Class",IFERROR(IF($M83="",0,IF($D$16="Client Custom Rates",0,IF($D$16="Standard Rates",_xlfn.XLOOKUP($M83,'Standard Rate Cards'!$D:$D,'Standard Rate Cards'!G:G)))),0)))</f>
        <v>0</v>
      </c>
      <c r="CK83" s="349" cm="1">
        <f t="array" ref="CK83">IF(CL83&lt;&gt;"","",IFERROR(IF($D$16&lt;&gt;"Client Custom Rates",0,INDEX('Client Rate Cards'!E:E,MATCH(1,('Client Rate Cards'!B:B='2. Pricing &amp; Import'!$D$17)*('Client Rate Cards'!D:D='2. Pricing &amp; Import'!N83),0))),0))</f>
        <v>0</v>
      </c>
      <c r="CL83" s="350"/>
    </row>
    <row r="84" spans="3:90" ht="16.05" hidden="1" customHeight="1" outlineLevel="1" x14ac:dyDescent="0.3">
      <c r="C84" s="346"/>
      <c r="D84" s="495"/>
      <c r="E84" s="346"/>
      <c r="F84" s="346" t="str">
        <f>IFERROR(_xlfn.XLOOKUP(E84,'Standard Rate Cards'!$BB$11:$BB$23,'Standard Rate Cards'!$BA$11:$BA$23),"")</f>
        <v/>
      </c>
      <c r="G84" s="346"/>
      <c r="H84" s="346" t="str">
        <f>IFERROR(_xlfn.XLOOKUP(G84,'Standard Rate Cards'!$AP$8:$AP$142,'Standard Rate Cards'!$AQ$8:$AQ$142),"")</f>
        <v/>
      </c>
      <c r="I84" s="346"/>
      <c r="J84" s="346"/>
      <c r="K84" s="496"/>
      <c r="L84" s="496" t="str">
        <f t="shared" si="13"/>
        <v xml:space="preserve"> </v>
      </c>
      <c r="M84" s="496" t="str" cm="1">
        <f t="array" ref="M84">IF(ISBLANK(D84),"",IF(D84&lt;&gt;"CrederaUS",INDEX('Standard Rate Cards'!$D$9:$D$433,MATCH(1,('Standard Rate Cards'!$B$9:$B$433='2. Pricing &amp; Import'!D84)*('Standard Rate Cards'!$C$9:$C$433='2. Pricing &amp; Import'!K84),0)),INDEX('Standard Rate Cards'!$D$9:$D$433,MATCH(1,('Standard Rate Cards'!$B$9:$B$433='2. Pricing &amp; Import'!D84)*('Standard Rate Cards'!$C$9:$C$433='2. Pricing &amp; Import'!K84)*('Standard Rate Cards'!$H$9:$H$433=L84),0))))</f>
        <v/>
      </c>
      <c r="N84" s="347"/>
      <c r="O84" s="110" t="str">
        <f>IF(ISBLANK(K84)," ",_xlfn.XLOOKUP(K84,'Standard Rate Cards'!C:C,'Standard Rate Cards'!H:H))</f>
        <v xml:space="preserve"> </v>
      </c>
      <c r="P84" s="246" t="str">
        <f>IF(ISBLANK($K84)," ",_xlfn.XLOOKUP($K84,'Standard Rate Cards'!C:C,'Standard Rate Cards'!F:F))</f>
        <v xml:space="preserve"> </v>
      </c>
      <c r="Q84" s="348"/>
      <c r="R84" s="250"/>
      <c r="S84" s="680"/>
      <c r="T84" s="681"/>
      <c r="U84" s="1637"/>
      <c r="V84" s="1638"/>
      <c r="W84" s="681"/>
      <c r="X84" s="681" t="str">
        <f t="shared" si="17"/>
        <v/>
      </c>
      <c r="Y84" s="682" t="str">
        <f t="shared" si="18"/>
        <v/>
      </c>
      <c r="Z84" s="1630" t="s">
        <v>309</v>
      </c>
      <c r="AA84" s="1631"/>
      <c r="AB84" s="94"/>
      <c r="AC84" s="94"/>
      <c r="AD84" s="94"/>
      <c r="AE84" s="94"/>
      <c r="AF84" s="94"/>
      <c r="AG84" s="497" t="str">
        <f>IF($X$49="WEEKS","",IF($Z84="Manual Entry hrs/wk","",IF($X$49&gt;'FORMULA REFS'!A$1,$Z84,"")))</f>
        <v/>
      </c>
      <c r="AH84" s="497" t="str">
        <f>IF($X$49="WEEKS","",IF($Z84="Manual Entry hrs/wk","",IF($X$49&gt;'FORMULA REFS'!B$1,$Z84,"")))</f>
        <v/>
      </c>
      <c r="AI84" s="497" t="str">
        <f>IF($X$49="WEEKS","",IF($Z84="Manual Entry hrs/wk","",IF($X$49&gt;'FORMULA REFS'!C$1,$Z84,"")))</f>
        <v/>
      </c>
      <c r="AJ84" s="497" t="str">
        <f>IF($X$49="WEEKS","",IF($Z84="Manual Entry hrs/wk","",IF($X$49&gt;'FORMULA REFS'!D$1,$Z84,"")))</f>
        <v/>
      </c>
      <c r="AK84" s="497" t="str">
        <f>IF($X$49="WEEKS","",IF($Z84="Manual Entry hrs/wk","",IF($X$49&gt;'FORMULA REFS'!E$1,$Z84,"")))</f>
        <v/>
      </c>
      <c r="AL84" s="497" t="str">
        <f>IF($X$49="WEEKS","",IF($Z84="Manual Entry hrs/wk","",IF($X$49&gt;'FORMULA REFS'!F$1,$Z84,"")))</f>
        <v/>
      </c>
      <c r="AM84" s="497" t="str">
        <f>IF($X$49="WEEKS","",IF($Z84="Manual Entry hrs/wk","",IF($X$49&gt;'FORMULA REFS'!G$1,$Z84,"")))</f>
        <v/>
      </c>
      <c r="AN84" s="497" t="str">
        <f>IF($X$49="WEEKS","",IF($Z84="Manual Entry hrs/wk","",IF($X$49&gt;'FORMULA REFS'!H$1,$Z84,"")))</f>
        <v/>
      </c>
      <c r="AO84" s="497" t="str">
        <f>IF($X$49="WEEKS","",IF($Z84="Manual Entry hrs/wk","",IF($X$49&gt;'FORMULA REFS'!I$1,$Z84,"")))</f>
        <v/>
      </c>
      <c r="AP84" s="497" t="str">
        <f>IF($X$49="WEEKS","",IF($Z84="Manual Entry hrs/wk","",IF($X$49&gt;'FORMULA REFS'!J$1,$Z84,"")))</f>
        <v/>
      </c>
      <c r="AQ84" s="497" t="str">
        <f>IF($X$49="WEEKS","",IF($Z84="Manual Entry hrs/wk","",IF($X$49&gt;'FORMULA REFS'!K$1,$Z84,"")))</f>
        <v/>
      </c>
      <c r="AR84" s="497" t="str">
        <f>IF($X$49="WEEKS","",IF($Z84="Manual Entry hrs/wk","",IF($X$49&gt;'FORMULA REFS'!L$1,$Z84,"")))</f>
        <v/>
      </c>
      <c r="AS84" s="497" t="str">
        <f>IF($X$49="WEEKS","",IF($Z84="Manual Entry hrs/wk","",IF($X$49&gt;'FORMULA REFS'!M$1,$Z84,"")))</f>
        <v/>
      </c>
      <c r="AT84" s="497" t="str">
        <f>IF($X$49="WEEKS","",IF($Z84="Manual Entry hrs/wk","",IF($X$49&gt;'FORMULA REFS'!N$1,$Z84,"")))</f>
        <v/>
      </c>
      <c r="AU84" s="497" t="str">
        <f>IF($X$49="WEEKS","",IF($Z84="Manual Entry hrs/wk","",IF($X$49&gt;'FORMULA REFS'!O$1,$Z84,"")))</f>
        <v/>
      </c>
      <c r="AV84" s="497" t="str">
        <f>IF($X$49="WEEKS","",IF($Z84="Manual Entry hrs/wk","",IF($X$49&gt;'FORMULA REFS'!P$1,$Z84,"")))</f>
        <v/>
      </c>
      <c r="AW84" s="497" t="str">
        <f>IF($X$49="WEEKS","",IF($Z84="Manual Entry hrs/wk","",IF($X$49&gt;'FORMULA REFS'!Q$1,$Z84,"")))</f>
        <v/>
      </c>
      <c r="AX84" s="497" t="str">
        <f>IF($X$49="WEEKS","",IF($Z84="Manual Entry hrs/wk","",IF($X$49&gt;'FORMULA REFS'!R$1,$Z84,"")))</f>
        <v/>
      </c>
      <c r="AY84" s="497" t="str">
        <f>IF($X$49="WEEKS","",IF($Z84="Manual Entry hrs/wk","",IF($X$49&gt;'FORMULA REFS'!S$1,$Z84,"")))</f>
        <v/>
      </c>
      <c r="AZ84" s="497" t="str">
        <f>IF($X$49="WEEKS","",IF($Z84="Manual Entry hrs/wk","",IF($X$49&gt;'FORMULA REFS'!T$1,$Z84,"")))</f>
        <v/>
      </c>
      <c r="BA84" s="497" t="str">
        <f>IF($X$49="WEEKS","",IF($Z84="Manual Entry hrs/wk","",IF($X$49&gt;'FORMULA REFS'!U$1,$Z84,"")))</f>
        <v/>
      </c>
      <c r="BB84" s="497" t="str">
        <f>IF($X$49="WEEKS","",IF($Z84="Manual Entry hrs/wk","",IF($X$49&gt;'FORMULA REFS'!V$1,$Z84,"")))</f>
        <v/>
      </c>
      <c r="BC84" s="497" t="str">
        <f>IF($X$49="WEEKS","",IF($Z84="Manual Entry hrs/wk","",IF($X$49&gt;'FORMULA REFS'!W$1,$Z84,"")))</f>
        <v/>
      </c>
      <c r="BD84" s="497" t="str">
        <f>IF($X$49="WEEKS","",IF($Z84="Manual Entry hrs/wk","",IF($X$49&gt;'FORMULA REFS'!X$1,$Z84,"")))</f>
        <v/>
      </c>
      <c r="BE84" s="497" t="str">
        <f>IF($X$49="WEEKS","",IF($Z84="Manual Entry hrs/wk","",IF($X$49&gt;'FORMULA REFS'!Y$1,$Z84,"")))</f>
        <v/>
      </c>
      <c r="BF84" s="497" t="str">
        <f>IF($X$49="WEEKS","",IF($Z84="Manual Entry hrs/wk","",IF($X$49&gt;'FORMULA REFS'!Z$1,$Z84,"")))</f>
        <v/>
      </c>
      <c r="BG84" s="497" t="str">
        <f>IF($X$49="WEEKS","",IF($Z84="Manual Entry hrs/wk","",IF($X$49&gt;'FORMULA REFS'!AA$1,$Z84,"")))</f>
        <v/>
      </c>
      <c r="BH84" s="497" t="str">
        <f>IF($X$49="WEEKS","",IF($Z84="Manual Entry hrs/wk","",IF($X$49&gt;'FORMULA REFS'!AB$1,$Z84,"")))</f>
        <v/>
      </c>
      <c r="BI84" s="497" t="str">
        <f>IF($X$49="WEEKS","",IF($Z84="Manual Entry hrs/wk","",IF($X$49&gt;'FORMULA REFS'!AC$1,$Z84,"")))</f>
        <v/>
      </c>
      <c r="BJ84" s="497" t="str">
        <f>IF($X$49="WEEKS","",IF($Z84="Manual Entry hrs/wk","",IF($X$49&gt;'FORMULA REFS'!AD$1,$Z84,"")))</f>
        <v/>
      </c>
      <c r="BK84" s="497" t="str">
        <f>IF($X$49="WEEKS","",IF($Z84="Manual Entry hrs/wk","",IF($X$49&gt;'FORMULA REFS'!AE$1,$Z84,"")))</f>
        <v/>
      </c>
      <c r="BL84" s="497" t="str">
        <f>IF($X$49="WEEKS","",IF($Z84="Manual Entry hrs/wk","",IF($X$49&gt;'FORMULA REFS'!AF$1,$Z84,"")))</f>
        <v/>
      </c>
      <c r="BM84" s="497" t="str">
        <f>IF($X$49="WEEKS","",IF($Z84="Manual Entry hrs/wk","",IF($X$49&gt;'FORMULA REFS'!AG$1,$Z84,"")))</f>
        <v/>
      </c>
      <c r="BN84" s="497" t="str">
        <f>IF($X$49="WEEKS","",IF($Z84="Manual Entry hrs/wk","",IF($X$49&gt;'FORMULA REFS'!AH$1,$Z84,"")))</f>
        <v/>
      </c>
      <c r="BO84" s="497" t="str">
        <f>IF($X$49="WEEKS","",IF($Z84="Manual Entry hrs/wk","",IF($X$49&gt;'FORMULA REFS'!AI$1,$Z84,"")))</f>
        <v/>
      </c>
      <c r="BP84" s="497" t="str">
        <f>IF($X$49="WEEKS","",IF($Z84="Manual Entry hrs/wk","",IF($X$49&gt;'FORMULA REFS'!AJ$1,$Z84,"")))</f>
        <v/>
      </c>
      <c r="BQ84" s="497" t="str">
        <f>IF($X$49="WEEKS","",IF($Z84="Manual Entry hrs/wk","",IF($X$49&gt;'FORMULA REFS'!AK$1,$Z84,"")))</f>
        <v/>
      </c>
      <c r="BR84" s="497" t="str">
        <f>IF($X$49="WEEKS","",IF($Z84="Manual Entry hrs/wk","",IF($X$49&gt;'FORMULA REFS'!AL$1,$Z84,"")))</f>
        <v/>
      </c>
      <c r="BS84" s="497" t="str">
        <f>IF($X$49="WEEKS","",IF($Z84="Manual Entry hrs/wk","",IF($X$49&gt;'FORMULA REFS'!AM$1,$Z84,"")))</f>
        <v/>
      </c>
      <c r="BT84" s="497" t="str">
        <f>IF($X$49="WEEKS","",IF($Z84="Manual Entry hrs/wk","",IF($X$49&gt;'FORMULA REFS'!AN$1,$Z84,"")))</f>
        <v/>
      </c>
      <c r="BU84" s="497" t="str">
        <f>IF($X$49="WEEKS","",IF($Z84="Manual Entry hrs/wk","",IF($X$49&gt;'FORMULA REFS'!AO$1,$Z84,"")))</f>
        <v/>
      </c>
      <c r="BV84" s="497" t="str">
        <f>IF($X$49="WEEKS","",IF($Z84="Manual Entry hrs/wk","",IF($X$49&gt;'FORMULA REFS'!AP$1,$Z84,"")))</f>
        <v/>
      </c>
      <c r="BW84" s="497" t="str">
        <f>IF($X$49="WEEKS","",IF($Z84="Manual Entry hrs/wk","",IF($X$49&gt;'FORMULA REFS'!AQ$1,$Z84,"")))</f>
        <v/>
      </c>
      <c r="BX84" s="497" t="str">
        <f>IF($X$49="WEEKS","",IF($Z84="Manual Entry hrs/wk","",IF($X$49&gt;'FORMULA REFS'!AR$1,$Z84,"")))</f>
        <v/>
      </c>
      <c r="BY84" s="497" t="str">
        <f>IF($X$49="WEEKS","",IF($Z84="Manual Entry hrs/wk","",IF($X$49&gt;'FORMULA REFS'!AS$1,$Z84,"")))</f>
        <v/>
      </c>
      <c r="BZ84" s="497" t="str">
        <f>IF($X$49="WEEKS","",IF($Z84="Manual Entry hrs/wk","",IF($X$49&gt;'FORMULA REFS'!AT$1,$Z84,"")))</f>
        <v/>
      </c>
      <c r="CA84" s="497" t="str">
        <f>IF($X$49="WEEKS","",IF($Z84="Manual Entry hrs/wk","",IF($X$49&gt;'FORMULA REFS'!AU$1,$Z84,"")))</f>
        <v/>
      </c>
      <c r="CB84" s="497" t="str">
        <f>IF($X$49="WEEKS","",IF($Z84="Manual Entry hrs/wk","",IF($X$49&gt;'FORMULA REFS'!AV$1,$Z84,"")))</f>
        <v/>
      </c>
      <c r="CC84" s="497" t="str">
        <f>IF($X$49="WEEKS","",IF($Z84="Manual Entry hrs/wk","",IF($X$49&gt;'FORMULA REFS'!AW$1,$Z84,"")))</f>
        <v/>
      </c>
      <c r="CD84" s="497" t="str">
        <f>IF($X$49="WEEKS","",IF($Z84="Manual Entry hrs/wk","",IF($X$49&gt;'FORMULA REFS'!AX$1,$Z84,"")))</f>
        <v/>
      </c>
      <c r="CE84" s="497" t="str">
        <f>IF($X$49="WEEKS","",IF($Z84="Manual Entry hrs/wk","",IF($X$49&gt;'FORMULA REFS'!AY$1,$Z84,"")))</f>
        <v/>
      </c>
      <c r="CF84" s="497" t="str">
        <f>IF($X$49="WEEKS","",IF($Z84="Manual Entry hrs/wk","",IF($X$49&gt;'FORMULA REFS'!AZ$1,$Z84,"")))</f>
        <v/>
      </c>
      <c r="CG84" s="113"/>
      <c r="CH84" s="349" t="str">
        <f t="shared" si="19"/>
        <v/>
      </c>
      <c r="CI84" s="349">
        <f>IFERROR((_xlfn.XLOOKUP($M84,'Standard Rate Cards'!D:D,'Standard Rate Cards'!E:E))*Y84,0)</f>
        <v>0</v>
      </c>
      <c r="CJ84" s="349">
        <f>IF(CL84&lt;&gt;"","",IF($D$16="Select Type","Select Margin Class",IFERROR(IF($M84="",0,IF($D$16="Client Custom Rates",0,IF($D$16="Standard Rates",_xlfn.XLOOKUP($M84,'Standard Rate Cards'!$D:$D,'Standard Rate Cards'!G:G)))),0)))</f>
        <v>0</v>
      </c>
      <c r="CK84" s="349" cm="1">
        <f t="array" ref="CK84">IF(CL84&lt;&gt;"","",IFERROR(IF($D$16&lt;&gt;"Client Custom Rates",0,INDEX('Client Rate Cards'!E:E,MATCH(1,('Client Rate Cards'!B:B='2. Pricing &amp; Import'!$D$17)*('Client Rate Cards'!D:D='2. Pricing &amp; Import'!N84),0))),0))</f>
        <v>0</v>
      </c>
      <c r="CL84" s="350"/>
    </row>
    <row r="85" spans="3:90" ht="16.05" hidden="1" customHeight="1" outlineLevel="1" x14ac:dyDescent="0.3">
      <c r="C85" s="346"/>
      <c r="D85" s="495"/>
      <c r="E85" s="346"/>
      <c r="F85" s="346" t="str">
        <f>IFERROR(_xlfn.XLOOKUP(E85,'Standard Rate Cards'!$BB$11:$BB$23,'Standard Rate Cards'!$BA$11:$BA$23),"")</f>
        <v/>
      </c>
      <c r="G85" s="346"/>
      <c r="H85" s="346" t="str">
        <f>IFERROR(_xlfn.XLOOKUP(G85,'Standard Rate Cards'!$AP$8:$AP$142,'Standard Rate Cards'!$AQ$8:$AQ$142),"")</f>
        <v/>
      </c>
      <c r="I85" s="346"/>
      <c r="J85" s="346"/>
      <c r="K85" s="496"/>
      <c r="L85" s="496" t="str">
        <f t="shared" si="13"/>
        <v xml:space="preserve"> </v>
      </c>
      <c r="M85" s="496" t="str" cm="1">
        <f t="array" ref="M85">IF(ISBLANK(D85),"",IF(D85&lt;&gt;"CrederaUS",INDEX('Standard Rate Cards'!$D$9:$D$433,MATCH(1,('Standard Rate Cards'!$B$9:$B$433='2. Pricing &amp; Import'!D85)*('Standard Rate Cards'!$C$9:$C$433='2. Pricing &amp; Import'!K85),0)),INDEX('Standard Rate Cards'!$D$9:$D$433,MATCH(1,('Standard Rate Cards'!$B$9:$B$433='2. Pricing &amp; Import'!D85)*('Standard Rate Cards'!$C$9:$C$433='2. Pricing &amp; Import'!K85)*('Standard Rate Cards'!$H$9:$H$433=L85),0))))</f>
        <v/>
      </c>
      <c r="N85" s="347"/>
      <c r="O85" s="110" t="str">
        <f>IF(ISBLANK(K85)," ",_xlfn.XLOOKUP(K85,'Standard Rate Cards'!C:C,'Standard Rate Cards'!H:H))</f>
        <v xml:space="preserve"> </v>
      </c>
      <c r="P85" s="246" t="str">
        <f>IF(ISBLANK($K85)," ",_xlfn.XLOOKUP($K85,'Standard Rate Cards'!C:C,'Standard Rate Cards'!F:F))</f>
        <v xml:space="preserve"> </v>
      </c>
      <c r="Q85" s="348"/>
      <c r="R85" s="250"/>
      <c r="S85" s="680"/>
      <c r="T85" s="681"/>
      <c r="U85" s="1637"/>
      <c r="V85" s="1638"/>
      <c r="W85" s="681"/>
      <c r="X85" s="681" t="str">
        <f t="shared" si="17"/>
        <v/>
      </c>
      <c r="Y85" s="682" t="str">
        <f t="shared" si="18"/>
        <v/>
      </c>
      <c r="Z85" s="1630" t="s">
        <v>309</v>
      </c>
      <c r="AA85" s="1631"/>
      <c r="AB85" s="94"/>
      <c r="AC85" s="94"/>
      <c r="AD85" s="94"/>
      <c r="AE85" s="94"/>
      <c r="AF85" s="94"/>
      <c r="AG85" s="497" t="str">
        <f>IF($X$49="WEEKS","",IF($Z85="Manual Entry hrs/wk","",IF($X$49&gt;'FORMULA REFS'!A$1,$Z85,"")))</f>
        <v/>
      </c>
      <c r="AH85" s="497" t="str">
        <f>IF($X$49="WEEKS","",IF($Z85="Manual Entry hrs/wk","",IF($X$49&gt;'FORMULA REFS'!B$1,$Z85,"")))</f>
        <v/>
      </c>
      <c r="AI85" s="497" t="str">
        <f>IF($X$49="WEEKS","",IF($Z85="Manual Entry hrs/wk","",IF($X$49&gt;'FORMULA REFS'!C$1,$Z85,"")))</f>
        <v/>
      </c>
      <c r="AJ85" s="497" t="str">
        <f>IF($X$49="WEEKS","",IF($Z85="Manual Entry hrs/wk","",IF($X$49&gt;'FORMULA REFS'!D$1,$Z85,"")))</f>
        <v/>
      </c>
      <c r="AK85" s="497" t="str">
        <f>IF($X$49="WEEKS","",IF($Z85="Manual Entry hrs/wk","",IF($X$49&gt;'FORMULA REFS'!E$1,$Z85,"")))</f>
        <v/>
      </c>
      <c r="AL85" s="497" t="str">
        <f>IF($X$49="WEEKS","",IF($Z85="Manual Entry hrs/wk","",IF($X$49&gt;'FORMULA REFS'!F$1,$Z85,"")))</f>
        <v/>
      </c>
      <c r="AM85" s="497" t="str">
        <f>IF($X$49="WEEKS","",IF($Z85="Manual Entry hrs/wk","",IF($X$49&gt;'FORMULA REFS'!G$1,$Z85,"")))</f>
        <v/>
      </c>
      <c r="AN85" s="497" t="str">
        <f>IF($X$49="WEEKS","",IF($Z85="Manual Entry hrs/wk","",IF($X$49&gt;'FORMULA REFS'!H$1,$Z85,"")))</f>
        <v/>
      </c>
      <c r="AO85" s="497" t="str">
        <f>IF($X$49="WEEKS","",IF($Z85="Manual Entry hrs/wk","",IF($X$49&gt;'FORMULA REFS'!I$1,$Z85,"")))</f>
        <v/>
      </c>
      <c r="AP85" s="497" t="str">
        <f>IF($X$49="WEEKS","",IF($Z85="Manual Entry hrs/wk","",IF($X$49&gt;'FORMULA REFS'!J$1,$Z85,"")))</f>
        <v/>
      </c>
      <c r="AQ85" s="497" t="str">
        <f>IF($X$49="WEEKS","",IF($Z85="Manual Entry hrs/wk","",IF($X$49&gt;'FORMULA REFS'!K$1,$Z85,"")))</f>
        <v/>
      </c>
      <c r="AR85" s="497" t="str">
        <f>IF($X$49="WEEKS","",IF($Z85="Manual Entry hrs/wk","",IF($X$49&gt;'FORMULA REFS'!L$1,$Z85,"")))</f>
        <v/>
      </c>
      <c r="AS85" s="497" t="str">
        <f>IF($X$49="WEEKS","",IF($Z85="Manual Entry hrs/wk","",IF($X$49&gt;'FORMULA REFS'!M$1,$Z85,"")))</f>
        <v/>
      </c>
      <c r="AT85" s="497" t="str">
        <f>IF($X$49="WEEKS","",IF($Z85="Manual Entry hrs/wk","",IF($X$49&gt;'FORMULA REFS'!N$1,$Z85,"")))</f>
        <v/>
      </c>
      <c r="AU85" s="497" t="str">
        <f>IF($X$49="WEEKS","",IF($Z85="Manual Entry hrs/wk","",IF($X$49&gt;'FORMULA REFS'!O$1,$Z85,"")))</f>
        <v/>
      </c>
      <c r="AV85" s="497" t="str">
        <f>IF($X$49="WEEKS","",IF($Z85="Manual Entry hrs/wk","",IF($X$49&gt;'FORMULA REFS'!P$1,$Z85,"")))</f>
        <v/>
      </c>
      <c r="AW85" s="497" t="str">
        <f>IF($X$49="WEEKS","",IF($Z85="Manual Entry hrs/wk","",IF($X$49&gt;'FORMULA REFS'!Q$1,$Z85,"")))</f>
        <v/>
      </c>
      <c r="AX85" s="497" t="str">
        <f>IF($X$49="WEEKS","",IF($Z85="Manual Entry hrs/wk","",IF($X$49&gt;'FORMULA REFS'!R$1,$Z85,"")))</f>
        <v/>
      </c>
      <c r="AY85" s="497" t="str">
        <f>IF($X$49="WEEKS","",IF($Z85="Manual Entry hrs/wk","",IF($X$49&gt;'FORMULA REFS'!S$1,$Z85,"")))</f>
        <v/>
      </c>
      <c r="AZ85" s="497" t="str">
        <f>IF($X$49="WEEKS","",IF($Z85="Manual Entry hrs/wk","",IF($X$49&gt;'FORMULA REFS'!T$1,$Z85,"")))</f>
        <v/>
      </c>
      <c r="BA85" s="497" t="str">
        <f>IF($X$49="WEEKS","",IF($Z85="Manual Entry hrs/wk","",IF($X$49&gt;'FORMULA REFS'!U$1,$Z85,"")))</f>
        <v/>
      </c>
      <c r="BB85" s="497" t="str">
        <f>IF($X$49="WEEKS","",IF($Z85="Manual Entry hrs/wk","",IF($X$49&gt;'FORMULA REFS'!V$1,$Z85,"")))</f>
        <v/>
      </c>
      <c r="BC85" s="497" t="str">
        <f>IF($X$49="WEEKS","",IF($Z85="Manual Entry hrs/wk","",IF($X$49&gt;'FORMULA REFS'!W$1,$Z85,"")))</f>
        <v/>
      </c>
      <c r="BD85" s="497" t="str">
        <f>IF($X$49="WEEKS","",IF($Z85="Manual Entry hrs/wk","",IF($X$49&gt;'FORMULA REFS'!X$1,$Z85,"")))</f>
        <v/>
      </c>
      <c r="BE85" s="497" t="str">
        <f>IF($X$49="WEEKS","",IF($Z85="Manual Entry hrs/wk","",IF($X$49&gt;'FORMULA REFS'!Y$1,$Z85,"")))</f>
        <v/>
      </c>
      <c r="BF85" s="497" t="str">
        <f>IF($X$49="WEEKS","",IF($Z85="Manual Entry hrs/wk","",IF($X$49&gt;'FORMULA REFS'!Z$1,$Z85,"")))</f>
        <v/>
      </c>
      <c r="BG85" s="497" t="str">
        <f>IF($X$49="WEEKS","",IF($Z85="Manual Entry hrs/wk","",IF($X$49&gt;'FORMULA REFS'!AA$1,$Z85,"")))</f>
        <v/>
      </c>
      <c r="BH85" s="497" t="str">
        <f>IF($X$49="WEEKS","",IF($Z85="Manual Entry hrs/wk","",IF($X$49&gt;'FORMULA REFS'!AB$1,$Z85,"")))</f>
        <v/>
      </c>
      <c r="BI85" s="497" t="str">
        <f>IF($X$49="WEEKS","",IF($Z85="Manual Entry hrs/wk","",IF($X$49&gt;'FORMULA REFS'!AC$1,$Z85,"")))</f>
        <v/>
      </c>
      <c r="BJ85" s="497" t="str">
        <f>IF($X$49="WEEKS","",IF($Z85="Manual Entry hrs/wk","",IF($X$49&gt;'FORMULA REFS'!AD$1,$Z85,"")))</f>
        <v/>
      </c>
      <c r="BK85" s="497" t="str">
        <f>IF($X$49="WEEKS","",IF($Z85="Manual Entry hrs/wk","",IF($X$49&gt;'FORMULA REFS'!AE$1,$Z85,"")))</f>
        <v/>
      </c>
      <c r="BL85" s="497" t="str">
        <f>IF($X$49="WEEKS","",IF($Z85="Manual Entry hrs/wk","",IF($X$49&gt;'FORMULA REFS'!AF$1,$Z85,"")))</f>
        <v/>
      </c>
      <c r="BM85" s="497" t="str">
        <f>IF($X$49="WEEKS","",IF($Z85="Manual Entry hrs/wk","",IF($X$49&gt;'FORMULA REFS'!AG$1,$Z85,"")))</f>
        <v/>
      </c>
      <c r="BN85" s="497" t="str">
        <f>IF($X$49="WEEKS","",IF($Z85="Manual Entry hrs/wk","",IF($X$49&gt;'FORMULA REFS'!AH$1,$Z85,"")))</f>
        <v/>
      </c>
      <c r="BO85" s="497" t="str">
        <f>IF($X$49="WEEKS","",IF($Z85="Manual Entry hrs/wk","",IF($X$49&gt;'FORMULA REFS'!AI$1,$Z85,"")))</f>
        <v/>
      </c>
      <c r="BP85" s="497" t="str">
        <f>IF($X$49="WEEKS","",IF($Z85="Manual Entry hrs/wk","",IF($X$49&gt;'FORMULA REFS'!AJ$1,$Z85,"")))</f>
        <v/>
      </c>
      <c r="BQ85" s="497" t="str">
        <f>IF($X$49="WEEKS","",IF($Z85="Manual Entry hrs/wk","",IF($X$49&gt;'FORMULA REFS'!AK$1,$Z85,"")))</f>
        <v/>
      </c>
      <c r="BR85" s="497" t="str">
        <f>IF($X$49="WEEKS","",IF($Z85="Manual Entry hrs/wk","",IF($X$49&gt;'FORMULA REFS'!AL$1,$Z85,"")))</f>
        <v/>
      </c>
      <c r="BS85" s="497" t="str">
        <f>IF($X$49="WEEKS","",IF($Z85="Manual Entry hrs/wk","",IF($X$49&gt;'FORMULA REFS'!AM$1,$Z85,"")))</f>
        <v/>
      </c>
      <c r="BT85" s="497" t="str">
        <f>IF($X$49="WEEKS","",IF($Z85="Manual Entry hrs/wk","",IF($X$49&gt;'FORMULA REFS'!AN$1,$Z85,"")))</f>
        <v/>
      </c>
      <c r="BU85" s="497" t="str">
        <f>IF($X$49="WEEKS","",IF($Z85="Manual Entry hrs/wk","",IF($X$49&gt;'FORMULA REFS'!AO$1,$Z85,"")))</f>
        <v/>
      </c>
      <c r="BV85" s="497" t="str">
        <f>IF($X$49="WEEKS","",IF($Z85="Manual Entry hrs/wk","",IF($X$49&gt;'FORMULA REFS'!AP$1,$Z85,"")))</f>
        <v/>
      </c>
      <c r="BW85" s="497" t="str">
        <f>IF($X$49="WEEKS","",IF($Z85="Manual Entry hrs/wk","",IF($X$49&gt;'FORMULA REFS'!AQ$1,$Z85,"")))</f>
        <v/>
      </c>
      <c r="BX85" s="497" t="str">
        <f>IF($X$49="WEEKS","",IF($Z85="Manual Entry hrs/wk","",IF($X$49&gt;'FORMULA REFS'!AR$1,$Z85,"")))</f>
        <v/>
      </c>
      <c r="BY85" s="497" t="str">
        <f>IF($X$49="WEEKS","",IF($Z85="Manual Entry hrs/wk","",IF($X$49&gt;'FORMULA REFS'!AS$1,$Z85,"")))</f>
        <v/>
      </c>
      <c r="BZ85" s="497" t="str">
        <f>IF($X$49="WEEKS","",IF($Z85="Manual Entry hrs/wk","",IF($X$49&gt;'FORMULA REFS'!AT$1,$Z85,"")))</f>
        <v/>
      </c>
      <c r="CA85" s="497" t="str">
        <f>IF($X$49="WEEKS","",IF($Z85="Manual Entry hrs/wk","",IF($X$49&gt;'FORMULA REFS'!AU$1,$Z85,"")))</f>
        <v/>
      </c>
      <c r="CB85" s="497" t="str">
        <f>IF($X$49="WEEKS","",IF($Z85="Manual Entry hrs/wk","",IF($X$49&gt;'FORMULA REFS'!AV$1,$Z85,"")))</f>
        <v/>
      </c>
      <c r="CC85" s="497" t="str">
        <f>IF($X$49="WEEKS","",IF($Z85="Manual Entry hrs/wk","",IF($X$49&gt;'FORMULA REFS'!AW$1,$Z85,"")))</f>
        <v/>
      </c>
      <c r="CD85" s="497" t="str">
        <f>IF($X$49="WEEKS","",IF($Z85="Manual Entry hrs/wk","",IF($X$49&gt;'FORMULA REFS'!AX$1,$Z85,"")))</f>
        <v/>
      </c>
      <c r="CE85" s="497" t="str">
        <f>IF($X$49="WEEKS","",IF($Z85="Manual Entry hrs/wk","",IF($X$49&gt;'FORMULA REFS'!AY$1,$Z85,"")))</f>
        <v/>
      </c>
      <c r="CF85" s="497" t="str">
        <f>IF($X$49="WEEKS","",IF($Z85="Manual Entry hrs/wk","",IF($X$49&gt;'FORMULA REFS'!AZ$1,$Z85,"")))</f>
        <v/>
      </c>
      <c r="CG85" s="113"/>
      <c r="CH85" s="349" t="str">
        <f t="shared" si="19"/>
        <v/>
      </c>
      <c r="CI85" s="349">
        <f>IFERROR((_xlfn.XLOOKUP($M85,'Standard Rate Cards'!D:D,'Standard Rate Cards'!E:E))*Y85,0)</f>
        <v>0</v>
      </c>
      <c r="CJ85" s="349">
        <f>IF(CL85&lt;&gt;"","",IF($D$16="Select Type","Select Margin Class",IFERROR(IF($M85="",0,IF($D$16="Client Custom Rates",0,IF($D$16="Standard Rates",_xlfn.XLOOKUP($M85,'Standard Rate Cards'!$D:$D,'Standard Rate Cards'!G:G)))),0)))</f>
        <v>0</v>
      </c>
      <c r="CK85" s="349" cm="1">
        <f t="array" ref="CK85">IF(CL85&lt;&gt;"","",IFERROR(IF($D$16&lt;&gt;"Client Custom Rates",0,INDEX('Client Rate Cards'!E:E,MATCH(1,('Client Rate Cards'!B:B='2. Pricing &amp; Import'!$D$17)*('Client Rate Cards'!D:D='2. Pricing &amp; Import'!N85),0))),0))</f>
        <v>0</v>
      </c>
      <c r="CL85" s="350"/>
    </row>
    <row r="86" spans="3:90" ht="16.05" hidden="1" customHeight="1" outlineLevel="1" x14ac:dyDescent="0.3">
      <c r="C86" s="346"/>
      <c r="D86" s="495"/>
      <c r="E86" s="346"/>
      <c r="F86" s="346" t="str">
        <f>IFERROR(_xlfn.XLOOKUP(E86,'Standard Rate Cards'!$BB$11:$BB$23,'Standard Rate Cards'!$BA$11:$BA$23),"")</f>
        <v/>
      </c>
      <c r="G86" s="346"/>
      <c r="H86" s="346" t="str">
        <f>IFERROR(_xlfn.XLOOKUP(G86,'Standard Rate Cards'!$AP$8:$AP$142,'Standard Rate Cards'!$AQ$8:$AQ$142),"")</f>
        <v/>
      </c>
      <c r="I86" s="346"/>
      <c r="J86" s="346"/>
      <c r="K86" s="496"/>
      <c r="L86" s="496" t="str">
        <f t="shared" si="13"/>
        <v xml:space="preserve"> </v>
      </c>
      <c r="M86" s="496" t="str" cm="1">
        <f t="array" ref="M86">IF(ISBLANK(D86),"",IF(D86&lt;&gt;"CrederaUS",INDEX('Standard Rate Cards'!$D$9:$D$433,MATCH(1,('Standard Rate Cards'!$B$9:$B$433='2. Pricing &amp; Import'!D86)*('Standard Rate Cards'!$C$9:$C$433='2. Pricing &amp; Import'!K86),0)),INDEX('Standard Rate Cards'!$D$9:$D$433,MATCH(1,('Standard Rate Cards'!$B$9:$B$433='2. Pricing &amp; Import'!D86)*('Standard Rate Cards'!$C$9:$C$433='2. Pricing &amp; Import'!K86)*('Standard Rate Cards'!$H$9:$H$433=L86),0))))</f>
        <v/>
      </c>
      <c r="N86" s="347"/>
      <c r="O86" s="110" t="str">
        <f>IF(ISBLANK(K86)," ",_xlfn.XLOOKUP(K86,'Standard Rate Cards'!C:C,'Standard Rate Cards'!H:H))</f>
        <v xml:space="preserve"> </v>
      </c>
      <c r="P86" s="246" t="str">
        <f>IF(ISBLANK($K86)," ",_xlfn.XLOOKUP($K86,'Standard Rate Cards'!C:C,'Standard Rate Cards'!F:F))</f>
        <v xml:space="preserve"> </v>
      </c>
      <c r="Q86" s="348"/>
      <c r="R86" s="250"/>
      <c r="S86" s="680"/>
      <c r="T86" s="681"/>
      <c r="U86" s="1637"/>
      <c r="V86" s="1638"/>
      <c r="W86" s="681"/>
      <c r="X86" s="681" t="str">
        <f t="shared" si="17"/>
        <v/>
      </c>
      <c r="Y86" s="682" t="str">
        <f t="shared" si="18"/>
        <v/>
      </c>
      <c r="Z86" s="1630" t="s">
        <v>309</v>
      </c>
      <c r="AA86" s="1631"/>
      <c r="AB86" s="94"/>
      <c r="AC86" s="94"/>
      <c r="AD86" s="94"/>
      <c r="AE86" s="94"/>
      <c r="AF86" s="94"/>
      <c r="AG86" s="497" t="str">
        <f>IF($X$49="WEEKS","",IF($Z86="Manual Entry hrs/wk","",IF($X$49&gt;'FORMULA REFS'!A$1,$Z86,"")))</f>
        <v/>
      </c>
      <c r="AH86" s="497" t="str">
        <f>IF($X$49="WEEKS","",IF($Z86="Manual Entry hrs/wk","",IF($X$49&gt;'FORMULA REFS'!B$1,$Z86,"")))</f>
        <v/>
      </c>
      <c r="AI86" s="497" t="str">
        <f>IF($X$49="WEEKS","",IF($Z86="Manual Entry hrs/wk","",IF($X$49&gt;'FORMULA REFS'!C$1,$Z86,"")))</f>
        <v/>
      </c>
      <c r="AJ86" s="497" t="str">
        <f>IF($X$49="WEEKS","",IF($Z86="Manual Entry hrs/wk","",IF($X$49&gt;'FORMULA REFS'!D$1,$Z86,"")))</f>
        <v/>
      </c>
      <c r="AK86" s="497" t="str">
        <f>IF($X$49="WEEKS","",IF($Z86="Manual Entry hrs/wk","",IF($X$49&gt;'FORMULA REFS'!E$1,$Z86,"")))</f>
        <v/>
      </c>
      <c r="AL86" s="497" t="str">
        <f>IF($X$49="WEEKS","",IF($Z86="Manual Entry hrs/wk","",IF($X$49&gt;'FORMULA REFS'!F$1,$Z86,"")))</f>
        <v/>
      </c>
      <c r="AM86" s="497" t="str">
        <f>IF($X$49="WEEKS","",IF($Z86="Manual Entry hrs/wk","",IF($X$49&gt;'FORMULA REFS'!G$1,$Z86,"")))</f>
        <v/>
      </c>
      <c r="AN86" s="497" t="str">
        <f>IF($X$49="WEEKS","",IF($Z86="Manual Entry hrs/wk","",IF($X$49&gt;'FORMULA REFS'!H$1,$Z86,"")))</f>
        <v/>
      </c>
      <c r="AO86" s="497" t="str">
        <f>IF($X$49="WEEKS","",IF($Z86="Manual Entry hrs/wk","",IF($X$49&gt;'FORMULA REFS'!I$1,$Z86,"")))</f>
        <v/>
      </c>
      <c r="AP86" s="497" t="str">
        <f>IF($X$49="WEEKS","",IF($Z86="Manual Entry hrs/wk","",IF($X$49&gt;'FORMULA REFS'!J$1,$Z86,"")))</f>
        <v/>
      </c>
      <c r="AQ86" s="497" t="str">
        <f>IF($X$49="WEEKS","",IF($Z86="Manual Entry hrs/wk","",IF($X$49&gt;'FORMULA REFS'!K$1,$Z86,"")))</f>
        <v/>
      </c>
      <c r="AR86" s="497" t="str">
        <f>IF($X$49="WEEKS","",IF($Z86="Manual Entry hrs/wk","",IF($X$49&gt;'FORMULA REFS'!L$1,$Z86,"")))</f>
        <v/>
      </c>
      <c r="AS86" s="497" t="str">
        <f>IF($X$49="WEEKS","",IF($Z86="Manual Entry hrs/wk","",IF($X$49&gt;'FORMULA REFS'!M$1,$Z86,"")))</f>
        <v/>
      </c>
      <c r="AT86" s="497" t="str">
        <f>IF($X$49="WEEKS","",IF($Z86="Manual Entry hrs/wk","",IF($X$49&gt;'FORMULA REFS'!N$1,$Z86,"")))</f>
        <v/>
      </c>
      <c r="AU86" s="497" t="str">
        <f>IF($X$49="WEEKS","",IF($Z86="Manual Entry hrs/wk","",IF($X$49&gt;'FORMULA REFS'!O$1,$Z86,"")))</f>
        <v/>
      </c>
      <c r="AV86" s="497" t="str">
        <f>IF($X$49="WEEKS","",IF($Z86="Manual Entry hrs/wk","",IF($X$49&gt;'FORMULA REFS'!P$1,$Z86,"")))</f>
        <v/>
      </c>
      <c r="AW86" s="497" t="str">
        <f>IF($X$49="WEEKS","",IF($Z86="Manual Entry hrs/wk","",IF($X$49&gt;'FORMULA REFS'!Q$1,$Z86,"")))</f>
        <v/>
      </c>
      <c r="AX86" s="497" t="str">
        <f>IF($X$49="WEEKS","",IF($Z86="Manual Entry hrs/wk","",IF($X$49&gt;'FORMULA REFS'!R$1,$Z86,"")))</f>
        <v/>
      </c>
      <c r="AY86" s="497" t="str">
        <f>IF($X$49="WEEKS","",IF($Z86="Manual Entry hrs/wk","",IF($X$49&gt;'FORMULA REFS'!S$1,$Z86,"")))</f>
        <v/>
      </c>
      <c r="AZ86" s="497" t="str">
        <f>IF($X$49="WEEKS","",IF($Z86="Manual Entry hrs/wk","",IF($X$49&gt;'FORMULA REFS'!T$1,$Z86,"")))</f>
        <v/>
      </c>
      <c r="BA86" s="497" t="str">
        <f>IF($X$49="WEEKS","",IF($Z86="Manual Entry hrs/wk","",IF($X$49&gt;'FORMULA REFS'!U$1,$Z86,"")))</f>
        <v/>
      </c>
      <c r="BB86" s="497" t="str">
        <f>IF($X$49="WEEKS","",IF($Z86="Manual Entry hrs/wk","",IF($X$49&gt;'FORMULA REFS'!V$1,$Z86,"")))</f>
        <v/>
      </c>
      <c r="BC86" s="497" t="str">
        <f>IF($X$49="WEEKS","",IF($Z86="Manual Entry hrs/wk","",IF($X$49&gt;'FORMULA REFS'!W$1,$Z86,"")))</f>
        <v/>
      </c>
      <c r="BD86" s="497" t="str">
        <f>IF($X$49="WEEKS","",IF($Z86="Manual Entry hrs/wk","",IF($X$49&gt;'FORMULA REFS'!X$1,$Z86,"")))</f>
        <v/>
      </c>
      <c r="BE86" s="497" t="str">
        <f>IF($X$49="WEEKS","",IF($Z86="Manual Entry hrs/wk","",IF($X$49&gt;'FORMULA REFS'!Y$1,$Z86,"")))</f>
        <v/>
      </c>
      <c r="BF86" s="497" t="str">
        <f>IF($X$49="WEEKS","",IF($Z86="Manual Entry hrs/wk","",IF($X$49&gt;'FORMULA REFS'!Z$1,$Z86,"")))</f>
        <v/>
      </c>
      <c r="BG86" s="497" t="str">
        <f>IF($X$49="WEEKS","",IF($Z86="Manual Entry hrs/wk","",IF($X$49&gt;'FORMULA REFS'!AA$1,$Z86,"")))</f>
        <v/>
      </c>
      <c r="BH86" s="497" t="str">
        <f>IF($X$49="WEEKS","",IF($Z86="Manual Entry hrs/wk","",IF($X$49&gt;'FORMULA REFS'!AB$1,$Z86,"")))</f>
        <v/>
      </c>
      <c r="BI86" s="497" t="str">
        <f>IF($X$49="WEEKS","",IF($Z86="Manual Entry hrs/wk","",IF($X$49&gt;'FORMULA REFS'!AC$1,$Z86,"")))</f>
        <v/>
      </c>
      <c r="BJ86" s="497" t="str">
        <f>IF($X$49="WEEKS","",IF($Z86="Manual Entry hrs/wk","",IF($X$49&gt;'FORMULA REFS'!AD$1,$Z86,"")))</f>
        <v/>
      </c>
      <c r="BK86" s="497" t="str">
        <f>IF($X$49="WEEKS","",IF($Z86="Manual Entry hrs/wk","",IF($X$49&gt;'FORMULA REFS'!AE$1,$Z86,"")))</f>
        <v/>
      </c>
      <c r="BL86" s="497" t="str">
        <f>IF($X$49="WEEKS","",IF($Z86="Manual Entry hrs/wk","",IF($X$49&gt;'FORMULA REFS'!AF$1,$Z86,"")))</f>
        <v/>
      </c>
      <c r="BM86" s="497" t="str">
        <f>IF($X$49="WEEKS","",IF($Z86="Manual Entry hrs/wk","",IF($X$49&gt;'FORMULA REFS'!AG$1,$Z86,"")))</f>
        <v/>
      </c>
      <c r="BN86" s="497" t="str">
        <f>IF($X$49="WEEKS","",IF($Z86="Manual Entry hrs/wk","",IF($X$49&gt;'FORMULA REFS'!AH$1,$Z86,"")))</f>
        <v/>
      </c>
      <c r="BO86" s="497" t="str">
        <f>IF($X$49="WEEKS","",IF($Z86="Manual Entry hrs/wk","",IF($X$49&gt;'FORMULA REFS'!AI$1,$Z86,"")))</f>
        <v/>
      </c>
      <c r="BP86" s="497" t="str">
        <f>IF($X$49="WEEKS","",IF($Z86="Manual Entry hrs/wk","",IF($X$49&gt;'FORMULA REFS'!AJ$1,$Z86,"")))</f>
        <v/>
      </c>
      <c r="BQ86" s="497" t="str">
        <f>IF($X$49="WEEKS","",IF($Z86="Manual Entry hrs/wk","",IF($X$49&gt;'FORMULA REFS'!AK$1,$Z86,"")))</f>
        <v/>
      </c>
      <c r="BR86" s="497" t="str">
        <f>IF($X$49="WEEKS","",IF($Z86="Manual Entry hrs/wk","",IF($X$49&gt;'FORMULA REFS'!AL$1,$Z86,"")))</f>
        <v/>
      </c>
      <c r="BS86" s="497" t="str">
        <f>IF($X$49="WEEKS","",IF($Z86="Manual Entry hrs/wk","",IF($X$49&gt;'FORMULA REFS'!AM$1,$Z86,"")))</f>
        <v/>
      </c>
      <c r="BT86" s="497" t="str">
        <f>IF($X$49="WEEKS","",IF($Z86="Manual Entry hrs/wk","",IF($X$49&gt;'FORMULA REFS'!AN$1,$Z86,"")))</f>
        <v/>
      </c>
      <c r="BU86" s="497" t="str">
        <f>IF($X$49="WEEKS","",IF($Z86="Manual Entry hrs/wk","",IF($X$49&gt;'FORMULA REFS'!AO$1,$Z86,"")))</f>
        <v/>
      </c>
      <c r="BV86" s="497" t="str">
        <f>IF($X$49="WEEKS","",IF($Z86="Manual Entry hrs/wk","",IF($X$49&gt;'FORMULA REFS'!AP$1,$Z86,"")))</f>
        <v/>
      </c>
      <c r="BW86" s="497" t="str">
        <f>IF($X$49="WEEKS","",IF($Z86="Manual Entry hrs/wk","",IF($X$49&gt;'FORMULA REFS'!AQ$1,$Z86,"")))</f>
        <v/>
      </c>
      <c r="BX86" s="497" t="str">
        <f>IF($X$49="WEEKS","",IF($Z86="Manual Entry hrs/wk","",IF($X$49&gt;'FORMULA REFS'!AR$1,$Z86,"")))</f>
        <v/>
      </c>
      <c r="BY86" s="497" t="str">
        <f>IF($X$49="WEEKS","",IF($Z86="Manual Entry hrs/wk","",IF($X$49&gt;'FORMULA REFS'!AS$1,$Z86,"")))</f>
        <v/>
      </c>
      <c r="BZ86" s="497" t="str">
        <f>IF($X$49="WEEKS","",IF($Z86="Manual Entry hrs/wk","",IF($X$49&gt;'FORMULA REFS'!AT$1,$Z86,"")))</f>
        <v/>
      </c>
      <c r="CA86" s="497" t="str">
        <f>IF($X$49="WEEKS","",IF($Z86="Manual Entry hrs/wk","",IF($X$49&gt;'FORMULA REFS'!AU$1,$Z86,"")))</f>
        <v/>
      </c>
      <c r="CB86" s="497" t="str">
        <f>IF($X$49="WEEKS","",IF($Z86="Manual Entry hrs/wk","",IF($X$49&gt;'FORMULA REFS'!AV$1,$Z86,"")))</f>
        <v/>
      </c>
      <c r="CC86" s="497" t="str">
        <f>IF($X$49="WEEKS","",IF($Z86="Manual Entry hrs/wk","",IF($X$49&gt;'FORMULA REFS'!AW$1,$Z86,"")))</f>
        <v/>
      </c>
      <c r="CD86" s="497" t="str">
        <f>IF($X$49="WEEKS","",IF($Z86="Manual Entry hrs/wk","",IF($X$49&gt;'FORMULA REFS'!AX$1,$Z86,"")))</f>
        <v/>
      </c>
      <c r="CE86" s="497" t="str">
        <f>IF($X$49="WEEKS","",IF($Z86="Manual Entry hrs/wk","",IF($X$49&gt;'FORMULA REFS'!AY$1,$Z86,"")))</f>
        <v/>
      </c>
      <c r="CF86" s="497" t="str">
        <f>IF($X$49="WEEKS","",IF($Z86="Manual Entry hrs/wk","",IF($X$49&gt;'FORMULA REFS'!AZ$1,$Z86,"")))</f>
        <v/>
      </c>
      <c r="CG86" s="113"/>
      <c r="CH86" s="349" t="str">
        <f t="shared" si="19"/>
        <v/>
      </c>
      <c r="CI86" s="349">
        <f>IFERROR((_xlfn.XLOOKUP($M86,'Standard Rate Cards'!D:D,'Standard Rate Cards'!E:E))*Y86,0)</f>
        <v>0</v>
      </c>
      <c r="CJ86" s="349">
        <f>IF(CL86&lt;&gt;"","",IF($D$16="Select Type","Select Margin Class",IFERROR(IF($M86="",0,IF($D$16="Client Custom Rates",0,IF($D$16="Standard Rates",_xlfn.XLOOKUP($M86,'Standard Rate Cards'!$D:$D,'Standard Rate Cards'!G:G)))),0)))</f>
        <v>0</v>
      </c>
      <c r="CK86" s="349" cm="1">
        <f t="array" ref="CK86">IF(CL86&lt;&gt;"","",IFERROR(IF($D$16&lt;&gt;"Client Custom Rates",0,INDEX('Client Rate Cards'!E:E,MATCH(1,('Client Rate Cards'!B:B='2. Pricing &amp; Import'!$D$17)*('Client Rate Cards'!D:D='2. Pricing &amp; Import'!N86),0))),0))</f>
        <v>0</v>
      </c>
      <c r="CL86" s="350"/>
    </row>
    <row r="87" spans="3:90" ht="16.05" hidden="1" customHeight="1" outlineLevel="1" x14ac:dyDescent="0.3">
      <c r="C87" s="346"/>
      <c r="D87" s="495"/>
      <c r="E87" s="346"/>
      <c r="F87" s="346" t="str">
        <f>IFERROR(_xlfn.XLOOKUP(E87,'Standard Rate Cards'!$BB$11:$BB$23,'Standard Rate Cards'!$BA$11:$BA$23),"")</f>
        <v/>
      </c>
      <c r="G87" s="346"/>
      <c r="H87" s="346" t="str">
        <f>IFERROR(_xlfn.XLOOKUP(G87,'Standard Rate Cards'!$AP$8:$AP$142,'Standard Rate Cards'!$AQ$8:$AQ$142),"")</f>
        <v/>
      </c>
      <c r="I87" s="346"/>
      <c r="J87" s="346"/>
      <c r="K87" s="496"/>
      <c r="L87" s="496" t="str">
        <f t="shared" si="13"/>
        <v xml:space="preserve"> </v>
      </c>
      <c r="M87" s="496" t="str" cm="1">
        <f t="array" ref="M87">IF(ISBLANK(D87),"",IF(D87&lt;&gt;"CrederaUS",INDEX('Standard Rate Cards'!$D$9:$D$433,MATCH(1,('Standard Rate Cards'!$B$9:$B$433='2. Pricing &amp; Import'!D87)*('Standard Rate Cards'!$C$9:$C$433='2. Pricing &amp; Import'!K87),0)),INDEX('Standard Rate Cards'!$D$9:$D$433,MATCH(1,('Standard Rate Cards'!$B$9:$B$433='2. Pricing &amp; Import'!D87)*('Standard Rate Cards'!$C$9:$C$433='2. Pricing &amp; Import'!K87)*('Standard Rate Cards'!$H$9:$H$433=L87),0))))</f>
        <v/>
      </c>
      <c r="N87" s="347"/>
      <c r="O87" s="110" t="str">
        <f>IF(ISBLANK(K87)," ",_xlfn.XLOOKUP(K87,'Standard Rate Cards'!C:C,'Standard Rate Cards'!H:H))</f>
        <v xml:space="preserve"> </v>
      </c>
      <c r="P87" s="246" t="str">
        <f>IF(ISBLANK($K87)," ",_xlfn.XLOOKUP($K87,'Standard Rate Cards'!C:C,'Standard Rate Cards'!F:F))</f>
        <v xml:space="preserve"> </v>
      </c>
      <c r="Q87" s="348"/>
      <c r="R87" s="250"/>
      <c r="S87" s="680"/>
      <c r="T87" s="681"/>
      <c r="U87" s="1637"/>
      <c r="V87" s="1638"/>
      <c r="W87" s="681"/>
      <c r="X87" s="681" t="str">
        <f t="shared" si="17"/>
        <v/>
      </c>
      <c r="Y87" s="682" t="str">
        <f t="shared" si="18"/>
        <v/>
      </c>
      <c r="Z87" s="1630" t="s">
        <v>309</v>
      </c>
      <c r="AA87" s="1631"/>
      <c r="AB87" s="94"/>
      <c r="AC87" s="94"/>
      <c r="AD87" s="94"/>
      <c r="AE87" s="94"/>
      <c r="AF87" s="94"/>
      <c r="AG87" s="497" t="str">
        <f>IF($X$49="WEEKS","",IF($Z87="Manual Entry hrs/wk","",IF($X$49&gt;'FORMULA REFS'!A$1,$Z87,"")))</f>
        <v/>
      </c>
      <c r="AH87" s="497" t="str">
        <f>IF($X$49="WEEKS","",IF($Z87="Manual Entry hrs/wk","",IF($X$49&gt;'FORMULA REFS'!B$1,$Z87,"")))</f>
        <v/>
      </c>
      <c r="AI87" s="497" t="str">
        <f>IF($X$49="WEEKS","",IF($Z87="Manual Entry hrs/wk","",IF($X$49&gt;'FORMULA REFS'!C$1,$Z87,"")))</f>
        <v/>
      </c>
      <c r="AJ87" s="497" t="str">
        <f>IF($X$49="WEEKS","",IF($Z87="Manual Entry hrs/wk","",IF($X$49&gt;'FORMULA REFS'!D$1,$Z87,"")))</f>
        <v/>
      </c>
      <c r="AK87" s="497" t="str">
        <f>IF($X$49="WEEKS","",IF($Z87="Manual Entry hrs/wk","",IF($X$49&gt;'FORMULA REFS'!E$1,$Z87,"")))</f>
        <v/>
      </c>
      <c r="AL87" s="497" t="str">
        <f>IF($X$49="WEEKS","",IF($Z87="Manual Entry hrs/wk","",IF($X$49&gt;'FORMULA REFS'!F$1,$Z87,"")))</f>
        <v/>
      </c>
      <c r="AM87" s="497" t="str">
        <f>IF($X$49="WEEKS","",IF($Z87="Manual Entry hrs/wk","",IF($X$49&gt;'FORMULA REFS'!G$1,$Z87,"")))</f>
        <v/>
      </c>
      <c r="AN87" s="497" t="str">
        <f>IF($X$49="WEEKS","",IF($Z87="Manual Entry hrs/wk","",IF($X$49&gt;'FORMULA REFS'!H$1,$Z87,"")))</f>
        <v/>
      </c>
      <c r="AO87" s="497" t="str">
        <f>IF($X$49="WEEKS","",IF($Z87="Manual Entry hrs/wk","",IF($X$49&gt;'FORMULA REFS'!I$1,$Z87,"")))</f>
        <v/>
      </c>
      <c r="AP87" s="497" t="str">
        <f>IF($X$49="WEEKS","",IF($Z87="Manual Entry hrs/wk","",IF($X$49&gt;'FORMULA REFS'!J$1,$Z87,"")))</f>
        <v/>
      </c>
      <c r="AQ87" s="497" t="str">
        <f>IF($X$49="WEEKS","",IF($Z87="Manual Entry hrs/wk","",IF($X$49&gt;'FORMULA REFS'!K$1,$Z87,"")))</f>
        <v/>
      </c>
      <c r="AR87" s="497" t="str">
        <f>IF($X$49="WEEKS","",IF($Z87="Manual Entry hrs/wk","",IF($X$49&gt;'FORMULA REFS'!L$1,$Z87,"")))</f>
        <v/>
      </c>
      <c r="AS87" s="497" t="str">
        <f>IF($X$49="WEEKS","",IF($Z87="Manual Entry hrs/wk","",IF($X$49&gt;'FORMULA REFS'!M$1,$Z87,"")))</f>
        <v/>
      </c>
      <c r="AT87" s="497" t="str">
        <f>IF($X$49="WEEKS","",IF($Z87="Manual Entry hrs/wk","",IF($X$49&gt;'FORMULA REFS'!N$1,$Z87,"")))</f>
        <v/>
      </c>
      <c r="AU87" s="497" t="str">
        <f>IF($X$49="WEEKS","",IF($Z87="Manual Entry hrs/wk","",IF($X$49&gt;'FORMULA REFS'!O$1,$Z87,"")))</f>
        <v/>
      </c>
      <c r="AV87" s="497" t="str">
        <f>IF($X$49="WEEKS","",IF($Z87="Manual Entry hrs/wk","",IF($X$49&gt;'FORMULA REFS'!P$1,$Z87,"")))</f>
        <v/>
      </c>
      <c r="AW87" s="497" t="str">
        <f>IF($X$49="WEEKS","",IF($Z87="Manual Entry hrs/wk","",IF($X$49&gt;'FORMULA REFS'!Q$1,$Z87,"")))</f>
        <v/>
      </c>
      <c r="AX87" s="497" t="str">
        <f>IF($X$49="WEEKS","",IF($Z87="Manual Entry hrs/wk","",IF($X$49&gt;'FORMULA REFS'!R$1,$Z87,"")))</f>
        <v/>
      </c>
      <c r="AY87" s="497" t="str">
        <f>IF($X$49="WEEKS","",IF($Z87="Manual Entry hrs/wk","",IF($X$49&gt;'FORMULA REFS'!S$1,$Z87,"")))</f>
        <v/>
      </c>
      <c r="AZ87" s="497" t="str">
        <f>IF($X$49="WEEKS","",IF($Z87="Manual Entry hrs/wk","",IF($X$49&gt;'FORMULA REFS'!T$1,$Z87,"")))</f>
        <v/>
      </c>
      <c r="BA87" s="497" t="str">
        <f>IF($X$49="WEEKS","",IF($Z87="Manual Entry hrs/wk","",IF($X$49&gt;'FORMULA REFS'!U$1,$Z87,"")))</f>
        <v/>
      </c>
      <c r="BB87" s="497" t="str">
        <f>IF($X$49="WEEKS","",IF($Z87="Manual Entry hrs/wk","",IF($X$49&gt;'FORMULA REFS'!V$1,$Z87,"")))</f>
        <v/>
      </c>
      <c r="BC87" s="497" t="str">
        <f>IF($X$49="WEEKS","",IF($Z87="Manual Entry hrs/wk","",IF($X$49&gt;'FORMULA REFS'!W$1,$Z87,"")))</f>
        <v/>
      </c>
      <c r="BD87" s="497" t="str">
        <f>IF($X$49="WEEKS","",IF($Z87="Manual Entry hrs/wk","",IF($X$49&gt;'FORMULA REFS'!X$1,$Z87,"")))</f>
        <v/>
      </c>
      <c r="BE87" s="497" t="str">
        <f>IF($X$49="WEEKS","",IF($Z87="Manual Entry hrs/wk","",IF($X$49&gt;'FORMULA REFS'!Y$1,$Z87,"")))</f>
        <v/>
      </c>
      <c r="BF87" s="497" t="str">
        <f>IF($X$49="WEEKS","",IF($Z87="Manual Entry hrs/wk","",IF($X$49&gt;'FORMULA REFS'!Z$1,$Z87,"")))</f>
        <v/>
      </c>
      <c r="BG87" s="497" t="str">
        <f>IF($X$49="WEEKS","",IF($Z87="Manual Entry hrs/wk","",IF($X$49&gt;'FORMULA REFS'!AA$1,$Z87,"")))</f>
        <v/>
      </c>
      <c r="BH87" s="497" t="str">
        <f>IF($X$49="WEEKS","",IF($Z87="Manual Entry hrs/wk","",IF($X$49&gt;'FORMULA REFS'!AB$1,$Z87,"")))</f>
        <v/>
      </c>
      <c r="BI87" s="497" t="str">
        <f>IF($X$49="WEEKS","",IF($Z87="Manual Entry hrs/wk","",IF($X$49&gt;'FORMULA REFS'!AC$1,$Z87,"")))</f>
        <v/>
      </c>
      <c r="BJ87" s="497" t="str">
        <f>IF($X$49="WEEKS","",IF($Z87="Manual Entry hrs/wk","",IF($X$49&gt;'FORMULA REFS'!AD$1,$Z87,"")))</f>
        <v/>
      </c>
      <c r="BK87" s="497" t="str">
        <f>IF($X$49="WEEKS","",IF($Z87="Manual Entry hrs/wk","",IF($X$49&gt;'FORMULA REFS'!AE$1,$Z87,"")))</f>
        <v/>
      </c>
      <c r="BL87" s="497" t="str">
        <f>IF($X$49="WEEKS","",IF($Z87="Manual Entry hrs/wk","",IF($X$49&gt;'FORMULA REFS'!AF$1,$Z87,"")))</f>
        <v/>
      </c>
      <c r="BM87" s="497" t="str">
        <f>IF($X$49="WEEKS","",IF($Z87="Manual Entry hrs/wk","",IF($X$49&gt;'FORMULA REFS'!AG$1,$Z87,"")))</f>
        <v/>
      </c>
      <c r="BN87" s="497" t="str">
        <f>IF($X$49="WEEKS","",IF($Z87="Manual Entry hrs/wk","",IF($X$49&gt;'FORMULA REFS'!AH$1,$Z87,"")))</f>
        <v/>
      </c>
      <c r="BO87" s="497" t="str">
        <f>IF($X$49="WEEKS","",IF($Z87="Manual Entry hrs/wk","",IF($X$49&gt;'FORMULA REFS'!AI$1,$Z87,"")))</f>
        <v/>
      </c>
      <c r="BP87" s="497" t="str">
        <f>IF($X$49="WEEKS","",IF($Z87="Manual Entry hrs/wk","",IF($X$49&gt;'FORMULA REFS'!AJ$1,$Z87,"")))</f>
        <v/>
      </c>
      <c r="BQ87" s="497" t="str">
        <f>IF($X$49="WEEKS","",IF($Z87="Manual Entry hrs/wk","",IF($X$49&gt;'FORMULA REFS'!AK$1,$Z87,"")))</f>
        <v/>
      </c>
      <c r="BR87" s="497" t="str">
        <f>IF($X$49="WEEKS","",IF($Z87="Manual Entry hrs/wk","",IF($X$49&gt;'FORMULA REFS'!AL$1,$Z87,"")))</f>
        <v/>
      </c>
      <c r="BS87" s="497" t="str">
        <f>IF($X$49="WEEKS","",IF($Z87="Manual Entry hrs/wk","",IF($X$49&gt;'FORMULA REFS'!AM$1,$Z87,"")))</f>
        <v/>
      </c>
      <c r="BT87" s="497" t="str">
        <f>IF($X$49="WEEKS","",IF($Z87="Manual Entry hrs/wk","",IF($X$49&gt;'FORMULA REFS'!AN$1,$Z87,"")))</f>
        <v/>
      </c>
      <c r="BU87" s="497" t="str">
        <f>IF($X$49="WEEKS","",IF($Z87="Manual Entry hrs/wk","",IF($X$49&gt;'FORMULA REFS'!AO$1,$Z87,"")))</f>
        <v/>
      </c>
      <c r="BV87" s="497" t="str">
        <f>IF($X$49="WEEKS","",IF($Z87="Manual Entry hrs/wk","",IF($X$49&gt;'FORMULA REFS'!AP$1,$Z87,"")))</f>
        <v/>
      </c>
      <c r="BW87" s="497" t="str">
        <f>IF($X$49="WEEKS","",IF($Z87="Manual Entry hrs/wk","",IF($X$49&gt;'FORMULA REFS'!AQ$1,$Z87,"")))</f>
        <v/>
      </c>
      <c r="BX87" s="497" t="str">
        <f>IF($X$49="WEEKS","",IF($Z87="Manual Entry hrs/wk","",IF($X$49&gt;'FORMULA REFS'!AR$1,$Z87,"")))</f>
        <v/>
      </c>
      <c r="BY87" s="497" t="str">
        <f>IF($X$49="WEEKS","",IF($Z87="Manual Entry hrs/wk","",IF($X$49&gt;'FORMULA REFS'!AS$1,$Z87,"")))</f>
        <v/>
      </c>
      <c r="BZ87" s="497" t="str">
        <f>IF($X$49="WEEKS","",IF($Z87="Manual Entry hrs/wk","",IF($X$49&gt;'FORMULA REFS'!AT$1,$Z87,"")))</f>
        <v/>
      </c>
      <c r="CA87" s="497" t="str">
        <f>IF($X$49="WEEKS","",IF($Z87="Manual Entry hrs/wk","",IF($X$49&gt;'FORMULA REFS'!AU$1,$Z87,"")))</f>
        <v/>
      </c>
      <c r="CB87" s="497" t="str">
        <f>IF($X$49="WEEKS","",IF($Z87="Manual Entry hrs/wk","",IF($X$49&gt;'FORMULA REFS'!AV$1,$Z87,"")))</f>
        <v/>
      </c>
      <c r="CC87" s="497" t="str">
        <f>IF($X$49="WEEKS","",IF($Z87="Manual Entry hrs/wk","",IF($X$49&gt;'FORMULA REFS'!AW$1,$Z87,"")))</f>
        <v/>
      </c>
      <c r="CD87" s="497" t="str">
        <f>IF($X$49="WEEKS","",IF($Z87="Manual Entry hrs/wk","",IF($X$49&gt;'FORMULA REFS'!AX$1,$Z87,"")))</f>
        <v/>
      </c>
      <c r="CE87" s="497" t="str">
        <f>IF($X$49="WEEKS","",IF($Z87="Manual Entry hrs/wk","",IF($X$49&gt;'FORMULA REFS'!AY$1,$Z87,"")))</f>
        <v/>
      </c>
      <c r="CF87" s="497" t="str">
        <f>IF($X$49="WEEKS","",IF($Z87="Manual Entry hrs/wk","",IF($X$49&gt;'FORMULA REFS'!AZ$1,$Z87,"")))</f>
        <v/>
      </c>
      <c r="CG87" s="113"/>
      <c r="CH87" s="349" t="str">
        <f t="shared" si="19"/>
        <v/>
      </c>
      <c r="CI87" s="349">
        <f>IFERROR((_xlfn.XLOOKUP($M87,'Standard Rate Cards'!D:D,'Standard Rate Cards'!E:E))*Y87,0)</f>
        <v>0</v>
      </c>
      <c r="CJ87" s="349">
        <f>IF(CL87&lt;&gt;"","",IF($D$16="Select Type","Select Margin Class",IFERROR(IF($M87="",0,IF($D$16="Client Custom Rates",0,IF($D$16="Standard Rates",_xlfn.XLOOKUP($M87,'Standard Rate Cards'!$D:$D,'Standard Rate Cards'!G:G)))),0)))</f>
        <v>0</v>
      </c>
      <c r="CK87" s="349" cm="1">
        <f t="array" ref="CK87">IF(CL87&lt;&gt;"","",IFERROR(IF($D$16&lt;&gt;"Client Custom Rates",0,INDEX('Client Rate Cards'!E:E,MATCH(1,('Client Rate Cards'!B:B='2. Pricing &amp; Import'!$D$17)*('Client Rate Cards'!D:D='2. Pricing &amp; Import'!N87),0))),0))</f>
        <v>0</v>
      </c>
      <c r="CL87" s="350"/>
    </row>
    <row r="88" spans="3:90" ht="16.05" hidden="1" customHeight="1" outlineLevel="1" x14ac:dyDescent="0.3">
      <c r="C88" s="346"/>
      <c r="D88" s="495"/>
      <c r="E88" s="346"/>
      <c r="F88" s="346" t="str">
        <f>IFERROR(_xlfn.XLOOKUP(E88,'Standard Rate Cards'!$BB$11:$BB$23,'Standard Rate Cards'!$BA$11:$BA$23),"")</f>
        <v/>
      </c>
      <c r="G88" s="346"/>
      <c r="H88" s="346" t="str">
        <f>IFERROR(_xlfn.XLOOKUP(G88,'Standard Rate Cards'!$AP$8:$AP$142,'Standard Rate Cards'!$AQ$8:$AQ$142),"")</f>
        <v/>
      </c>
      <c r="I88" s="346"/>
      <c r="J88" s="346"/>
      <c r="K88" s="496"/>
      <c r="L88" s="496" t="str">
        <f t="shared" si="13"/>
        <v xml:space="preserve"> </v>
      </c>
      <c r="M88" s="496" t="str" cm="1">
        <f t="array" ref="M88">IF(ISBLANK(D88),"",IF(D88&lt;&gt;"CrederaUS",INDEX('Standard Rate Cards'!$D$9:$D$433,MATCH(1,('Standard Rate Cards'!$B$9:$B$433='2. Pricing &amp; Import'!D88)*('Standard Rate Cards'!$C$9:$C$433='2. Pricing &amp; Import'!K88),0)),INDEX('Standard Rate Cards'!$D$9:$D$433,MATCH(1,('Standard Rate Cards'!$B$9:$B$433='2. Pricing &amp; Import'!D88)*('Standard Rate Cards'!$C$9:$C$433='2. Pricing &amp; Import'!K88)*('Standard Rate Cards'!$H$9:$H$433=L88),0))))</f>
        <v/>
      </c>
      <c r="N88" s="347"/>
      <c r="O88" s="110" t="str">
        <f>IF(ISBLANK(K88)," ",_xlfn.XLOOKUP(K88,'Standard Rate Cards'!C:C,'Standard Rate Cards'!H:H))</f>
        <v xml:space="preserve"> </v>
      </c>
      <c r="P88" s="246" t="str">
        <f>IF(ISBLANK($K88)," ",_xlfn.XLOOKUP($K88,'Standard Rate Cards'!C:C,'Standard Rate Cards'!F:F))</f>
        <v xml:space="preserve"> </v>
      </c>
      <c r="Q88" s="348"/>
      <c r="R88" s="250"/>
      <c r="S88" s="680"/>
      <c r="T88" s="681"/>
      <c r="U88" s="1637"/>
      <c r="V88" s="1638"/>
      <c r="W88" s="681"/>
      <c r="X88" s="681" t="str">
        <f t="shared" si="17"/>
        <v/>
      </c>
      <c r="Y88" s="682" t="str">
        <f t="shared" si="18"/>
        <v/>
      </c>
      <c r="Z88" s="1630" t="s">
        <v>309</v>
      </c>
      <c r="AA88" s="1631"/>
      <c r="AB88" s="94"/>
      <c r="AC88" s="94"/>
      <c r="AD88" s="94"/>
      <c r="AE88" s="94"/>
      <c r="AF88" s="94"/>
      <c r="AG88" s="497" t="str">
        <f>IF($X$49="WEEKS","",IF($Z88="Manual Entry hrs/wk","",IF($X$49&gt;'FORMULA REFS'!A$1,$Z88,"")))</f>
        <v/>
      </c>
      <c r="AH88" s="497" t="str">
        <f>IF($X$49="WEEKS","",IF($Z88="Manual Entry hrs/wk","",IF($X$49&gt;'FORMULA REFS'!B$1,$Z88,"")))</f>
        <v/>
      </c>
      <c r="AI88" s="497" t="str">
        <f>IF($X$49="WEEKS","",IF($Z88="Manual Entry hrs/wk","",IF($X$49&gt;'FORMULA REFS'!C$1,$Z88,"")))</f>
        <v/>
      </c>
      <c r="AJ88" s="497" t="str">
        <f>IF($X$49="WEEKS","",IF($Z88="Manual Entry hrs/wk","",IF($X$49&gt;'FORMULA REFS'!D$1,$Z88,"")))</f>
        <v/>
      </c>
      <c r="AK88" s="497" t="str">
        <f>IF($X$49="WEEKS","",IF($Z88="Manual Entry hrs/wk","",IF($X$49&gt;'FORMULA REFS'!E$1,$Z88,"")))</f>
        <v/>
      </c>
      <c r="AL88" s="497" t="str">
        <f>IF($X$49="WEEKS","",IF($Z88="Manual Entry hrs/wk","",IF($X$49&gt;'FORMULA REFS'!F$1,$Z88,"")))</f>
        <v/>
      </c>
      <c r="AM88" s="497" t="str">
        <f>IF($X$49="WEEKS","",IF($Z88="Manual Entry hrs/wk","",IF($X$49&gt;'FORMULA REFS'!G$1,$Z88,"")))</f>
        <v/>
      </c>
      <c r="AN88" s="497" t="str">
        <f>IF($X$49="WEEKS","",IF($Z88="Manual Entry hrs/wk","",IF($X$49&gt;'FORMULA REFS'!H$1,$Z88,"")))</f>
        <v/>
      </c>
      <c r="AO88" s="497" t="str">
        <f>IF($X$49="WEEKS","",IF($Z88="Manual Entry hrs/wk","",IF($X$49&gt;'FORMULA REFS'!I$1,$Z88,"")))</f>
        <v/>
      </c>
      <c r="AP88" s="497" t="str">
        <f>IF($X$49="WEEKS","",IF($Z88="Manual Entry hrs/wk","",IF($X$49&gt;'FORMULA REFS'!J$1,$Z88,"")))</f>
        <v/>
      </c>
      <c r="AQ88" s="497" t="str">
        <f>IF($X$49="WEEKS","",IF($Z88="Manual Entry hrs/wk","",IF($X$49&gt;'FORMULA REFS'!K$1,$Z88,"")))</f>
        <v/>
      </c>
      <c r="AR88" s="497" t="str">
        <f>IF($X$49="WEEKS","",IF($Z88="Manual Entry hrs/wk","",IF($X$49&gt;'FORMULA REFS'!L$1,$Z88,"")))</f>
        <v/>
      </c>
      <c r="AS88" s="497" t="str">
        <f>IF($X$49="WEEKS","",IF($Z88="Manual Entry hrs/wk","",IF($X$49&gt;'FORMULA REFS'!M$1,$Z88,"")))</f>
        <v/>
      </c>
      <c r="AT88" s="497" t="str">
        <f>IF($X$49="WEEKS","",IF($Z88="Manual Entry hrs/wk","",IF($X$49&gt;'FORMULA REFS'!N$1,$Z88,"")))</f>
        <v/>
      </c>
      <c r="AU88" s="497" t="str">
        <f>IF($X$49="WEEKS","",IF($Z88="Manual Entry hrs/wk","",IF($X$49&gt;'FORMULA REFS'!O$1,$Z88,"")))</f>
        <v/>
      </c>
      <c r="AV88" s="497" t="str">
        <f>IF($X$49="WEEKS","",IF($Z88="Manual Entry hrs/wk","",IF($X$49&gt;'FORMULA REFS'!P$1,$Z88,"")))</f>
        <v/>
      </c>
      <c r="AW88" s="497" t="str">
        <f>IF($X$49="WEEKS","",IF($Z88="Manual Entry hrs/wk","",IF($X$49&gt;'FORMULA REFS'!Q$1,$Z88,"")))</f>
        <v/>
      </c>
      <c r="AX88" s="497" t="str">
        <f>IF($X$49="WEEKS","",IF($Z88="Manual Entry hrs/wk","",IF($X$49&gt;'FORMULA REFS'!R$1,$Z88,"")))</f>
        <v/>
      </c>
      <c r="AY88" s="497" t="str">
        <f>IF($X$49="WEEKS","",IF($Z88="Manual Entry hrs/wk","",IF($X$49&gt;'FORMULA REFS'!S$1,$Z88,"")))</f>
        <v/>
      </c>
      <c r="AZ88" s="497" t="str">
        <f>IF($X$49="WEEKS","",IF($Z88="Manual Entry hrs/wk","",IF($X$49&gt;'FORMULA REFS'!T$1,$Z88,"")))</f>
        <v/>
      </c>
      <c r="BA88" s="497" t="str">
        <f>IF($X$49="WEEKS","",IF($Z88="Manual Entry hrs/wk","",IF($X$49&gt;'FORMULA REFS'!U$1,$Z88,"")))</f>
        <v/>
      </c>
      <c r="BB88" s="497" t="str">
        <f>IF($X$49="WEEKS","",IF($Z88="Manual Entry hrs/wk","",IF($X$49&gt;'FORMULA REFS'!V$1,$Z88,"")))</f>
        <v/>
      </c>
      <c r="BC88" s="497" t="str">
        <f>IF($X$49="WEEKS","",IF($Z88="Manual Entry hrs/wk","",IF($X$49&gt;'FORMULA REFS'!W$1,$Z88,"")))</f>
        <v/>
      </c>
      <c r="BD88" s="497" t="str">
        <f>IF($X$49="WEEKS","",IF($Z88="Manual Entry hrs/wk","",IF($X$49&gt;'FORMULA REFS'!X$1,$Z88,"")))</f>
        <v/>
      </c>
      <c r="BE88" s="497" t="str">
        <f>IF($X$49="WEEKS","",IF($Z88="Manual Entry hrs/wk","",IF($X$49&gt;'FORMULA REFS'!Y$1,$Z88,"")))</f>
        <v/>
      </c>
      <c r="BF88" s="497" t="str">
        <f>IF($X$49="WEEKS","",IF($Z88="Manual Entry hrs/wk","",IF($X$49&gt;'FORMULA REFS'!Z$1,$Z88,"")))</f>
        <v/>
      </c>
      <c r="BG88" s="497" t="str">
        <f>IF($X$49="WEEKS","",IF($Z88="Manual Entry hrs/wk","",IF($X$49&gt;'FORMULA REFS'!AA$1,$Z88,"")))</f>
        <v/>
      </c>
      <c r="BH88" s="497" t="str">
        <f>IF($X$49="WEEKS","",IF($Z88="Manual Entry hrs/wk","",IF($X$49&gt;'FORMULA REFS'!AB$1,$Z88,"")))</f>
        <v/>
      </c>
      <c r="BI88" s="497" t="str">
        <f>IF($X$49="WEEKS","",IF($Z88="Manual Entry hrs/wk","",IF($X$49&gt;'FORMULA REFS'!AC$1,$Z88,"")))</f>
        <v/>
      </c>
      <c r="BJ88" s="497" t="str">
        <f>IF($X$49="WEEKS","",IF($Z88="Manual Entry hrs/wk","",IF($X$49&gt;'FORMULA REFS'!AD$1,$Z88,"")))</f>
        <v/>
      </c>
      <c r="BK88" s="497" t="str">
        <f>IF($X$49="WEEKS","",IF($Z88="Manual Entry hrs/wk","",IF($X$49&gt;'FORMULA REFS'!AE$1,$Z88,"")))</f>
        <v/>
      </c>
      <c r="BL88" s="497" t="str">
        <f>IF($X$49="WEEKS","",IF($Z88="Manual Entry hrs/wk","",IF($X$49&gt;'FORMULA REFS'!AF$1,$Z88,"")))</f>
        <v/>
      </c>
      <c r="BM88" s="497" t="str">
        <f>IF($X$49="WEEKS","",IF($Z88="Manual Entry hrs/wk","",IF($X$49&gt;'FORMULA REFS'!AG$1,$Z88,"")))</f>
        <v/>
      </c>
      <c r="BN88" s="497" t="str">
        <f>IF($X$49="WEEKS","",IF($Z88="Manual Entry hrs/wk","",IF($X$49&gt;'FORMULA REFS'!AH$1,$Z88,"")))</f>
        <v/>
      </c>
      <c r="BO88" s="497" t="str">
        <f>IF($X$49="WEEKS","",IF($Z88="Manual Entry hrs/wk","",IF($X$49&gt;'FORMULA REFS'!AI$1,$Z88,"")))</f>
        <v/>
      </c>
      <c r="BP88" s="497" t="str">
        <f>IF($X$49="WEEKS","",IF($Z88="Manual Entry hrs/wk","",IF($X$49&gt;'FORMULA REFS'!AJ$1,$Z88,"")))</f>
        <v/>
      </c>
      <c r="BQ88" s="497" t="str">
        <f>IF($X$49="WEEKS","",IF($Z88="Manual Entry hrs/wk","",IF($X$49&gt;'FORMULA REFS'!AK$1,$Z88,"")))</f>
        <v/>
      </c>
      <c r="BR88" s="497" t="str">
        <f>IF($X$49="WEEKS","",IF($Z88="Manual Entry hrs/wk","",IF($X$49&gt;'FORMULA REFS'!AL$1,$Z88,"")))</f>
        <v/>
      </c>
      <c r="BS88" s="497" t="str">
        <f>IF($X$49="WEEKS","",IF($Z88="Manual Entry hrs/wk","",IF($X$49&gt;'FORMULA REFS'!AM$1,$Z88,"")))</f>
        <v/>
      </c>
      <c r="BT88" s="497" t="str">
        <f>IF($X$49="WEEKS","",IF($Z88="Manual Entry hrs/wk","",IF($X$49&gt;'FORMULA REFS'!AN$1,$Z88,"")))</f>
        <v/>
      </c>
      <c r="BU88" s="497" t="str">
        <f>IF($X$49="WEEKS","",IF($Z88="Manual Entry hrs/wk","",IF($X$49&gt;'FORMULA REFS'!AO$1,$Z88,"")))</f>
        <v/>
      </c>
      <c r="BV88" s="497" t="str">
        <f>IF($X$49="WEEKS","",IF($Z88="Manual Entry hrs/wk","",IF($X$49&gt;'FORMULA REFS'!AP$1,$Z88,"")))</f>
        <v/>
      </c>
      <c r="BW88" s="497" t="str">
        <f>IF($X$49="WEEKS","",IF($Z88="Manual Entry hrs/wk","",IF($X$49&gt;'FORMULA REFS'!AQ$1,$Z88,"")))</f>
        <v/>
      </c>
      <c r="BX88" s="497" t="str">
        <f>IF($X$49="WEEKS","",IF($Z88="Manual Entry hrs/wk","",IF($X$49&gt;'FORMULA REFS'!AR$1,$Z88,"")))</f>
        <v/>
      </c>
      <c r="BY88" s="497" t="str">
        <f>IF($X$49="WEEKS","",IF($Z88="Manual Entry hrs/wk","",IF($X$49&gt;'FORMULA REFS'!AS$1,$Z88,"")))</f>
        <v/>
      </c>
      <c r="BZ88" s="497" t="str">
        <f>IF($X$49="WEEKS","",IF($Z88="Manual Entry hrs/wk","",IF($X$49&gt;'FORMULA REFS'!AT$1,$Z88,"")))</f>
        <v/>
      </c>
      <c r="CA88" s="497" t="str">
        <f>IF($X$49="WEEKS","",IF($Z88="Manual Entry hrs/wk","",IF($X$49&gt;'FORMULA REFS'!AU$1,$Z88,"")))</f>
        <v/>
      </c>
      <c r="CB88" s="497" t="str">
        <f>IF($X$49="WEEKS","",IF($Z88="Manual Entry hrs/wk","",IF($X$49&gt;'FORMULA REFS'!AV$1,$Z88,"")))</f>
        <v/>
      </c>
      <c r="CC88" s="497" t="str">
        <f>IF($X$49="WEEKS","",IF($Z88="Manual Entry hrs/wk","",IF($X$49&gt;'FORMULA REFS'!AW$1,$Z88,"")))</f>
        <v/>
      </c>
      <c r="CD88" s="497" t="str">
        <f>IF($X$49="WEEKS","",IF($Z88="Manual Entry hrs/wk","",IF($X$49&gt;'FORMULA REFS'!AX$1,$Z88,"")))</f>
        <v/>
      </c>
      <c r="CE88" s="497" t="str">
        <f>IF($X$49="WEEKS","",IF($Z88="Manual Entry hrs/wk","",IF($X$49&gt;'FORMULA REFS'!AY$1,$Z88,"")))</f>
        <v/>
      </c>
      <c r="CF88" s="497" t="str">
        <f>IF($X$49="WEEKS","",IF($Z88="Manual Entry hrs/wk","",IF($X$49&gt;'FORMULA REFS'!AZ$1,$Z88,"")))</f>
        <v/>
      </c>
      <c r="CG88" s="113"/>
      <c r="CH88" s="349" t="str">
        <f t="shared" si="19"/>
        <v/>
      </c>
      <c r="CI88" s="349">
        <f>IFERROR((_xlfn.XLOOKUP($M88,'Standard Rate Cards'!D:D,'Standard Rate Cards'!E:E))*Y88,0)</f>
        <v>0</v>
      </c>
      <c r="CJ88" s="349">
        <f>IF(CL88&lt;&gt;"","",IF($D$16="Select Type","Select Margin Class",IFERROR(IF($M88="",0,IF($D$16="Client Custom Rates",0,IF($D$16="Standard Rates",_xlfn.XLOOKUP($M88,'Standard Rate Cards'!$D:$D,'Standard Rate Cards'!G:G)))),0)))</f>
        <v>0</v>
      </c>
      <c r="CK88" s="349" cm="1">
        <f t="array" ref="CK88">IF(CL88&lt;&gt;"","",IFERROR(IF($D$16&lt;&gt;"Client Custom Rates",0,INDEX('Client Rate Cards'!E:E,MATCH(1,('Client Rate Cards'!B:B='2. Pricing &amp; Import'!$D$17)*('Client Rate Cards'!D:D='2. Pricing &amp; Import'!N88),0))),0))</f>
        <v>0</v>
      </c>
      <c r="CL88" s="350"/>
    </row>
    <row r="89" spans="3:90" ht="16.05" hidden="1" customHeight="1" outlineLevel="1" x14ac:dyDescent="0.3">
      <c r="C89" s="346"/>
      <c r="D89" s="495"/>
      <c r="E89" s="346"/>
      <c r="F89" s="346" t="str">
        <f>IFERROR(_xlfn.XLOOKUP(E89,'Standard Rate Cards'!$BB$11:$BB$23,'Standard Rate Cards'!$BA$11:$BA$23),"")</f>
        <v/>
      </c>
      <c r="G89" s="346"/>
      <c r="H89" s="346" t="str">
        <f>IFERROR(_xlfn.XLOOKUP(G89,'Standard Rate Cards'!$AP$8:$AP$142,'Standard Rate Cards'!$AQ$8:$AQ$142),"")</f>
        <v/>
      </c>
      <c r="I89" s="346"/>
      <c r="J89" s="346"/>
      <c r="K89" s="496"/>
      <c r="L89" s="496" t="str">
        <f t="shared" si="13"/>
        <v xml:space="preserve"> </v>
      </c>
      <c r="M89" s="496" t="str" cm="1">
        <f t="array" ref="M89">IF(ISBLANK(D89),"",IF(D89&lt;&gt;"CrederaUS",INDEX('Standard Rate Cards'!$D$9:$D$433,MATCH(1,('Standard Rate Cards'!$B$9:$B$433='2. Pricing &amp; Import'!D89)*('Standard Rate Cards'!$C$9:$C$433='2. Pricing &amp; Import'!K89),0)),INDEX('Standard Rate Cards'!$D$9:$D$433,MATCH(1,('Standard Rate Cards'!$B$9:$B$433='2. Pricing &amp; Import'!D89)*('Standard Rate Cards'!$C$9:$C$433='2. Pricing &amp; Import'!K89)*('Standard Rate Cards'!$H$9:$H$433=L89),0))))</f>
        <v/>
      </c>
      <c r="N89" s="347"/>
      <c r="O89" s="110" t="str">
        <f>IF(ISBLANK(K89)," ",_xlfn.XLOOKUP(K89,'Standard Rate Cards'!C:C,'Standard Rate Cards'!H:H))</f>
        <v xml:space="preserve"> </v>
      </c>
      <c r="P89" s="246" t="str">
        <f>IF(ISBLANK($K89)," ",_xlfn.XLOOKUP($K89,'Standard Rate Cards'!C:C,'Standard Rate Cards'!F:F))</f>
        <v xml:space="preserve"> </v>
      </c>
      <c r="Q89" s="348"/>
      <c r="R89" s="250"/>
      <c r="S89" s="680"/>
      <c r="T89" s="681"/>
      <c r="U89" s="1637"/>
      <c r="V89" s="1638"/>
      <c r="W89" s="681"/>
      <c r="X89" s="681" t="str">
        <f t="shared" si="17"/>
        <v/>
      </c>
      <c r="Y89" s="682" t="str">
        <f t="shared" si="18"/>
        <v/>
      </c>
      <c r="Z89" s="1630" t="s">
        <v>309</v>
      </c>
      <c r="AA89" s="1631"/>
      <c r="AB89" s="94"/>
      <c r="AC89" s="94"/>
      <c r="AD89" s="94"/>
      <c r="AE89" s="94"/>
      <c r="AF89" s="94"/>
      <c r="AG89" s="497" t="str">
        <f>IF($X$49="WEEKS","",IF($Z89="Manual Entry hrs/wk","",IF($X$49&gt;'FORMULA REFS'!A$1,$Z89,"")))</f>
        <v/>
      </c>
      <c r="AH89" s="497" t="str">
        <f>IF($X$49="WEEKS","",IF($Z89="Manual Entry hrs/wk","",IF($X$49&gt;'FORMULA REFS'!B$1,$Z89,"")))</f>
        <v/>
      </c>
      <c r="AI89" s="497" t="str">
        <f>IF($X$49="WEEKS","",IF($Z89="Manual Entry hrs/wk","",IF($X$49&gt;'FORMULA REFS'!C$1,$Z89,"")))</f>
        <v/>
      </c>
      <c r="AJ89" s="497" t="str">
        <f>IF($X$49="WEEKS","",IF($Z89="Manual Entry hrs/wk","",IF($X$49&gt;'FORMULA REFS'!D$1,$Z89,"")))</f>
        <v/>
      </c>
      <c r="AK89" s="497" t="str">
        <f>IF($X$49="WEEKS","",IF($Z89="Manual Entry hrs/wk","",IF($X$49&gt;'FORMULA REFS'!E$1,$Z89,"")))</f>
        <v/>
      </c>
      <c r="AL89" s="497" t="str">
        <f>IF($X$49="WEEKS","",IF($Z89="Manual Entry hrs/wk","",IF($X$49&gt;'FORMULA REFS'!F$1,$Z89,"")))</f>
        <v/>
      </c>
      <c r="AM89" s="497" t="str">
        <f>IF($X$49="WEEKS","",IF($Z89="Manual Entry hrs/wk","",IF($X$49&gt;'FORMULA REFS'!G$1,$Z89,"")))</f>
        <v/>
      </c>
      <c r="AN89" s="497" t="str">
        <f>IF($X$49="WEEKS","",IF($Z89="Manual Entry hrs/wk","",IF($X$49&gt;'FORMULA REFS'!H$1,$Z89,"")))</f>
        <v/>
      </c>
      <c r="AO89" s="497" t="str">
        <f>IF($X$49="WEEKS","",IF($Z89="Manual Entry hrs/wk","",IF($X$49&gt;'FORMULA REFS'!I$1,$Z89,"")))</f>
        <v/>
      </c>
      <c r="AP89" s="497" t="str">
        <f>IF($X$49="WEEKS","",IF($Z89="Manual Entry hrs/wk","",IF($X$49&gt;'FORMULA REFS'!J$1,$Z89,"")))</f>
        <v/>
      </c>
      <c r="AQ89" s="497" t="str">
        <f>IF($X$49="WEEKS","",IF($Z89="Manual Entry hrs/wk","",IF($X$49&gt;'FORMULA REFS'!K$1,$Z89,"")))</f>
        <v/>
      </c>
      <c r="AR89" s="497" t="str">
        <f>IF($X$49="WEEKS","",IF($Z89="Manual Entry hrs/wk","",IF($X$49&gt;'FORMULA REFS'!L$1,$Z89,"")))</f>
        <v/>
      </c>
      <c r="AS89" s="497" t="str">
        <f>IF($X$49="WEEKS","",IF($Z89="Manual Entry hrs/wk","",IF($X$49&gt;'FORMULA REFS'!M$1,$Z89,"")))</f>
        <v/>
      </c>
      <c r="AT89" s="497" t="str">
        <f>IF($X$49="WEEKS","",IF($Z89="Manual Entry hrs/wk","",IF($X$49&gt;'FORMULA REFS'!N$1,$Z89,"")))</f>
        <v/>
      </c>
      <c r="AU89" s="497" t="str">
        <f>IF($X$49="WEEKS","",IF($Z89="Manual Entry hrs/wk","",IF($X$49&gt;'FORMULA REFS'!O$1,$Z89,"")))</f>
        <v/>
      </c>
      <c r="AV89" s="497" t="str">
        <f>IF($X$49="WEEKS","",IF($Z89="Manual Entry hrs/wk","",IF($X$49&gt;'FORMULA REFS'!P$1,$Z89,"")))</f>
        <v/>
      </c>
      <c r="AW89" s="497" t="str">
        <f>IF($X$49="WEEKS","",IF($Z89="Manual Entry hrs/wk","",IF($X$49&gt;'FORMULA REFS'!Q$1,$Z89,"")))</f>
        <v/>
      </c>
      <c r="AX89" s="497" t="str">
        <f>IF($X$49="WEEKS","",IF($Z89="Manual Entry hrs/wk","",IF($X$49&gt;'FORMULA REFS'!R$1,$Z89,"")))</f>
        <v/>
      </c>
      <c r="AY89" s="497" t="str">
        <f>IF($X$49="WEEKS","",IF($Z89="Manual Entry hrs/wk","",IF($X$49&gt;'FORMULA REFS'!S$1,$Z89,"")))</f>
        <v/>
      </c>
      <c r="AZ89" s="497" t="str">
        <f>IF($X$49="WEEKS","",IF($Z89="Manual Entry hrs/wk","",IF($X$49&gt;'FORMULA REFS'!T$1,$Z89,"")))</f>
        <v/>
      </c>
      <c r="BA89" s="497" t="str">
        <f>IF($X$49="WEEKS","",IF($Z89="Manual Entry hrs/wk","",IF($X$49&gt;'FORMULA REFS'!U$1,$Z89,"")))</f>
        <v/>
      </c>
      <c r="BB89" s="497" t="str">
        <f>IF($X$49="WEEKS","",IF($Z89="Manual Entry hrs/wk","",IF($X$49&gt;'FORMULA REFS'!V$1,$Z89,"")))</f>
        <v/>
      </c>
      <c r="BC89" s="497" t="str">
        <f>IF($X$49="WEEKS","",IF($Z89="Manual Entry hrs/wk","",IF($X$49&gt;'FORMULA REFS'!W$1,$Z89,"")))</f>
        <v/>
      </c>
      <c r="BD89" s="497" t="str">
        <f>IF($X$49="WEEKS","",IF($Z89="Manual Entry hrs/wk","",IF($X$49&gt;'FORMULA REFS'!X$1,$Z89,"")))</f>
        <v/>
      </c>
      <c r="BE89" s="497" t="str">
        <f>IF($X$49="WEEKS","",IF($Z89="Manual Entry hrs/wk","",IF($X$49&gt;'FORMULA REFS'!Y$1,$Z89,"")))</f>
        <v/>
      </c>
      <c r="BF89" s="497" t="str">
        <f>IF($X$49="WEEKS","",IF($Z89="Manual Entry hrs/wk","",IF($X$49&gt;'FORMULA REFS'!Z$1,$Z89,"")))</f>
        <v/>
      </c>
      <c r="BG89" s="497" t="str">
        <f>IF($X$49="WEEKS","",IF($Z89="Manual Entry hrs/wk","",IF($X$49&gt;'FORMULA REFS'!AA$1,$Z89,"")))</f>
        <v/>
      </c>
      <c r="BH89" s="497" t="str">
        <f>IF($X$49="WEEKS","",IF($Z89="Manual Entry hrs/wk","",IF($X$49&gt;'FORMULA REFS'!AB$1,$Z89,"")))</f>
        <v/>
      </c>
      <c r="BI89" s="497" t="str">
        <f>IF($X$49="WEEKS","",IF($Z89="Manual Entry hrs/wk","",IF($X$49&gt;'FORMULA REFS'!AC$1,$Z89,"")))</f>
        <v/>
      </c>
      <c r="BJ89" s="497" t="str">
        <f>IF($X$49="WEEKS","",IF($Z89="Manual Entry hrs/wk","",IF($X$49&gt;'FORMULA REFS'!AD$1,$Z89,"")))</f>
        <v/>
      </c>
      <c r="BK89" s="497" t="str">
        <f>IF($X$49="WEEKS","",IF($Z89="Manual Entry hrs/wk","",IF($X$49&gt;'FORMULA REFS'!AE$1,$Z89,"")))</f>
        <v/>
      </c>
      <c r="BL89" s="497" t="str">
        <f>IF($X$49="WEEKS","",IF($Z89="Manual Entry hrs/wk","",IF($X$49&gt;'FORMULA REFS'!AF$1,$Z89,"")))</f>
        <v/>
      </c>
      <c r="BM89" s="497" t="str">
        <f>IF($X$49="WEEKS","",IF($Z89="Manual Entry hrs/wk","",IF($X$49&gt;'FORMULA REFS'!AG$1,$Z89,"")))</f>
        <v/>
      </c>
      <c r="BN89" s="497" t="str">
        <f>IF($X$49="WEEKS","",IF($Z89="Manual Entry hrs/wk","",IF($X$49&gt;'FORMULA REFS'!AH$1,$Z89,"")))</f>
        <v/>
      </c>
      <c r="BO89" s="497" t="str">
        <f>IF($X$49="WEEKS","",IF($Z89="Manual Entry hrs/wk","",IF($X$49&gt;'FORMULA REFS'!AI$1,$Z89,"")))</f>
        <v/>
      </c>
      <c r="BP89" s="497" t="str">
        <f>IF($X$49="WEEKS","",IF($Z89="Manual Entry hrs/wk","",IF($X$49&gt;'FORMULA REFS'!AJ$1,$Z89,"")))</f>
        <v/>
      </c>
      <c r="BQ89" s="497" t="str">
        <f>IF($X$49="WEEKS","",IF($Z89="Manual Entry hrs/wk","",IF($X$49&gt;'FORMULA REFS'!AK$1,$Z89,"")))</f>
        <v/>
      </c>
      <c r="BR89" s="497" t="str">
        <f>IF($X$49="WEEKS","",IF($Z89="Manual Entry hrs/wk","",IF($X$49&gt;'FORMULA REFS'!AL$1,$Z89,"")))</f>
        <v/>
      </c>
      <c r="BS89" s="497" t="str">
        <f>IF($X$49="WEEKS","",IF($Z89="Manual Entry hrs/wk","",IF($X$49&gt;'FORMULA REFS'!AM$1,$Z89,"")))</f>
        <v/>
      </c>
      <c r="BT89" s="497" t="str">
        <f>IF($X$49="WEEKS","",IF($Z89="Manual Entry hrs/wk","",IF($X$49&gt;'FORMULA REFS'!AN$1,$Z89,"")))</f>
        <v/>
      </c>
      <c r="BU89" s="497" t="str">
        <f>IF($X$49="WEEKS","",IF($Z89="Manual Entry hrs/wk","",IF($X$49&gt;'FORMULA REFS'!AO$1,$Z89,"")))</f>
        <v/>
      </c>
      <c r="BV89" s="497" t="str">
        <f>IF($X$49="WEEKS","",IF($Z89="Manual Entry hrs/wk","",IF($X$49&gt;'FORMULA REFS'!AP$1,$Z89,"")))</f>
        <v/>
      </c>
      <c r="BW89" s="497" t="str">
        <f>IF($X$49="WEEKS","",IF($Z89="Manual Entry hrs/wk","",IF($X$49&gt;'FORMULA REFS'!AQ$1,$Z89,"")))</f>
        <v/>
      </c>
      <c r="BX89" s="497" t="str">
        <f>IF($X$49="WEEKS","",IF($Z89="Manual Entry hrs/wk","",IF($X$49&gt;'FORMULA REFS'!AR$1,$Z89,"")))</f>
        <v/>
      </c>
      <c r="BY89" s="497" t="str">
        <f>IF($X$49="WEEKS","",IF($Z89="Manual Entry hrs/wk","",IF($X$49&gt;'FORMULA REFS'!AS$1,$Z89,"")))</f>
        <v/>
      </c>
      <c r="BZ89" s="497" t="str">
        <f>IF($X$49="WEEKS","",IF($Z89="Manual Entry hrs/wk","",IF($X$49&gt;'FORMULA REFS'!AT$1,$Z89,"")))</f>
        <v/>
      </c>
      <c r="CA89" s="497" t="str">
        <f>IF($X$49="WEEKS","",IF($Z89="Manual Entry hrs/wk","",IF($X$49&gt;'FORMULA REFS'!AU$1,$Z89,"")))</f>
        <v/>
      </c>
      <c r="CB89" s="497" t="str">
        <f>IF($X$49="WEEKS","",IF($Z89="Manual Entry hrs/wk","",IF($X$49&gt;'FORMULA REFS'!AV$1,$Z89,"")))</f>
        <v/>
      </c>
      <c r="CC89" s="497" t="str">
        <f>IF($X$49="WEEKS","",IF($Z89="Manual Entry hrs/wk","",IF($X$49&gt;'FORMULA REFS'!AW$1,$Z89,"")))</f>
        <v/>
      </c>
      <c r="CD89" s="497" t="str">
        <f>IF($X$49="WEEKS","",IF($Z89="Manual Entry hrs/wk","",IF($X$49&gt;'FORMULA REFS'!AX$1,$Z89,"")))</f>
        <v/>
      </c>
      <c r="CE89" s="497" t="str">
        <f>IF($X$49="WEEKS","",IF($Z89="Manual Entry hrs/wk","",IF($X$49&gt;'FORMULA REFS'!AY$1,$Z89,"")))</f>
        <v/>
      </c>
      <c r="CF89" s="497" t="str">
        <f>IF($X$49="WEEKS","",IF($Z89="Manual Entry hrs/wk","",IF($X$49&gt;'FORMULA REFS'!AZ$1,$Z89,"")))</f>
        <v/>
      </c>
      <c r="CG89" s="113"/>
      <c r="CH89" s="349" t="str">
        <f t="shared" si="19"/>
        <v/>
      </c>
      <c r="CI89" s="349">
        <f>IFERROR((_xlfn.XLOOKUP($M89,'Standard Rate Cards'!D:D,'Standard Rate Cards'!E:E))*Y89,0)</f>
        <v>0</v>
      </c>
      <c r="CJ89" s="349">
        <f>IF(CL89&lt;&gt;"","",IF($D$16="Select Type","Select Margin Class",IFERROR(IF($M89="",0,IF($D$16="Client Custom Rates",0,IF($D$16="Standard Rates",_xlfn.XLOOKUP($M89,'Standard Rate Cards'!$D:$D,'Standard Rate Cards'!G:G)))),0)))</f>
        <v>0</v>
      </c>
      <c r="CK89" s="349" cm="1">
        <f t="array" ref="CK89">IF(CL89&lt;&gt;"","",IFERROR(IF($D$16&lt;&gt;"Client Custom Rates",0,INDEX('Client Rate Cards'!E:E,MATCH(1,('Client Rate Cards'!B:B='2. Pricing &amp; Import'!$D$17)*('Client Rate Cards'!D:D='2. Pricing &amp; Import'!N89),0))),0))</f>
        <v>0</v>
      </c>
      <c r="CL89" s="350"/>
    </row>
    <row r="90" spans="3:90" ht="16.05" hidden="1" customHeight="1" outlineLevel="1" x14ac:dyDescent="0.3">
      <c r="C90" s="346"/>
      <c r="D90" s="495"/>
      <c r="E90" s="346"/>
      <c r="F90" s="346" t="str">
        <f>IFERROR(_xlfn.XLOOKUP(E90,'Standard Rate Cards'!$BB$11:$BB$23,'Standard Rate Cards'!$BA$11:$BA$23),"")</f>
        <v/>
      </c>
      <c r="G90" s="346"/>
      <c r="H90" s="346" t="str">
        <f>IFERROR(_xlfn.XLOOKUP(G90,'Standard Rate Cards'!$AP$8:$AP$142,'Standard Rate Cards'!$AQ$8:$AQ$142),"")</f>
        <v/>
      </c>
      <c r="I90" s="346"/>
      <c r="J90" s="346"/>
      <c r="K90" s="496"/>
      <c r="L90" s="496" t="str">
        <f t="shared" si="13"/>
        <v xml:space="preserve"> </v>
      </c>
      <c r="M90" s="496" t="str" cm="1">
        <f t="array" ref="M90">IF(ISBLANK(D90),"",IF(D90&lt;&gt;"CrederaUS",INDEX('Standard Rate Cards'!$D$9:$D$433,MATCH(1,('Standard Rate Cards'!$B$9:$B$433='2. Pricing &amp; Import'!D90)*('Standard Rate Cards'!$C$9:$C$433='2. Pricing &amp; Import'!K90),0)),INDEX('Standard Rate Cards'!$D$9:$D$433,MATCH(1,('Standard Rate Cards'!$B$9:$B$433='2. Pricing &amp; Import'!D90)*('Standard Rate Cards'!$C$9:$C$433='2. Pricing &amp; Import'!K90)*('Standard Rate Cards'!$H$9:$H$433=L90),0))))</f>
        <v/>
      </c>
      <c r="N90" s="347"/>
      <c r="O90" s="110" t="str">
        <f>IF(ISBLANK(K90)," ",_xlfn.XLOOKUP(K90,'Standard Rate Cards'!C:C,'Standard Rate Cards'!H:H))</f>
        <v xml:space="preserve"> </v>
      </c>
      <c r="P90" s="246" t="str">
        <f>IF(ISBLANK($K90)," ",_xlfn.XLOOKUP($K90,'Standard Rate Cards'!C:C,'Standard Rate Cards'!F:F))</f>
        <v xml:space="preserve"> </v>
      </c>
      <c r="Q90" s="348"/>
      <c r="R90" s="250"/>
      <c r="S90" s="680"/>
      <c r="T90" s="681"/>
      <c r="U90" s="1637"/>
      <c r="V90" s="1638"/>
      <c r="W90" s="681"/>
      <c r="X90" s="681" t="str">
        <f t="shared" si="17"/>
        <v/>
      </c>
      <c r="Y90" s="682" t="str">
        <f t="shared" si="18"/>
        <v/>
      </c>
      <c r="Z90" s="1630" t="s">
        <v>309</v>
      </c>
      <c r="AA90" s="1631"/>
      <c r="AB90" s="94"/>
      <c r="AC90" s="94"/>
      <c r="AD90" s="94"/>
      <c r="AE90" s="94"/>
      <c r="AF90" s="94"/>
      <c r="AG90" s="497" t="str">
        <f>IF($X$49="WEEKS","",IF($Z90="Manual Entry hrs/wk","",IF($X$49&gt;'FORMULA REFS'!A$1,$Z90,"")))</f>
        <v/>
      </c>
      <c r="AH90" s="497" t="str">
        <f>IF($X$49="WEEKS","",IF($Z90="Manual Entry hrs/wk","",IF($X$49&gt;'FORMULA REFS'!B$1,$Z90,"")))</f>
        <v/>
      </c>
      <c r="AI90" s="497" t="str">
        <f>IF($X$49="WEEKS","",IF($Z90="Manual Entry hrs/wk","",IF($X$49&gt;'FORMULA REFS'!C$1,$Z90,"")))</f>
        <v/>
      </c>
      <c r="AJ90" s="497" t="str">
        <f>IF($X$49="WEEKS","",IF($Z90="Manual Entry hrs/wk","",IF($X$49&gt;'FORMULA REFS'!D$1,$Z90,"")))</f>
        <v/>
      </c>
      <c r="AK90" s="497" t="str">
        <f>IF($X$49="WEEKS","",IF($Z90="Manual Entry hrs/wk","",IF($X$49&gt;'FORMULA REFS'!E$1,$Z90,"")))</f>
        <v/>
      </c>
      <c r="AL90" s="497" t="str">
        <f>IF($X$49="WEEKS","",IF($Z90="Manual Entry hrs/wk","",IF($X$49&gt;'FORMULA REFS'!F$1,$Z90,"")))</f>
        <v/>
      </c>
      <c r="AM90" s="497" t="str">
        <f>IF($X$49="WEEKS","",IF($Z90="Manual Entry hrs/wk","",IF($X$49&gt;'FORMULA REFS'!G$1,$Z90,"")))</f>
        <v/>
      </c>
      <c r="AN90" s="497" t="str">
        <f>IF($X$49="WEEKS","",IF($Z90="Manual Entry hrs/wk","",IF($X$49&gt;'FORMULA REFS'!H$1,$Z90,"")))</f>
        <v/>
      </c>
      <c r="AO90" s="497" t="str">
        <f>IF($X$49="WEEKS","",IF($Z90="Manual Entry hrs/wk","",IF($X$49&gt;'FORMULA REFS'!I$1,$Z90,"")))</f>
        <v/>
      </c>
      <c r="AP90" s="497" t="str">
        <f>IF($X$49="WEEKS","",IF($Z90="Manual Entry hrs/wk","",IF($X$49&gt;'FORMULA REFS'!J$1,$Z90,"")))</f>
        <v/>
      </c>
      <c r="AQ90" s="497" t="str">
        <f>IF($X$49="WEEKS","",IF($Z90="Manual Entry hrs/wk","",IF($X$49&gt;'FORMULA REFS'!K$1,$Z90,"")))</f>
        <v/>
      </c>
      <c r="AR90" s="497" t="str">
        <f>IF($X$49="WEEKS","",IF($Z90="Manual Entry hrs/wk","",IF($X$49&gt;'FORMULA REFS'!L$1,$Z90,"")))</f>
        <v/>
      </c>
      <c r="AS90" s="497" t="str">
        <f>IF($X$49="WEEKS","",IF($Z90="Manual Entry hrs/wk","",IF($X$49&gt;'FORMULA REFS'!M$1,$Z90,"")))</f>
        <v/>
      </c>
      <c r="AT90" s="497" t="str">
        <f>IF($X$49="WEEKS","",IF($Z90="Manual Entry hrs/wk","",IF($X$49&gt;'FORMULA REFS'!N$1,$Z90,"")))</f>
        <v/>
      </c>
      <c r="AU90" s="497" t="str">
        <f>IF($X$49="WEEKS","",IF($Z90="Manual Entry hrs/wk","",IF($X$49&gt;'FORMULA REFS'!O$1,$Z90,"")))</f>
        <v/>
      </c>
      <c r="AV90" s="497" t="str">
        <f>IF($X$49="WEEKS","",IF($Z90="Manual Entry hrs/wk","",IF($X$49&gt;'FORMULA REFS'!P$1,$Z90,"")))</f>
        <v/>
      </c>
      <c r="AW90" s="497" t="str">
        <f>IF($X$49="WEEKS","",IF($Z90="Manual Entry hrs/wk","",IF($X$49&gt;'FORMULA REFS'!Q$1,$Z90,"")))</f>
        <v/>
      </c>
      <c r="AX90" s="497" t="str">
        <f>IF($X$49="WEEKS","",IF($Z90="Manual Entry hrs/wk","",IF($X$49&gt;'FORMULA REFS'!R$1,$Z90,"")))</f>
        <v/>
      </c>
      <c r="AY90" s="497" t="str">
        <f>IF($X$49="WEEKS","",IF($Z90="Manual Entry hrs/wk","",IF($X$49&gt;'FORMULA REFS'!S$1,$Z90,"")))</f>
        <v/>
      </c>
      <c r="AZ90" s="497" t="str">
        <f>IF($X$49="WEEKS","",IF($Z90="Manual Entry hrs/wk","",IF($X$49&gt;'FORMULA REFS'!T$1,$Z90,"")))</f>
        <v/>
      </c>
      <c r="BA90" s="497" t="str">
        <f>IF($X$49="WEEKS","",IF($Z90="Manual Entry hrs/wk","",IF($X$49&gt;'FORMULA REFS'!U$1,$Z90,"")))</f>
        <v/>
      </c>
      <c r="BB90" s="497" t="str">
        <f>IF($X$49="WEEKS","",IF($Z90="Manual Entry hrs/wk","",IF($X$49&gt;'FORMULA REFS'!V$1,$Z90,"")))</f>
        <v/>
      </c>
      <c r="BC90" s="497" t="str">
        <f>IF($X$49="WEEKS","",IF($Z90="Manual Entry hrs/wk","",IF($X$49&gt;'FORMULA REFS'!W$1,$Z90,"")))</f>
        <v/>
      </c>
      <c r="BD90" s="497" t="str">
        <f>IF($X$49="WEEKS","",IF($Z90="Manual Entry hrs/wk","",IF($X$49&gt;'FORMULA REFS'!X$1,$Z90,"")))</f>
        <v/>
      </c>
      <c r="BE90" s="497" t="str">
        <f>IF($X$49="WEEKS","",IF($Z90="Manual Entry hrs/wk","",IF($X$49&gt;'FORMULA REFS'!Y$1,$Z90,"")))</f>
        <v/>
      </c>
      <c r="BF90" s="497" t="str">
        <f>IF($X$49="WEEKS","",IF($Z90="Manual Entry hrs/wk","",IF($X$49&gt;'FORMULA REFS'!Z$1,$Z90,"")))</f>
        <v/>
      </c>
      <c r="BG90" s="497" t="str">
        <f>IF($X$49="WEEKS","",IF($Z90="Manual Entry hrs/wk","",IF($X$49&gt;'FORMULA REFS'!AA$1,$Z90,"")))</f>
        <v/>
      </c>
      <c r="BH90" s="497" t="str">
        <f>IF($X$49="WEEKS","",IF($Z90="Manual Entry hrs/wk","",IF($X$49&gt;'FORMULA REFS'!AB$1,$Z90,"")))</f>
        <v/>
      </c>
      <c r="BI90" s="497" t="str">
        <f>IF($X$49="WEEKS","",IF($Z90="Manual Entry hrs/wk","",IF($X$49&gt;'FORMULA REFS'!AC$1,$Z90,"")))</f>
        <v/>
      </c>
      <c r="BJ90" s="497" t="str">
        <f>IF($X$49="WEEKS","",IF($Z90="Manual Entry hrs/wk","",IF($X$49&gt;'FORMULA REFS'!AD$1,$Z90,"")))</f>
        <v/>
      </c>
      <c r="BK90" s="497" t="str">
        <f>IF($X$49="WEEKS","",IF($Z90="Manual Entry hrs/wk","",IF($X$49&gt;'FORMULA REFS'!AE$1,$Z90,"")))</f>
        <v/>
      </c>
      <c r="BL90" s="497" t="str">
        <f>IF($X$49="WEEKS","",IF($Z90="Manual Entry hrs/wk","",IF($X$49&gt;'FORMULA REFS'!AF$1,$Z90,"")))</f>
        <v/>
      </c>
      <c r="BM90" s="497" t="str">
        <f>IF($X$49="WEEKS","",IF($Z90="Manual Entry hrs/wk","",IF($X$49&gt;'FORMULA REFS'!AG$1,$Z90,"")))</f>
        <v/>
      </c>
      <c r="BN90" s="497" t="str">
        <f>IF($X$49="WEEKS","",IF($Z90="Manual Entry hrs/wk","",IF($X$49&gt;'FORMULA REFS'!AH$1,$Z90,"")))</f>
        <v/>
      </c>
      <c r="BO90" s="497" t="str">
        <f>IF($X$49="WEEKS","",IF($Z90="Manual Entry hrs/wk","",IF($X$49&gt;'FORMULA REFS'!AI$1,$Z90,"")))</f>
        <v/>
      </c>
      <c r="BP90" s="497" t="str">
        <f>IF($X$49="WEEKS","",IF($Z90="Manual Entry hrs/wk","",IF($X$49&gt;'FORMULA REFS'!AJ$1,$Z90,"")))</f>
        <v/>
      </c>
      <c r="BQ90" s="497" t="str">
        <f>IF($X$49="WEEKS","",IF($Z90="Manual Entry hrs/wk","",IF($X$49&gt;'FORMULA REFS'!AK$1,$Z90,"")))</f>
        <v/>
      </c>
      <c r="BR90" s="497" t="str">
        <f>IF($X$49="WEEKS","",IF($Z90="Manual Entry hrs/wk","",IF($X$49&gt;'FORMULA REFS'!AL$1,$Z90,"")))</f>
        <v/>
      </c>
      <c r="BS90" s="497" t="str">
        <f>IF($X$49="WEEKS","",IF($Z90="Manual Entry hrs/wk","",IF($X$49&gt;'FORMULA REFS'!AM$1,$Z90,"")))</f>
        <v/>
      </c>
      <c r="BT90" s="497" t="str">
        <f>IF($X$49="WEEKS","",IF($Z90="Manual Entry hrs/wk","",IF($X$49&gt;'FORMULA REFS'!AN$1,$Z90,"")))</f>
        <v/>
      </c>
      <c r="BU90" s="497" t="str">
        <f>IF($X$49="WEEKS","",IF($Z90="Manual Entry hrs/wk","",IF($X$49&gt;'FORMULA REFS'!AO$1,$Z90,"")))</f>
        <v/>
      </c>
      <c r="BV90" s="497" t="str">
        <f>IF($X$49="WEEKS","",IF($Z90="Manual Entry hrs/wk","",IF($X$49&gt;'FORMULA REFS'!AP$1,$Z90,"")))</f>
        <v/>
      </c>
      <c r="BW90" s="497" t="str">
        <f>IF($X$49="WEEKS","",IF($Z90="Manual Entry hrs/wk","",IF($X$49&gt;'FORMULA REFS'!AQ$1,$Z90,"")))</f>
        <v/>
      </c>
      <c r="BX90" s="497" t="str">
        <f>IF($X$49="WEEKS","",IF($Z90="Manual Entry hrs/wk","",IF($X$49&gt;'FORMULA REFS'!AR$1,$Z90,"")))</f>
        <v/>
      </c>
      <c r="BY90" s="497" t="str">
        <f>IF($X$49="WEEKS","",IF($Z90="Manual Entry hrs/wk","",IF($X$49&gt;'FORMULA REFS'!AS$1,$Z90,"")))</f>
        <v/>
      </c>
      <c r="BZ90" s="497" t="str">
        <f>IF($X$49="WEEKS","",IF($Z90="Manual Entry hrs/wk","",IF($X$49&gt;'FORMULA REFS'!AT$1,$Z90,"")))</f>
        <v/>
      </c>
      <c r="CA90" s="497" t="str">
        <f>IF($X$49="WEEKS","",IF($Z90="Manual Entry hrs/wk","",IF($X$49&gt;'FORMULA REFS'!AU$1,$Z90,"")))</f>
        <v/>
      </c>
      <c r="CB90" s="497" t="str">
        <f>IF($X$49="WEEKS","",IF($Z90="Manual Entry hrs/wk","",IF($X$49&gt;'FORMULA REFS'!AV$1,$Z90,"")))</f>
        <v/>
      </c>
      <c r="CC90" s="497" t="str">
        <f>IF($X$49="WEEKS","",IF($Z90="Manual Entry hrs/wk","",IF($X$49&gt;'FORMULA REFS'!AW$1,$Z90,"")))</f>
        <v/>
      </c>
      <c r="CD90" s="497" t="str">
        <f>IF($X$49="WEEKS","",IF($Z90="Manual Entry hrs/wk","",IF($X$49&gt;'FORMULA REFS'!AX$1,$Z90,"")))</f>
        <v/>
      </c>
      <c r="CE90" s="497" t="str">
        <f>IF($X$49="WEEKS","",IF($Z90="Manual Entry hrs/wk","",IF($X$49&gt;'FORMULA REFS'!AY$1,$Z90,"")))</f>
        <v/>
      </c>
      <c r="CF90" s="497" t="str">
        <f>IF($X$49="WEEKS","",IF($Z90="Manual Entry hrs/wk","",IF($X$49&gt;'FORMULA REFS'!AZ$1,$Z90,"")))</f>
        <v/>
      </c>
      <c r="CG90" s="113"/>
      <c r="CH90" s="349" t="str">
        <f t="shared" si="19"/>
        <v/>
      </c>
      <c r="CI90" s="349">
        <f>IFERROR((_xlfn.XLOOKUP($M90,'Standard Rate Cards'!D:D,'Standard Rate Cards'!E:E))*Y90,0)</f>
        <v>0</v>
      </c>
      <c r="CJ90" s="349">
        <f>IF(CL90&lt;&gt;"","",IF($D$16="Select Type","Select Margin Class",IFERROR(IF($M90="",0,IF($D$16="Client Custom Rates",0,IF($D$16="Standard Rates",_xlfn.XLOOKUP($M90,'Standard Rate Cards'!$D:$D,'Standard Rate Cards'!G:G)))),0)))</f>
        <v>0</v>
      </c>
      <c r="CK90" s="349" cm="1">
        <f t="array" ref="CK90">IF(CL90&lt;&gt;"","",IFERROR(IF($D$16&lt;&gt;"Client Custom Rates",0,INDEX('Client Rate Cards'!E:E,MATCH(1,('Client Rate Cards'!B:B='2. Pricing &amp; Import'!$D$17)*('Client Rate Cards'!D:D='2. Pricing &amp; Import'!N90),0))),0))</f>
        <v>0</v>
      </c>
      <c r="CL90" s="350"/>
    </row>
    <row r="91" spans="3:90" ht="16.05" hidden="1" customHeight="1" outlineLevel="1" x14ac:dyDescent="0.3">
      <c r="C91" s="346"/>
      <c r="D91" s="495"/>
      <c r="E91" s="346"/>
      <c r="F91" s="346" t="str">
        <f>IFERROR(_xlfn.XLOOKUP(E91,'Standard Rate Cards'!$BB$11:$BB$23,'Standard Rate Cards'!$BA$11:$BA$23),"")</f>
        <v/>
      </c>
      <c r="G91" s="346"/>
      <c r="H91" s="346" t="str">
        <f>IFERROR(_xlfn.XLOOKUP(G91,'Standard Rate Cards'!$AP$8:$AP$142,'Standard Rate Cards'!$AQ$8:$AQ$142),"")</f>
        <v/>
      </c>
      <c r="I91" s="346"/>
      <c r="J91" s="346"/>
      <c r="K91" s="496"/>
      <c r="L91" s="496" t="str">
        <f t="shared" si="13"/>
        <v xml:space="preserve"> </v>
      </c>
      <c r="M91" s="496" t="str" cm="1">
        <f t="array" ref="M91">IF(ISBLANK(D91),"",IF(D91&lt;&gt;"CrederaUS",INDEX('Standard Rate Cards'!$D$9:$D$433,MATCH(1,('Standard Rate Cards'!$B$9:$B$433='2. Pricing &amp; Import'!D91)*('Standard Rate Cards'!$C$9:$C$433='2. Pricing &amp; Import'!K91),0)),INDEX('Standard Rate Cards'!$D$9:$D$433,MATCH(1,('Standard Rate Cards'!$B$9:$B$433='2. Pricing &amp; Import'!D91)*('Standard Rate Cards'!$C$9:$C$433='2. Pricing &amp; Import'!K91)*('Standard Rate Cards'!$H$9:$H$433=L91),0))))</f>
        <v/>
      </c>
      <c r="N91" s="347"/>
      <c r="O91" s="110" t="str">
        <f>IF(ISBLANK(K91)," ",_xlfn.XLOOKUP(K91,'Standard Rate Cards'!C:C,'Standard Rate Cards'!H:H))</f>
        <v xml:space="preserve"> </v>
      </c>
      <c r="P91" s="246" t="str">
        <f>IF(ISBLANK($K91)," ",_xlfn.XLOOKUP($K91,'Standard Rate Cards'!C:C,'Standard Rate Cards'!F:F))</f>
        <v xml:space="preserve"> </v>
      </c>
      <c r="Q91" s="348"/>
      <c r="R91" s="250"/>
      <c r="S91" s="680"/>
      <c r="T91" s="681"/>
      <c r="U91" s="1637"/>
      <c r="V91" s="1638"/>
      <c r="W91" s="681"/>
      <c r="X91" s="681" t="str">
        <f t="shared" si="17"/>
        <v/>
      </c>
      <c r="Y91" s="682" t="str">
        <f t="shared" si="18"/>
        <v/>
      </c>
      <c r="Z91" s="1630" t="s">
        <v>309</v>
      </c>
      <c r="AA91" s="1631"/>
      <c r="AB91" s="94"/>
      <c r="AC91" s="94"/>
      <c r="AD91" s="94"/>
      <c r="AE91" s="94"/>
      <c r="AF91" s="94"/>
      <c r="AG91" s="497" t="str">
        <f>IF($X$49="WEEKS","",IF($Z91="Manual Entry hrs/wk","",IF($X$49&gt;'FORMULA REFS'!A$1,$Z91,"")))</f>
        <v/>
      </c>
      <c r="AH91" s="497" t="str">
        <f>IF($X$49="WEEKS","",IF($Z91="Manual Entry hrs/wk","",IF($X$49&gt;'FORMULA REFS'!B$1,$Z91,"")))</f>
        <v/>
      </c>
      <c r="AI91" s="497" t="str">
        <f>IF($X$49="WEEKS","",IF($Z91="Manual Entry hrs/wk","",IF($X$49&gt;'FORMULA REFS'!C$1,$Z91,"")))</f>
        <v/>
      </c>
      <c r="AJ91" s="497" t="str">
        <f>IF($X$49="WEEKS","",IF($Z91="Manual Entry hrs/wk","",IF($X$49&gt;'FORMULA REFS'!D$1,$Z91,"")))</f>
        <v/>
      </c>
      <c r="AK91" s="497" t="str">
        <f>IF($X$49="WEEKS","",IF($Z91="Manual Entry hrs/wk","",IF($X$49&gt;'FORMULA REFS'!E$1,$Z91,"")))</f>
        <v/>
      </c>
      <c r="AL91" s="497" t="str">
        <f>IF($X$49="WEEKS","",IF($Z91="Manual Entry hrs/wk","",IF($X$49&gt;'FORMULA REFS'!F$1,$Z91,"")))</f>
        <v/>
      </c>
      <c r="AM91" s="497" t="str">
        <f>IF($X$49="WEEKS","",IF($Z91="Manual Entry hrs/wk","",IF($X$49&gt;'FORMULA REFS'!G$1,$Z91,"")))</f>
        <v/>
      </c>
      <c r="AN91" s="497" t="str">
        <f>IF($X$49="WEEKS","",IF($Z91="Manual Entry hrs/wk","",IF($X$49&gt;'FORMULA REFS'!H$1,$Z91,"")))</f>
        <v/>
      </c>
      <c r="AO91" s="497" t="str">
        <f>IF($X$49="WEEKS","",IF($Z91="Manual Entry hrs/wk","",IF($X$49&gt;'FORMULA REFS'!I$1,$Z91,"")))</f>
        <v/>
      </c>
      <c r="AP91" s="497" t="str">
        <f>IF($X$49="WEEKS","",IF($Z91="Manual Entry hrs/wk","",IF($X$49&gt;'FORMULA REFS'!J$1,$Z91,"")))</f>
        <v/>
      </c>
      <c r="AQ91" s="497" t="str">
        <f>IF($X$49="WEEKS","",IF($Z91="Manual Entry hrs/wk","",IF($X$49&gt;'FORMULA REFS'!K$1,$Z91,"")))</f>
        <v/>
      </c>
      <c r="AR91" s="497" t="str">
        <f>IF($X$49="WEEKS","",IF($Z91="Manual Entry hrs/wk","",IF($X$49&gt;'FORMULA REFS'!L$1,$Z91,"")))</f>
        <v/>
      </c>
      <c r="AS91" s="497" t="str">
        <f>IF($X$49="WEEKS","",IF($Z91="Manual Entry hrs/wk","",IF($X$49&gt;'FORMULA REFS'!M$1,$Z91,"")))</f>
        <v/>
      </c>
      <c r="AT91" s="497" t="str">
        <f>IF($X$49="WEEKS","",IF($Z91="Manual Entry hrs/wk","",IF($X$49&gt;'FORMULA REFS'!N$1,$Z91,"")))</f>
        <v/>
      </c>
      <c r="AU91" s="497" t="str">
        <f>IF($X$49="WEEKS","",IF($Z91="Manual Entry hrs/wk","",IF($X$49&gt;'FORMULA REFS'!O$1,$Z91,"")))</f>
        <v/>
      </c>
      <c r="AV91" s="497" t="str">
        <f>IF($X$49="WEEKS","",IF($Z91="Manual Entry hrs/wk","",IF($X$49&gt;'FORMULA REFS'!P$1,$Z91,"")))</f>
        <v/>
      </c>
      <c r="AW91" s="497" t="str">
        <f>IF($X$49="WEEKS","",IF($Z91="Manual Entry hrs/wk","",IF($X$49&gt;'FORMULA REFS'!Q$1,$Z91,"")))</f>
        <v/>
      </c>
      <c r="AX91" s="497" t="str">
        <f>IF($X$49="WEEKS","",IF($Z91="Manual Entry hrs/wk","",IF($X$49&gt;'FORMULA REFS'!R$1,$Z91,"")))</f>
        <v/>
      </c>
      <c r="AY91" s="497" t="str">
        <f>IF($X$49="WEEKS","",IF($Z91="Manual Entry hrs/wk","",IF($X$49&gt;'FORMULA REFS'!S$1,$Z91,"")))</f>
        <v/>
      </c>
      <c r="AZ91" s="497" t="str">
        <f>IF($X$49="WEEKS","",IF($Z91="Manual Entry hrs/wk","",IF($X$49&gt;'FORMULA REFS'!T$1,$Z91,"")))</f>
        <v/>
      </c>
      <c r="BA91" s="497" t="str">
        <f>IF($X$49="WEEKS","",IF($Z91="Manual Entry hrs/wk","",IF($X$49&gt;'FORMULA REFS'!U$1,$Z91,"")))</f>
        <v/>
      </c>
      <c r="BB91" s="497" t="str">
        <f>IF($X$49="WEEKS","",IF($Z91="Manual Entry hrs/wk","",IF($X$49&gt;'FORMULA REFS'!V$1,$Z91,"")))</f>
        <v/>
      </c>
      <c r="BC91" s="497" t="str">
        <f>IF($X$49="WEEKS","",IF($Z91="Manual Entry hrs/wk","",IF($X$49&gt;'FORMULA REFS'!W$1,$Z91,"")))</f>
        <v/>
      </c>
      <c r="BD91" s="497" t="str">
        <f>IF($X$49="WEEKS","",IF($Z91="Manual Entry hrs/wk","",IF($X$49&gt;'FORMULA REFS'!X$1,$Z91,"")))</f>
        <v/>
      </c>
      <c r="BE91" s="497" t="str">
        <f>IF($X$49="WEEKS","",IF($Z91="Manual Entry hrs/wk","",IF($X$49&gt;'FORMULA REFS'!Y$1,$Z91,"")))</f>
        <v/>
      </c>
      <c r="BF91" s="497" t="str">
        <f>IF($X$49="WEEKS","",IF($Z91="Manual Entry hrs/wk","",IF($X$49&gt;'FORMULA REFS'!Z$1,$Z91,"")))</f>
        <v/>
      </c>
      <c r="BG91" s="497" t="str">
        <f>IF($X$49="WEEKS","",IF($Z91="Manual Entry hrs/wk","",IF($X$49&gt;'FORMULA REFS'!AA$1,$Z91,"")))</f>
        <v/>
      </c>
      <c r="BH91" s="497" t="str">
        <f>IF($X$49="WEEKS","",IF($Z91="Manual Entry hrs/wk","",IF($X$49&gt;'FORMULA REFS'!AB$1,$Z91,"")))</f>
        <v/>
      </c>
      <c r="BI91" s="497" t="str">
        <f>IF($X$49="WEEKS","",IF($Z91="Manual Entry hrs/wk","",IF($X$49&gt;'FORMULA REFS'!AC$1,$Z91,"")))</f>
        <v/>
      </c>
      <c r="BJ91" s="497" t="str">
        <f>IF($X$49="WEEKS","",IF($Z91="Manual Entry hrs/wk","",IF($X$49&gt;'FORMULA REFS'!AD$1,$Z91,"")))</f>
        <v/>
      </c>
      <c r="BK91" s="497" t="str">
        <f>IF($X$49="WEEKS","",IF($Z91="Manual Entry hrs/wk","",IF($X$49&gt;'FORMULA REFS'!AE$1,$Z91,"")))</f>
        <v/>
      </c>
      <c r="BL91" s="497" t="str">
        <f>IF($X$49="WEEKS","",IF($Z91="Manual Entry hrs/wk","",IF($X$49&gt;'FORMULA REFS'!AF$1,$Z91,"")))</f>
        <v/>
      </c>
      <c r="BM91" s="497" t="str">
        <f>IF($X$49="WEEKS","",IF($Z91="Manual Entry hrs/wk","",IF($X$49&gt;'FORMULA REFS'!AG$1,$Z91,"")))</f>
        <v/>
      </c>
      <c r="BN91" s="497" t="str">
        <f>IF($X$49="WEEKS","",IF($Z91="Manual Entry hrs/wk","",IF($X$49&gt;'FORMULA REFS'!AH$1,$Z91,"")))</f>
        <v/>
      </c>
      <c r="BO91" s="497" t="str">
        <f>IF($X$49="WEEKS","",IF($Z91="Manual Entry hrs/wk","",IF($X$49&gt;'FORMULA REFS'!AI$1,$Z91,"")))</f>
        <v/>
      </c>
      <c r="BP91" s="497" t="str">
        <f>IF($X$49="WEEKS","",IF($Z91="Manual Entry hrs/wk","",IF($X$49&gt;'FORMULA REFS'!AJ$1,$Z91,"")))</f>
        <v/>
      </c>
      <c r="BQ91" s="497" t="str">
        <f>IF($X$49="WEEKS","",IF($Z91="Manual Entry hrs/wk","",IF($X$49&gt;'FORMULA REFS'!AK$1,$Z91,"")))</f>
        <v/>
      </c>
      <c r="BR91" s="497" t="str">
        <f>IF($X$49="WEEKS","",IF($Z91="Manual Entry hrs/wk","",IF($X$49&gt;'FORMULA REFS'!AL$1,$Z91,"")))</f>
        <v/>
      </c>
      <c r="BS91" s="497" t="str">
        <f>IF($X$49="WEEKS","",IF($Z91="Manual Entry hrs/wk","",IF($X$49&gt;'FORMULA REFS'!AM$1,$Z91,"")))</f>
        <v/>
      </c>
      <c r="BT91" s="497" t="str">
        <f>IF($X$49="WEEKS","",IF($Z91="Manual Entry hrs/wk","",IF($X$49&gt;'FORMULA REFS'!AN$1,$Z91,"")))</f>
        <v/>
      </c>
      <c r="BU91" s="497" t="str">
        <f>IF($X$49="WEEKS","",IF($Z91="Manual Entry hrs/wk","",IF($X$49&gt;'FORMULA REFS'!AO$1,$Z91,"")))</f>
        <v/>
      </c>
      <c r="BV91" s="497" t="str">
        <f>IF($X$49="WEEKS","",IF($Z91="Manual Entry hrs/wk","",IF($X$49&gt;'FORMULA REFS'!AP$1,$Z91,"")))</f>
        <v/>
      </c>
      <c r="BW91" s="497" t="str">
        <f>IF($X$49="WEEKS","",IF($Z91="Manual Entry hrs/wk","",IF($X$49&gt;'FORMULA REFS'!AQ$1,$Z91,"")))</f>
        <v/>
      </c>
      <c r="BX91" s="497" t="str">
        <f>IF($X$49="WEEKS","",IF($Z91="Manual Entry hrs/wk","",IF($X$49&gt;'FORMULA REFS'!AR$1,$Z91,"")))</f>
        <v/>
      </c>
      <c r="BY91" s="497" t="str">
        <f>IF($X$49="WEEKS","",IF($Z91="Manual Entry hrs/wk","",IF($X$49&gt;'FORMULA REFS'!AS$1,$Z91,"")))</f>
        <v/>
      </c>
      <c r="BZ91" s="497" t="str">
        <f>IF($X$49="WEEKS","",IF($Z91="Manual Entry hrs/wk","",IF($X$49&gt;'FORMULA REFS'!AT$1,$Z91,"")))</f>
        <v/>
      </c>
      <c r="CA91" s="497" t="str">
        <f>IF($X$49="WEEKS","",IF($Z91="Manual Entry hrs/wk","",IF($X$49&gt;'FORMULA REFS'!AU$1,$Z91,"")))</f>
        <v/>
      </c>
      <c r="CB91" s="497" t="str">
        <f>IF($X$49="WEEKS","",IF($Z91="Manual Entry hrs/wk","",IF($X$49&gt;'FORMULA REFS'!AV$1,$Z91,"")))</f>
        <v/>
      </c>
      <c r="CC91" s="497" t="str">
        <f>IF($X$49="WEEKS","",IF($Z91="Manual Entry hrs/wk","",IF($X$49&gt;'FORMULA REFS'!AW$1,$Z91,"")))</f>
        <v/>
      </c>
      <c r="CD91" s="497" t="str">
        <f>IF($X$49="WEEKS","",IF($Z91="Manual Entry hrs/wk","",IF($X$49&gt;'FORMULA REFS'!AX$1,$Z91,"")))</f>
        <v/>
      </c>
      <c r="CE91" s="497" t="str">
        <f>IF($X$49="WEEKS","",IF($Z91="Manual Entry hrs/wk","",IF($X$49&gt;'FORMULA REFS'!AY$1,$Z91,"")))</f>
        <v/>
      </c>
      <c r="CF91" s="497" t="str">
        <f>IF($X$49="WEEKS","",IF($Z91="Manual Entry hrs/wk","",IF($X$49&gt;'FORMULA REFS'!AZ$1,$Z91,"")))</f>
        <v/>
      </c>
      <c r="CG91" s="113"/>
      <c r="CH91" s="349" t="str">
        <f t="shared" si="19"/>
        <v/>
      </c>
      <c r="CI91" s="349">
        <f>IFERROR((_xlfn.XLOOKUP($M91,'Standard Rate Cards'!D:D,'Standard Rate Cards'!E:E))*Y91,0)</f>
        <v>0</v>
      </c>
      <c r="CJ91" s="349">
        <f>IF(CL91&lt;&gt;"","",IF($D$16="Select Type","Select Margin Class",IFERROR(IF($M91="",0,IF($D$16="Client Custom Rates",0,IF($D$16="Standard Rates",_xlfn.XLOOKUP($M91,'Standard Rate Cards'!$D:$D,'Standard Rate Cards'!G:G)))),0)))</f>
        <v>0</v>
      </c>
      <c r="CK91" s="349" cm="1">
        <f t="array" ref="CK91">IF(CL91&lt;&gt;"","",IFERROR(IF($D$16&lt;&gt;"Client Custom Rates",0,INDEX('Client Rate Cards'!E:E,MATCH(1,('Client Rate Cards'!B:B='2. Pricing &amp; Import'!$D$17)*('Client Rate Cards'!D:D='2. Pricing &amp; Import'!N91),0))),0))</f>
        <v>0</v>
      </c>
      <c r="CL91" s="350"/>
    </row>
    <row r="92" spans="3:90" ht="16.05" hidden="1" customHeight="1" outlineLevel="1" x14ac:dyDescent="0.3">
      <c r="C92" s="346"/>
      <c r="D92" s="495"/>
      <c r="E92" s="346"/>
      <c r="F92" s="346" t="str">
        <f>IFERROR(_xlfn.XLOOKUP(E92,'Standard Rate Cards'!$BB$11:$BB$23,'Standard Rate Cards'!$BA$11:$BA$23),"")</f>
        <v/>
      </c>
      <c r="G92" s="346"/>
      <c r="H92" s="346" t="str">
        <f>IFERROR(_xlfn.XLOOKUP(G92,'Standard Rate Cards'!$AP$8:$AP$142,'Standard Rate Cards'!$AQ$8:$AQ$142),"")</f>
        <v/>
      </c>
      <c r="I92" s="346"/>
      <c r="J92" s="346"/>
      <c r="K92" s="496"/>
      <c r="L92" s="496" t="str">
        <f t="shared" si="13"/>
        <v xml:space="preserve"> </v>
      </c>
      <c r="M92" s="496" t="str" cm="1">
        <f t="array" ref="M92">IF(ISBLANK(D92),"",IF(D92&lt;&gt;"CrederaUS",INDEX('Standard Rate Cards'!$D$9:$D$433,MATCH(1,('Standard Rate Cards'!$B$9:$B$433='2. Pricing &amp; Import'!D92)*('Standard Rate Cards'!$C$9:$C$433='2. Pricing &amp; Import'!K92),0)),INDEX('Standard Rate Cards'!$D$9:$D$433,MATCH(1,('Standard Rate Cards'!$B$9:$B$433='2. Pricing &amp; Import'!D92)*('Standard Rate Cards'!$C$9:$C$433='2. Pricing &amp; Import'!K92)*('Standard Rate Cards'!$H$9:$H$433=L92),0))))</f>
        <v/>
      </c>
      <c r="N92" s="347"/>
      <c r="O92" s="110" t="str">
        <f>IF(ISBLANK(K92)," ",_xlfn.XLOOKUP(K92,'Standard Rate Cards'!C:C,'Standard Rate Cards'!H:H))</f>
        <v xml:space="preserve"> </v>
      </c>
      <c r="P92" s="246" t="str">
        <f>IF(ISBLANK($K92)," ",_xlfn.XLOOKUP($K92,'Standard Rate Cards'!C:C,'Standard Rate Cards'!F:F))</f>
        <v xml:space="preserve"> </v>
      </c>
      <c r="Q92" s="348"/>
      <c r="R92" s="250"/>
      <c r="S92" s="680"/>
      <c r="T92" s="681"/>
      <c r="U92" s="1637"/>
      <c r="V92" s="1638"/>
      <c r="W92" s="681"/>
      <c r="X92" s="681" t="str">
        <f t="shared" si="17"/>
        <v/>
      </c>
      <c r="Y92" s="682" t="str">
        <f t="shared" si="18"/>
        <v/>
      </c>
      <c r="Z92" s="1630" t="s">
        <v>309</v>
      </c>
      <c r="AA92" s="1631"/>
      <c r="AB92" s="94"/>
      <c r="AC92" s="94"/>
      <c r="AD92" s="94"/>
      <c r="AE92" s="94"/>
      <c r="AF92" s="94"/>
      <c r="AG92" s="497" t="str">
        <f>IF($X$49="WEEKS","",IF($Z92="Manual Entry hrs/wk","",IF($X$49&gt;'FORMULA REFS'!A$1,$Z92,"")))</f>
        <v/>
      </c>
      <c r="AH92" s="497" t="str">
        <f>IF($X$49="WEEKS","",IF($Z92="Manual Entry hrs/wk","",IF($X$49&gt;'FORMULA REFS'!B$1,$Z92,"")))</f>
        <v/>
      </c>
      <c r="AI92" s="497" t="str">
        <f>IF($X$49="WEEKS","",IF($Z92="Manual Entry hrs/wk","",IF($X$49&gt;'FORMULA REFS'!C$1,$Z92,"")))</f>
        <v/>
      </c>
      <c r="AJ92" s="497" t="str">
        <f>IF($X$49="WEEKS","",IF($Z92="Manual Entry hrs/wk","",IF($X$49&gt;'FORMULA REFS'!D$1,$Z92,"")))</f>
        <v/>
      </c>
      <c r="AK92" s="497" t="str">
        <f>IF($X$49="WEEKS","",IF($Z92="Manual Entry hrs/wk","",IF($X$49&gt;'FORMULA REFS'!E$1,$Z92,"")))</f>
        <v/>
      </c>
      <c r="AL92" s="497" t="str">
        <f>IF($X$49="WEEKS","",IF($Z92="Manual Entry hrs/wk","",IF($X$49&gt;'FORMULA REFS'!F$1,$Z92,"")))</f>
        <v/>
      </c>
      <c r="AM92" s="497" t="str">
        <f>IF($X$49="WEEKS","",IF($Z92="Manual Entry hrs/wk","",IF($X$49&gt;'FORMULA REFS'!G$1,$Z92,"")))</f>
        <v/>
      </c>
      <c r="AN92" s="497" t="str">
        <f>IF($X$49="WEEKS","",IF($Z92="Manual Entry hrs/wk","",IF($X$49&gt;'FORMULA REFS'!H$1,$Z92,"")))</f>
        <v/>
      </c>
      <c r="AO92" s="497" t="str">
        <f>IF($X$49="WEEKS","",IF($Z92="Manual Entry hrs/wk","",IF($X$49&gt;'FORMULA REFS'!I$1,$Z92,"")))</f>
        <v/>
      </c>
      <c r="AP92" s="497" t="str">
        <f>IF($X$49="WEEKS","",IF($Z92="Manual Entry hrs/wk","",IF($X$49&gt;'FORMULA REFS'!J$1,$Z92,"")))</f>
        <v/>
      </c>
      <c r="AQ92" s="497" t="str">
        <f>IF($X$49="WEEKS","",IF($Z92="Manual Entry hrs/wk","",IF($X$49&gt;'FORMULA REFS'!K$1,$Z92,"")))</f>
        <v/>
      </c>
      <c r="AR92" s="497" t="str">
        <f>IF($X$49="WEEKS","",IF($Z92="Manual Entry hrs/wk","",IF($X$49&gt;'FORMULA REFS'!L$1,$Z92,"")))</f>
        <v/>
      </c>
      <c r="AS92" s="497" t="str">
        <f>IF($X$49="WEEKS","",IF($Z92="Manual Entry hrs/wk","",IF($X$49&gt;'FORMULA REFS'!M$1,$Z92,"")))</f>
        <v/>
      </c>
      <c r="AT92" s="497" t="str">
        <f>IF($X$49="WEEKS","",IF($Z92="Manual Entry hrs/wk","",IF($X$49&gt;'FORMULA REFS'!N$1,$Z92,"")))</f>
        <v/>
      </c>
      <c r="AU92" s="497" t="str">
        <f>IF($X$49="WEEKS","",IF($Z92="Manual Entry hrs/wk","",IF($X$49&gt;'FORMULA REFS'!O$1,$Z92,"")))</f>
        <v/>
      </c>
      <c r="AV92" s="497" t="str">
        <f>IF($X$49="WEEKS","",IF($Z92="Manual Entry hrs/wk","",IF($X$49&gt;'FORMULA REFS'!P$1,$Z92,"")))</f>
        <v/>
      </c>
      <c r="AW92" s="497" t="str">
        <f>IF($X$49="WEEKS","",IF($Z92="Manual Entry hrs/wk","",IF($X$49&gt;'FORMULA REFS'!Q$1,$Z92,"")))</f>
        <v/>
      </c>
      <c r="AX92" s="497" t="str">
        <f>IF($X$49="WEEKS","",IF($Z92="Manual Entry hrs/wk","",IF($X$49&gt;'FORMULA REFS'!R$1,$Z92,"")))</f>
        <v/>
      </c>
      <c r="AY92" s="497" t="str">
        <f>IF($X$49="WEEKS","",IF($Z92="Manual Entry hrs/wk","",IF($X$49&gt;'FORMULA REFS'!S$1,$Z92,"")))</f>
        <v/>
      </c>
      <c r="AZ92" s="497" t="str">
        <f>IF($X$49="WEEKS","",IF($Z92="Manual Entry hrs/wk","",IF($X$49&gt;'FORMULA REFS'!T$1,$Z92,"")))</f>
        <v/>
      </c>
      <c r="BA92" s="497" t="str">
        <f>IF($X$49="WEEKS","",IF($Z92="Manual Entry hrs/wk","",IF($X$49&gt;'FORMULA REFS'!U$1,$Z92,"")))</f>
        <v/>
      </c>
      <c r="BB92" s="497" t="str">
        <f>IF($X$49="WEEKS","",IF($Z92="Manual Entry hrs/wk","",IF($X$49&gt;'FORMULA REFS'!V$1,$Z92,"")))</f>
        <v/>
      </c>
      <c r="BC92" s="497" t="str">
        <f>IF($X$49="WEEKS","",IF($Z92="Manual Entry hrs/wk","",IF($X$49&gt;'FORMULA REFS'!W$1,$Z92,"")))</f>
        <v/>
      </c>
      <c r="BD92" s="497" t="str">
        <f>IF($X$49="WEEKS","",IF($Z92="Manual Entry hrs/wk","",IF($X$49&gt;'FORMULA REFS'!X$1,$Z92,"")))</f>
        <v/>
      </c>
      <c r="BE92" s="497" t="str">
        <f>IF($X$49="WEEKS","",IF($Z92="Manual Entry hrs/wk","",IF($X$49&gt;'FORMULA REFS'!Y$1,$Z92,"")))</f>
        <v/>
      </c>
      <c r="BF92" s="497" t="str">
        <f>IF($X$49="WEEKS","",IF($Z92="Manual Entry hrs/wk","",IF($X$49&gt;'FORMULA REFS'!Z$1,$Z92,"")))</f>
        <v/>
      </c>
      <c r="BG92" s="497" t="str">
        <f>IF($X$49="WEEKS","",IF($Z92="Manual Entry hrs/wk","",IF($X$49&gt;'FORMULA REFS'!AA$1,$Z92,"")))</f>
        <v/>
      </c>
      <c r="BH92" s="497" t="str">
        <f>IF($X$49="WEEKS","",IF($Z92="Manual Entry hrs/wk","",IF($X$49&gt;'FORMULA REFS'!AB$1,$Z92,"")))</f>
        <v/>
      </c>
      <c r="BI92" s="497" t="str">
        <f>IF($X$49="WEEKS","",IF($Z92="Manual Entry hrs/wk","",IF($X$49&gt;'FORMULA REFS'!AC$1,$Z92,"")))</f>
        <v/>
      </c>
      <c r="BJ92" s="497" t="str">
        <f>IF($X$49="WEEKS","",IF($Z92="Manual Entry hrs/wk","",IF($X$49&gt;'FORMULA REFS'!AD$1,$Z92,"")))</f>
        <v/>
      </c>
      <c r="BK92" s="497" t="str">
        <f>IF($X$49="WEEKS","",IF($Z92="Manual Entry hrs/wk","",IF($X$49&gt;'FORMULA REFS'!AE$1,$Z92,"")))</f>
        <v/>
      </c>
      <c r="BL92" s="497" t="str">
        <f>IF($X$49="WEEKS","",IF($Z92="Manual Entry hrs/wk","",IF($X$49&gt;'FORMULA REFS'!AF$1,$Z92,"")))</f>
        <v/>
      </c>
      <c r="BM92" s="497" t="str">
        <f>IF($X$49="WEEKS","",IF($Z92="Manual Entry hrs/wk","",IF($X$49&gt;'FORMULA REFS'!AG$1,$Z92,"")))</f>
        <v/>
      </c>
      <c r="BN92" s="497" t="str">
        <f>IF($X$49="WEEKS","",IF($Z92="Manual Entry hrs/wk","",IF($X$49&gt;'FORMULA REFS'!AH$1,$Z92,"")))</f>
        <v/>
      </c>
      <c r="BO92" s="497" t="str">
        <f>IF($X$49="WEEKS","",IF($Z92="Manual Entry hrs/wk","",IF($X$49&gt;'FORMULA REFS'!AI$1,$Z92,"")))</f>
        <v/>
      </c>
      <c r="BP92" s="497" t="str">
        <f>IF($X$49="WEEKS","",IF($Z92="Manual Entry hrs/wk","",IF($X$49&gt;'FORMULA REFS'!AJ$1,$Z92,"")))</f>
        <v/>
      </c>
      <c r="BQ92" s="497" t="str">
        <f>IF($X$49="WEEKS","",IF($Z92="Manual Entry hrs/wk","",IF($X$49&gt;'FORMULA REFS'!AK$1,$Z92,"")))</f>
        <v/>
      </c>
      <c r="BR92" s="497" t="str">
        <f>IF($X$49="WEEKS","",IF($Z92="Manual Entry hrs/wk","",IF($X$49&gt;'FORMULA REFS'!AL$1,$Z92,"")))</f>
        <v/>
      </c>
      <c r="BS92" s="497" t="str">
        <f>IF($X$49="WEEKS","",IF($Z92="Manual Entry hrs/wk","",IF($X$49&gt;'FORMULA REFS'!AM$1,$Z92,"")))</f>
        <v/>
      </c>
      <c r="BT92" s="497" t="str">
        <f>IF($X$49="WEEKS","",IF($Z92="Manual Entry hrs/wk","",IF($X$49&gt;'FORMULA REFS'!AN$1,$Z92,"")))</f>
        <v/>
      </c>
      <c r="BU92" s="497" t="str">
        <f>IF($X$49="WEEKS","",IF($Z92="Manual Entry hrs/wk","",IF($X$49&gt;'FORMULA REFS'!AO$1,$Z92,"")))</f>
        <v/>
      </c>
      <c r="BV92" s="497" t="str">
        <f>IF($X$49="WEEKS","",IF($Z92="Manual Entry hrs/wk","",IF($X$49&gt;'FORMULA REFS'!AP$1,$Z92,"")))</f>
        <v/>
      </c>
      <c r="BW92" s="497" t="str">
        <f>IF($X$49="WEEKS","",IF($Z92="Manual Entry hrs/wk","",IF($X$49&gt;'FORMULA REFS'!AQ$1,$Z92,"")))</f>
        <v/>
      </c>
      <c r="BX92" s="497" t="str">
        <f>IF($X$49="WEEKS","",IF($Z92="Manual Entry hrs/wk","",IF($X$49&gt;'FORMULA REFS'!AR$1,$Z92,"")))</f>
        <v/>
      </c>
      <c r="BY92" s="497" t="str">
        <f>IF($X$49="WEEKS","",IF($Z92="Manual Entry hrs/wk","",IF($X$49&gt;'FORMULA REFS'!AS$1,$Z92,"")))</f>
        <v/>
      </c>
      <c r="BZ92" s="497" t="str">
        <f>IF($X$49="WEEKS","",IF($Z92="Manual Entry hrs/wk","",IF($X$49&gt;'FORMULA REFS'!AT$1,$Z92,"")))</f>
        <v/>
      </c>
      <c r="CA92" s="497" t="str">
        <f>IF($X$49="WEEKS","",IF($Z92="Manual Entry hrs/wk","",IF($X$49&gt;'FORMULA REFS'!AU$1,$Z92,"")))</f>
        <v/>
      </c>
      <c r="CB92" s="497" t="str">
        <f>IF($X$49="WEEKS","",IF($Z92="Manual Entry hrs/wk","",IF($X$49&gt;'FORMULA REFS'!AV$1,$Z92,"")))</f>
        <v/>
      </c>
      <c r="CC92" s="497" t="str">
        <f>IF($X$49="WEEKS","",IF($Z92="Manual Entry hrs/wk","",IF($X$49&gt;'FORMULA REFS'!AW$1,$Z92,"")))</f>
        <v/>
      </c>
      <c r="CD92" s="497" t="str">
        <f>IF($X$49="WEEKS","",IF($Z92="Manual Entry hrs/wk","",IF($X$49&gt;'FORMULA REFS'!AX$1,$Z92,"")))</f>
        <v/>
      </c>
      <c r="CE92" s="497" t="str">
        <f>IF($X$49="WEEKS","",IF($Z92="Manual Entry hrs/wk","",IF($X$49&gt;'FORMULA REFS'!AY$1,$Z92,"")))</f>
        <v/>
      </c>
      <c r="CF92" s="497" t="str">
        <f>IF($X$49="WEEKS","",IF($Z92="Manual Entry hrs/wk","",IF($X$49&gt;'FORMULA REFS'!AZ$1,$Z92,"")))</f>
        <v/>
      </c>
      <c r="CG92" s="113"/>
      <c r="CH92" s="349" t="str">
        <f t="shared" si="19"/>
        <v/>
      </c>
      <c r="CI92" s="349">
        <f>IFERROR((_xlfn.XLOOKUP($M92,'Standard Rate Cards'!D:D,'Standard Rate Cards'!E:E))*Y92,0)</f>
        <v>0</v>
      </c>
      <c r="CJ92" s="349">
        <f>IF(CL92&lt;&gt;"","",IF($D$16="Select Type","Select Margin Class",IFERROR(IF($M92="",0,IF($D$16="Client Custom Rates",0,IF($D$16="Standard Rates",_xlfn.XLOOKUP($M92,'Standard Rate Cards'!$D:$D,'Standard Rate Cards'!G:G)))),0)))</f>
        <v>0</v>
      </c>
      <c r="CK92" s="349" cm="1">
        <f t="array" ref="CK92">IF(CL92&lt;&gt;"","",IFERROR(IF($D$16&lt;&gt;"Client Custom Rates",0,INDEX('Client Rate Cards'!E:E,MATCH(1,('Client Rate Cards'!B:B='2. Pricing &amp; Import'!$D$17)*('Client Rate Cards'!D:D='2. Pricing &amp; Import'!N92),0))),0))</f>
        <v>0</v>
      </c>
      <c r="CL92" s="350"/>
    </row>
    <row r="93" spans="3:90" ht="16.05" hidden="1" customHeight="1" outlineLevel="1" x14ac:dyDescent="0.3">
      <c r="C93" s="346"/>
      <c r="D93" s="495"/>
      <c r="E93" s="346"/>
      <c r="F93" s="346" t="str">
        <f>IFERROR(_xlfn.XLOOKUP(E93,'Standard Rate Cards'!$BB$11:$BB$23,'Standard Rate Cards'!$BA$11:$BA$23),"")</f>
        <v/>
      </c>
      <c r="G93" s="346"/>
      <c r="H93" s="346" t="str">
        <f>IFERROR(_xlfn.XLOOKUP(G93,'Standard Rate Cards'!$AP$8:$AP$142,'Standard Rate Cards'!$AQ$8:$AQ$142),"")</f>
        <v/>
      </c>
      <c r="I93" s="346"/>
      <c r="J93" s="346"/>
      <c r="K93" s="496"/>
      <c r="L93" s="496" t="str">
        <f t="shared" si="13"/>
        <v xml:space="preserve"> </v>
      </c>
      <c r="M93" s="496" t="str" cm="1">
        <f t="array" ref="M93">IF(ISBLANK(D93),"",IF(D93&lt;&gt;"CrederaUS",INDEX('Standard Rate Cards'!$D$9:$D$433,MATCH(1,('Standard Rate Cards'!$B$9:$B$433='2. Pricing &amp; Import'!D93)*('Standard Rate Cards'!$C$9:$C$433='2. Pricing &amp; Import'!K93),0)),INDEX('Standard Rate Cards'!$D$9:$D$433,MATCH(1,('Standard Rate Cards'!$B$9:$B$433='2. Pricing &amp; Import'!D93)*('Standard Rate Cards'!$C$9:$C$433='2. Pricing &amp; Import'!K93)*('Standard Rate Cards'!$H$9:$H$433=L93),0))))</f>
        <v/>
      </c>
      <c r="N93" s="347"/>
      <c r="O93" s="110" t="str">
        <f>IF(ISBLANK(K93)," ",_xlfn.XLOOKUP(K93,'Standard Rate Cards'!C:C,'Standard Rate Cards'!H:H))</f>
        <v xml:space="preserve"> </v>
      </c>
      <c r="P93" s="246" t="str">
        <f>IF(ISBLANK($K93)," ",_xlfn.XLOOKUP($K93,'Standard Rate Cards'!C:C,'Standard Rate Cards'!F:F))</f>
        <v xml:space="preserve"> </v>
      </c>
      <c r="Q93" s="348"/>
      <c r="R93" s="250"/>
      <c r="S93" s="680"/>
      <c r="T93" s="681"/>
      <c r="U93" s="1637"/>
      <c r="V93" s="1638"/>
      <c r="W93" s="681"/>
      <c r="X93" s="681" t="str">
        <f t="shared" si="17"/>
        <v/>
      </c>
      <c r="Y93" s="682" t="str">
        <f t="shared" si="18"/>
        <v/>
      </c>
      <c r="Z93" s="1630" t="s">
        <v>309</v>
      </c>
      <c r="AA93" s="1631"/>
      <c r="AB93" s="94"/>
      <c r="AC93" s="94"/>
      <c r="AD93" s="94"/>
      <c r="AE93" s="94"/>
      <c r="AF93" s="94"/>
      <c r="AG93" s="497" t="str">
        <f>IF($X$49="WEEKS","",IF($Z93="Manual Entry hrs/wk","",IF($X$49&gt;'FORMULA REFS'!A$1,$Z93,"")))</f>
        <v/>
      </c>
      <c r="AH93" s="497" t="str">
        <f>IF($X$49="WEEKS","",IF($Z93="Manual Entry hrs/wk","",IF($X$49&gt;'FORMULA REFS'!B$1,$Z93,"")))</f>
        <v/>
      </c>
      <c r="AI93" s="497" t="str">
        <f>IF($X$49="WEEKS","",IF($Z93="Manual Entry hrs/wk","",IF($X$49&gt;'FORMULA REFS'!C$1,$Z93,"")))</f>
        <v/>
      </c>
      <c r="AJ93" s="497" t="str">
        <f>IF($X$49="WEEKS","",IF($Z93="Manual Entry hrs/wk","",IF($X$49&gt;'FORMULA REFS'!D$1,$Z93,"")))</f>
        <v/>
      </c>
      <c r="AK93" s="497" t="str">
        <f>IF($X$49="WEEKS","",IF($Z93="Manual Entry hrs/wk","",IF($X$49&gt;'FORMULA REFS'!E$1,$Z93,"")))</f>
        <v/>
      </c>
      <c r="AL93" s="497" t="str">
        <f>IF($X$49="WEEKS","",IF($Z93="Manual Entry hrs/wk","",IF($X$49&gt;'FORMULA REFS'!F$1,$Z93,"")))</f>
        <v/>
      </c>
      <c r="AM93" s="497" t="str">
        <f>IF($X$49="WEEKS","",IF($Z93="Manual Entry hrs/wk","",IF($X$49&gt;'FORMULA REFS'!G$1,$Z93,"")))</f>
        <v/>
      </c>
      <c r="AN93" s="497" t="str">
        <f>IF($X$49="WEEKS","",IF($Z93="Manual Entry hrs/wk","",IF($X$49&gt;'FORMULA REFS'!H$1,$Z93,"")))</f>
        <v/>
      </c>
      <c r="AO93" s="497" t="str">
        <f>IF($X$49="WEEKS","",IF($Z93="Manual Entry hrs/wk","",IF($X$49&gt;'FORMULA REFS'!I$1,$Z93,"")))</f>
        <v/>
      </c>
      <c r="AP93" s="497" t="str">
        <f>IF($X$49="WEEKS","",IF($Z93="Manual Entry hrs/wk","",IF($X$49&gt;'FORMULA REFS'!J$1,$Z93,"")))</f>
        <v/>
      </c>
      <c r="AQ93" s="497" t="str">
        <f>IF($X$49="WEEKS","",IF($Z93="Manual Entry hrs/wk","",IF($X$49&gt;'FORMULA REFS'!K$1,$Z93,"")))</f>
        <v/>
      </c>
      <c r="AR93" s="497" t="str">
        <f>IF($X$49="WEEKS","",IF($Z93="Manual Entry hrs/wk","",IF($X$49&gt;'FORMULA REFS'!L$1,$Z93,"")))</f>
        <v/>
      </c>
      <c r="AS93" s="497" t="str">
        <f>IF($X$49="WEEKS","",IF($Z93="Manual Entry hrs/wk","",IF($X$49&gt;'FORMULA REFS'!M$1,$Z93,"")))</f>
        <v/>
      </c>
      <c r="AT93" s="497" t="str">
        <f>IF($X$49="WEEKS","",IF($Z93="Manual Entry hrs/wk","",IF($X$49&gt;'FORMULA REFS'!N$1,$Z93,"")))</f>
        <v/>
      </c>
      <c r="AU93" s="497" t="str">
        <f>IF($X$49="WEEKS","",IF($Z93="Manual Entry hrs/wk","",IF($X$49&gt;'FORMULA REFS'!O$1,$Z93,"")))</f>
        <v/>
      </c>
      <c r="AV93" s="497" t="str">
        <f>IF($X$49="WEEKS","",IF($Z93="Manual Entry hrs/wk","",IF($X$49&gt;'FORMULA REFS'!P$1,$Z93,"")))</f>
        <v/>
      </c>
      <c r="AW93" s="497" t="str">
        <f>IF($X$49="WEEKS","",IF($Z93="Manual Entry hrs/wk","",IF($X$49&gt;'FORMULA REFS'!Q$1,$Z93,"")))</f>
        <v/>
      </c>
      <c r="AX93" s="497" t="str">
        <f>IF($X$49="WEEKS","",IF($Z93="Manual Entry hrs/wk","",IF($X$49&gt;'FORMULA REFS'!R$1,$Z93,"")))</f>
        <v/>
      </c>
      <c r="AY93" s="497" t="str">
        <f>IF($X$49="WEEKS","",IF($Z93="Manual Entry hrs/wk","",IF($X$49&gt;'FORMULA REFS'!S$1,$Z93,"")))</f>
        <v/>
      </c>
      <c r="AZ93" s="497" t="str">
        <f>IF($X$49="WEEKS","",IF($Z93="Manual Entry hrs/wk","",IF($X$49&gt;'FORMULA REFS'!T$1,$Z93,"")))</f>
        <v/>
      </c>
      <c r="BA93" s="497" t="str">
        <f>IF($X$49="WEEKS","",IF($Z93="Manual Entry hrs/wk","",IF($X$49&gt;'FORMULA REFS'!U$1,$Z93,"")))</f>
        <v/>
      </c>
      <c r="BB93" s="497" t="str">
        <f>IF($X$49="WEEKS","",IF($Z93="Manual Entry hrs/wk","",IF($X$49&gt;'FORMULA REFS'!V$1,$Z93,"")))</f>
        <v/>
      </c>
      <c r="BC93" s="497" t="str">
        <f>IF($X$49="WEEKS","",IF($Z93="Manual Entry hrs/wk","",IF($X$49&gt;'FORMULA REFS'!W$1,$Z93,"")))</f>
        <v/>
      </c>
      <c r="BD93" s="497" t="str">
        <f>IF($X$49="WEEKS","",IF($Z93="Manual Entry hrs/wk","",IF($X$49&gt;'FORMULA REFS'!X$1,$Z93,"")))</f>
        <v/>
      </c>
      <c r="BE93" s="497" t="str">
        <f>IF($X$49="WEEKS","",IF($Z93="Manual Entry hrs/wk","",IF($X$49&gt;'FORMULA REFS'!Y$1,$Z93,"")))</f>
        <v/>
      </c>
      <c r="BF93" s="497" t="str">
        <f>IF($X$49="WEEKS","",IF($Z93="Manual Entry hrs/wk","",IF($X$49&gt;'FORMULA REFS'!Z$1,$Z93,"")))</f>
        <v/>
      </c>
      <c r="BG93" s="497" t="str">
        <f>IF($X$49="WEEKS","",IF($Z93="Manual Entry hrs/wk","",IF($X$49&gt;'FORMULA REFS'!AA$1,$Z93,"")))</f>
        <v/>
      </c>
      <c r="BH93" s="497" t="str">
        <f>IF($X$49="WEEKS","",IF($Z93="Manual Entry hrs/wk","",IF($X$49&gt;'FORMULA REFS'!AB$1,$Z93,"")))</f>
        <v/>
      </c>
      <c r="BI93" s="497" t="str">
        <f>IF($X$49="WEEKS","",IF($Z93="Manual Entry hrs/wk","",IF($X$49&gt;'FORMULA REFS'!AC$1,$Z93,"")))</f>
        <v/>
      </c>
      <c r="BJ93" s="497" t="str">
        <f>IF($X$49="WEEKS","",IF($Z93="Manual Entry hrs/wk","",IF($X$49&gt;'FORMULA REFS'!AD$1,$Z93,"")))</f>
        <v/>
      </c>
      <c r="BK93" s="497" t="str">
        <f>IF($X$49="WEEKS","",IF($Z93="Manual Entry hrs/wk","",IF($X$49&gt;'FORMULA REFS'!AE$1,$Z93,"")))</f>
        <v/>
      </c>
      <c r="BL93" s="497" t="str">
        <f>IF($X$49="WEEKS","",IF($Z93="Manual Entry hrs/wk","",IF($X$49&gt;'FORMULA REFS'!AF$1,$Z93,"")))</f>
        <v/>
      </c>
      <c r="BM93" s="497" t="str">
        <f>IF($X$49="WEEKS","",IF($Z93="Manual Entry hrs/wk","",IF($X$49&gt;'FORMULA REFS'!AG$1,$Z93,"")))</f>
        <v/>
      </c>
      <c r="BN93" s="497" t="str">
        <f>IF($X$49="WEEKS","",IF($Z93="Manual Entry hrs/wk","",IF($X$49&gt;'FORMULA REFS'!AH$1,$Z93,"")))</f>
        <v/>
      </c>
      <c r="BO93" s="497" t="str">
        <f>IF($X$49="WEEKS","",IF($Z93="Manual Entry hrs/wk","",IF($X$49&gt;'FORMULA REFS'!AI$1,$Z93,"")))</f>
        <v/>
      </c>
      <c r="BP93" s="497" t="str">
        <f>IF($X$49="WEEKS","",IF($Z93="Manual Entry hrs/wk","",IF($X$49&gt;'FORMULA REFS'!AJ$1,$Z93,"")))</f>
        <v/>
      </c>
      <c r="BQ93" s="497" t="str">
        <f>IF($X$49="WEEKS","",IF($Z93="Manual Entry hrs/wk","",IF($X$49&gt;'FORMULA REFS'!AK$1,$Z93,"")))</f>
        <v/>
      </c>
      <c r="BR93" s="497" t="str">
        <f>IF($X$49="WEEKS","",IF($Z93="Manual Entry hrs/wk","",IF($X$49&gt;'FORMULA REFS'!AL$1,$Z93,"")))</f>
        <v/>
      </c>
      <c r="BS93" s="497" t="str">
        <f>IF($X$49="WEEKS","",IF($Z93="Manual Entry hrs/wk","",IF($X$49&gt;'FORMULA REFS'!AM$1,$Z93,"")))</f>
        <v/>
      </c>
      <c r="BT93" s="497" t="str">
        <f>IF($X$49="WEEKS","",IF($Z93="Manual Entry hrs/wk","",IF($X$49&gt;'FORMULA REFS'!AN$1,$Z93,"")))</f>
        <v/>
      </c>
      <c r="BU93" s="497" t="str">
        <f>IF($X$49="WEEKS","",IF($Z93="Manual Entry hrs/wk","",IF($X$49&gt;'FORMULA REFS'!AO$1,$Z93,"")))</f>
        <v/>
      </c>
      <c r="BV93" s="497" t="str">
        <f>IF($X$49="WEEKS","",IF($Z93="Manual Entry hrs/wk","",IF($X$49&gt;'FORMULA REFS'!AP$1,$Z93,"")))</f>
        <v/>
      </c>
      <c r="BW93" s="497" t="str">
        <f>IF($X$49="WEEKS","",IF($Z93="Manual Entry hrs/wk","",IF($X$49&gt;'FORMULA REFS'!AQ$1,$Z93,"")))</f>
        <v/>
      </c>
      <c r="BX93" s="497" t="str">
        <f>IF($X$49="WEEKS","",IF($Z93="Manual Entry hrs/wk","",IF($X$49&gt;'FORMULA REFS'!AR$1,$Z93,"")))</f>
        <v/>
      </c>
      <c r="BY93" s="497" t="str">
        <f>IF($X$49="WEEKS","",IF($Z93="Manual Entry hrs/wk","",IF($X$49&gt;'FORMULA REFS'!AS$1,$Z93,"")))</f>
        <v/>
      </c>
      <c r="BZ93" s="497" t="str">
        <f>IF($X$49="WEEKS","",IF($Z93="Manual Entry hrs/wk","",IF($X$49&gt;'FORMULA REFS'!AT$1,$Z93,"")))</f>
        <v/>
      </c>
      <c r="CA93" s="497" t="str">
        <f>IF($X$49="WEEKS","",IF($Z93="Manual Entry hrs/wk","",IF($X$49&gt;'FORMULA REFS'!AU$1,$Z93,"")))</f>
        <v/>
      </c>
      <c r="CB93" s="497" t="str">
        <f>IF($X$49="WEEKS","",IF($Z93="Manual Entry hrs/wk","",IF($X$49&gt;'FORMULA REFS'!AV$1,$Z93,"")))</f>
        <v/>
      </c>
      <c r="CC93" s="497" t="str">
        <f>IF($X$49="WEEKS","",IF($Z93="Manual Entry hrs/wk","",IF($X$49&gt;'FORMULA REFS'!AW$1,$Z93,"")))</f>
        <v/>
      </c>
      <c r="CD93" s="497" t="str">
        <f>IF($X$49="WEEKS","",IF($Z93="Manual Entry hrs/wk","",IF($X$49&gt;'FORMULA REFS'!AX$1,$Z93,"")))</f>
        <v/>
      </c>
      <c r="CE93" s="497" t="str">
        <f>IF($X$49="WEEKS","",IF($Z93="Manual Entry hrs/wk","",IF($X$49&gt;'FORMULA REFS'!AY$1,$Z93,"")))</f>
        <v/>
      </c>
      <c r="CF93" s="497" t="str">
        <f>IF($X$49="WEEKS","",IF($Z93="Manual Entry hrs/wk","",IF($X$49&gt;'FORMULA REFS'!AZ$1,$Z93,"")))</f>
        <v/>
      </c>
      <c r="CG93" s="113"/>
      <c r="CH93" s="349" t="str">
        <f t="shared" si="19"/>
        <v/>
      </c>
      <c r="CI93" s="349">
        <f>IFERROR((_xlfn.XLOOKUP($M93,'Standard Rate Cards'!D:D,'Standard Rate Cards'!E:E))*Y93,0)</f>
        <v>0</v>
      </c>
      <c r="CJ93" s="349">
        <f>IF(CL93&lt;&gt;"","",IF($D$16="Select Type","Select Margin Class",IFERROR(IF($M93="",0,IF($D$16="Client Custom Rates",0,IF($D$16="Standard Rates",_xlfn.XLOOKUP($M93,'Standard Rate Cards'!$D:$D,'Standard Rate Cards'!G:G)))),0)))</f>
        <v>0</v>
      </c>
      <c r="CK93" s="349" cm="1">
        <f t="array" ref="CK93">IF(CL93&lt;&gt;"","",IFERROR(IF($D$16&lt;&gt;"Client Custom Rates",0,INDEX('Client Rate Cards'!E:E,MATCH(1,('Client Rate Cards'!B:B='2. Pricing &amp; Import'!$D$17)*('Client Rate Cards'!D:D='2. Pricing &amp; Import'!N93),0))),0))</f>
        <v>0</v>
      </c>
      <c r="CL93" s="350"/>
    </row>
    <row r="94" spans="3:90" ht="16.05" hidden="1" customHeight="1" outlineLevel="1" x14ac:dyDescent="0.3">
      <c r="C94" s="346"/>
      <c r="D94" s="495"/>
      <c r="E94" s="346"/>
      <c r="F94" s="346" t="str">
        <f>IFERROR(_xlfn.XLOOKUP(E94,'Standard Rate Cards'!$BB$11:$BB$23,'Standard Rate Cards'!$BA$11:$BA$23),"")</f>
        <v/>
      </c>
      <c r="G94" s="346"/>
      <c r="H94" s="346" t="str">
        <f>IFERROR(_xlfn.XLOOKUP(G94,'Standard Rate Cards'!$AP$8:$AP$142,'Standard Rate Cards'!$AQ$8:$AQ$142),"")</f>
        <v/>
      </c>
      <c r="I94" s="346"/>
      <c r="J94" s="346"/>
      <c r="K94" s="496"/>
      <c r="L94" s="496" t="str">
        <f t="shared" si="13"/>
        <v xml:space="preserve"> </v>
      </c>
      <c r="M94" s="496" t="str" cm="1">
        <f t="array" ref="M94">IF(ISBLANK(D94),"",IF(D94&lt;&gt;"CrederaUS",INDEX('Standard Rate Cards'!$D$9:$D$433,MATCH(1,('Standard Rate Cards'!$B$9:$B$433='2. Pricing &amp; Import'!D94)*('Standard Rate Cards'!$C$9:$C$433='2. Pricing &amp; Import'!K94),0)),INDEX('Standard Rate Cards'!$D$9:$D$433,MATCH(1,('Standard Rate Cards'!$B$9:$B$433='2. Pricing &amp; Import'!D94)*('Standard Rate Cards'!$C$9:$C$433='2. Pricing &amp; Import'!K94)*('Standard Rate Cards'!$H$9:$H$433=L94),0))))</f>
        <v/>
      </c>
      <c r="N94" s="347"/>
      <c r="O94" s="110" t="str">
        <f>IF(ISBLANK(K94)," ",_xlfn.XLOOKUP(K94,'Standard Rate Cards'!C:C,'Standard Rate Cards'!H:H))</f>
        <v xml:space="preserve"> </v>
      </c>
      <c r="P94" s="246" t="str">
        <f>IF(ISBLANK($K94)," ",_xlfn.XLOOKUP($K94,'Standard Rate Cards'!C:C,'Standard Rate Cards'!F:F))</f>
        <v xml:space="preserve"> </v>
      </c>
      <c r="Q94" s="348"/>
      <c r="R94" s="250"/>
      <c r="S94" s="680"/>
      <c r="T94" s="681"/>
      <c r="U94" s="1637"/>
      <c r="V94" s="1638"/>
      <c r="W94" s="681"/>
      <c r="X94" s="681" t="str">
        <f t="shared" si="17"/>
        <v/>
      </c>
      <c r="Y94" s="682" t="str">
        <f t="shared" si="18"/>
        <v/>
      </c>
      <c r="Z94" s="1630" t="s">
        <v>309</v>
      </c>
      <c r="AA94" s="1631"/>
      <c r="AB94" s="94"/>
      <c r="AC94" s="94"/>
      <c r="AD94" s="94"/>
      <c r="AE94" s="94"/>
      <c r="AF94" s="94"/>
      <c r="AG94" s="497" t="str">
        <f>IF($X$49="WEEKS","",IF($Z94="Manual Entry hrs/wk","",IF($X$49&gt;'FORMULA REFS'!A$1,$Z94,"")))</f>
        <v/>
      </c>
      <c r="AH94" s="497" t="str">
        <f>IF($X$49="WEEKS","",IF($Z94="Manual Entry hrs/wk","",IF($X$49&gt;'FORMULA REFS'!B$1,$Z94,"")))</f>
        <v/>
      </c>
      <c r="AI94" s="497" t="str">
        <f>IF($X$49="WEEKS","",IF($Z94="Manual Entry hrs/wk","",IF($X$49&gt;'FORMULA REFS'!C$1,$Z94,"")))</f>
        <v/>
      </c>
      <c r="AJ94" s="497" t="str">
        <f>IF($X$49="WEEKS","",IF($Z94="Manual Entry hrs/wk","",IF($X$49&gt;'FORMULA REFS'!D$1,$Z94,"")))</f>
        <v/>
      </c>
      <c r="AK94" s="497" t="str">
        <f>IF($X$49="WEEKS","",IF($Z94="Manual Entry hrs/wk","",IF($X$49&gt;'FORMULA REFS'!E$1,$Z94,"")))</f>
        <v/>
      </c>
      <c r="AL94" s="497" t="str">
        <f>IF($X$49="WEEKS","",IF($Z94="Manual Entry hrs/wk","",IF($X$49&gt;'FORMULA REFS'!F$1,$Z94,"")))</f>
        <v/>
      </c>
      <c r="AM94" s="497" t="str">
        <f>IF($X$49="WEEKS","",IF($Z94="Manual Entry hrs/wk","",IF($X$49&gt;'FORMULA REFS'!G$1,$Z94,"")))</f>
        <v/>
      </c>
      <c r="AN94" s="497" t="str">
        <f>IF($X$49="WEEKS","",IF($Z94="Manual Entry hrs/wk","",IF($X$49&gt;'FORMULA REFS'!H$1,$Z94,"")))</f>
        <v/>
      </c>
      <c r="AO94" s="497" t="str">
        <f>IF($X$49="WEEKS","",IF($Z94="Manual Entry hrs/wk","",IF($X$49&gt;'FORMULA REFS'!I$1,$Z94,"")))</f>
        <v/>
      </c>
      <c r="AP94" s="497" t="str">
        <f>IF($X$49="WEEKS","",IF($Z94="Manual Entry hrs/wk","",IF($X$49&gt;'FORMULA REFS'!J$1,$Z94,"")))</f>
        <v/>
      </c>
      <c r="AQ94" s="497" t="str">
        <f>IF($X$49="WEEKS","",IF($Z94="Manual Entry hrs/wk","",IF($X$49&gt;'FORMULA REFS'!K$1,$Z94,"")))</f>
        <v/>
      </c>
      <c r="AR94" s="497" t="str">
        <f>IF($X$49="WEEKS","",IF($Z94="Manual Entry hrs/wk","",IF($X$49&gt;'FORMULA REFS'!L$1,$Z94,"")))</f>
        <v/>
      </c>
      <c r="AS94" s="497" t="str">
        <f>IF($X$49="WEEKS","",IF($Z94="Manual Entry hrs/wk","",IF($X$49&gt;'FORMULA REFS'!M$1,$Z94,"")))</f>
        <v/>
      </c>
      <c r="AT94" s="497" t="str">
        <f>IF($X$49="WEEKS","",IF($Z94="Manual Entry hrs/wk","",IF($X$49&gt;'FORMULA REFS'!N$1,$Z94,"")))</f>
        <v/>
      </c>
      <c r="AU94" s="497" t="str">
        <f>IF($X$49="WEEKS","",IF($Z94="Manual Entry hrs/wk","",IF($X$49&gt;'FORMULA REFS'!O$1,$Z94,"")))</f>
        <v/>
      </c>
      <c r="AV94" s="497" t="str">
        <f>IF($X$49="WEEKS","",IF($Z94="Manual Entry hrs/wk","",IF($X$49&gt;'FORMULA REFS'!P$1,$Z94,"")))</f>
        <v/>
      </c>
      <c r="AW94" s="497" t="str">
        <f>IF($X$49="WEEKS","",IF($Z94="Manual Entry hrs/wk","",IF($X$49&gt;'FORMULA REFS'!Q$1,$Z94,"")))</f>
        <v/>
      </c>
      <c r="AX94" s="497" t="str">
        <f>IF($X$49="WEEKS","",IF($Z94="Manual Entry hrs/wk","",IF($X$49&gt;'FORMULA REFS'!R$1,$Z94,"")))</f>
        <v/>
      </c>
      <c r="AY94" s="497" t="str">
        <f>IF($X$49="WEEKS","",IF($Z94="Manual Entry hrs/wk","",IF($X$49&gt;'FORMULA REFS'!S$1,$Z94,"")))</f>
        <v/>
      </c>
      <c r="AZ94" s="497" t="str">
        <f>IF($X$49="WEEKS","",IF($Z94="Manual Entry hrs/wk","",IF($X$49&gt;'FORMULA REFS'!T$1,$Z94,"")))</f>
        <v/>
      </c>
      <c r="BA94" s="497" t="str">
        <f>IF($X$49="WEEKS","",IF($Z94="Manual Entry hrs/wk","",IF($X$49&gt;'FORMULA REFS'!U$1,$Z94,"")))</f>
        <v/>
      </c>
      <c r="BB94" s="497" t="str">
        <f>IF($X$49="WEEKS","",IF($Z94="Manual Entry hrs/wk","",IF($X$49&gt;'FORMULA REFS'!V$1,$Z94,"")))</f>
        <v/>
      </c>
      <c r="BC94" s="497" t="str">
        <f>IF($X$49="WEEKS","",IF($Z94="Manual Entry hrs/wk","",IF($X$49&gt;'FORMULA REFS'!W$1,$Z94,"")))</f>
        <v/>
      </c>
      <c r="BD94" s="497" t="str">
        <f>IF($X$49="WEEKS","",IF($Z94="Manual Entry hrs/wk","",IF($X$49&gt;'FORMULA REFS'!X$1,$Z94,"")))</f>
        <v/>
      </c>
      <c r="BE94" s="497" t="str">
        <f>IF($X$49="WEEKS","",IF($Z94="Manual Entry hrs/wk","",IF($X$49&gt;'FORMULA REFS'!Y$1,$Z94,"")))</f>
        <v/>
      </c>
      <c r="BF94" s="497" t="str">
        <f>IF($X$49="WEEKS","",IF($Z94="Manual Entry hrs/wk","",IF($X$49&gt;'FORMULA REFS'!Z$1,$Z94,"")))</f>
        <v/>
      </c>
      <c r="BG94" s="497" t="str">
        <f>IF($X$49="WEEKS","",IF($Z94="Manual Entry hrs/wk","",IF($X$49&gt;'FORMULA REFS'!AA$1,$Z94,"")))</f>
        <v/>
      </c>
      <c r="BH94" s="497" t="str">
        <f>IF($X$49="WEEKS","",IF($Z94="Manual Entry hrs/wk","",IF($X$49&gt;'FORMULA REFS'!AB$1,$Z94,"")))</f>
        <v/>
      </c>
      <c r="BI94" s="497" t="str">
        <f>IF($X$49="WEEKS","",IF($Z94="Manual Entry hrs/wk","",IF($X$49&gt;'FORMULA REFS'!AC$1,$Z94,"")))</f>
        <v/>
      </c>
      <c r="BJ94" s="497" t="str">
        <f>IF($X$49="WEEKS","",IF($Z94="Manual Entry hrs/wk","",IF($X$49&gt;'FORMULA REFS'!AD$1,$Z94,"")))</f>
        <v/>
      </c>
      <c r="BK94" s="497" t="str">
        <f>IF($X$49="WEEKS","",IF($Z94="Manual Entry hrs/wk","",IF($X$49&gt;'FORMULA REFS'!AE$1,$Z94,"")))</f>
        <v/>
      </c>
      <c r="BL94" s="497" t="str">
        <f>IF($X$49="WEEKS","",IF($Z94="Manual Entry hrs/wk","",IF($X$49&gt;'FORMULA REFS'!AF$1,$Z94,"")))</f>
        <v/>
      </c>
      <c r="BM94" s="497" t="str">
        <f>IF($X$49="WEEKS","",IF($Z94="Manual Entry hrs/wk","",IF($X$49&gt;'FORMULA REFS'!AG$1,$Z94,"")))</f>
        <v/>
      </c>
      <c r="BN94" s="497" t="str">
        <f>IF($X$49="WEEKS","",IF($Z94="Manual Entry hrs/wk","",IF($X$49&gt;'FORMULA REFS'!AH$1,$Z94,"")))</f>
        <v/>
      </c>
      <c r="BO94" s="497" t="str">
        <f>IF($X$49="WEEKS","",IF($Z94="Manual Entry hrs/wk","",IF($X$49&gt;'FORMULA REFS'!AI$1,$Z94,"")))</f>
        <v/>
      </c>
      <c r="BP94" s="497" t="str">
        <f>IF($X$49="WEEKS","",IF($Z94="Manual Entry hrs/wk","",IF($X$49&gt;'FORMULA REFS'!AJ$1,$Z94,"")))</f>
        <v/>
      </c>
      <c r="BQ94" s="497" t="str">
        <f>IF($X$49="WEEKS","",IF($Z94="Manual Entry hrs/wk","",IF($X$49&gt;'FORMULA REFS'!AK$1,$Z94,"")))</f>
        <v/>
      </c>
      <c r="BR94" s="497" t="str">
        <f>IF($X$49="WEEKS","",IF($Z94="Manual Entry hrs/wk","",IF($X$49&gt;'FORMULA REFS'!AL$1,$Z94,"")))</f>
        <v/>
      </c>
      <c r="BS94" s="497" t="str">
        <f>IF($X$49="WEEKS","",IF($Z94="Manual Entry hrs/wk","",IF($X$49&gt;'FORMULA REFS'!AM$1,$Z94,"")))</f>
        <v/>
      </c>
      <c r="BT94" s="497" t="str">
        <f>IF($X$49="WEEKS","",IF($Z94="Manual Entry hrs/wk","",IF($X$49&gt;'FORMULA REFS'!AN$1,$Z94,"")))</f>
        <v/>
      </c>
      <c r="BU94" s="497" t="str">
        <f>IF($X$49="WEEKS","",IF($Z94="Manual Entry hrs/wk","",IF($X$49&gt;'FORMULA REFS'!AO$1,$Z94,"")))</f>
        <v/>
      </c>
      <c r="BV94" s="497" t="str">
        <f>IF($X$49="WEEKS","",IF($Z94="Manual Entry hrs/wk","",IF($X$49&gt;'FORMULA REFS'!AP$1,$Z94,"")))</f>
        <v/>
      </c>
      <c r="BW94" s="497" t="str">
        <f>IF($X$49="WEEKS","",IF($Z94="Manual Entry hrs/wk","",IF($X$49&gt;'FORMULA REFS'!AQ$1,$Z94,"")))</f>
        <v/>
      </c>
      <c r="BX94" s="497" t="str">
        <f>IF($X$49="WEEKS","",IF($Z94="Manual Entry hrs/wk","",IF($X$49&gt;'FORMULA REFS'!AR$1,$Z94,"")))</f>
        <v/>
      </c>
      <c r="BY94" s="497" t="str">
        <f>IF($X$49="WEEKS","",IF($Z94="Manual Entry hrs/wk","",IF($X$49&gt;'FORMULA REFS'!AS$1,$Z94,"")))</f>
        <v/>
      </c>
      <c r="BZ94" s="497" t="str">
        <f>IF($X$49="WEEKS","",IF($Z94="Manual Entry hrs/wk","",IF($X$49&gt;'FORMULA REFS'!AT$1,$Z94,"")))</f>
        <v/>
      </c>
      <c r="CA94" s="497" t="str">
        <f>IF($X$49="WEEKS","",IF($Z94="Manual Entry hrs/wk","",IF($X$49&gt;'FORMULA REFS'!AU$1,$Z94,"")))</f>
        <v/>
      </c>
      <c r="CB94" s="497" t="str">
        <f>IF($X$49="WEEKS","",IF($Z94="Manual Entry hrs/wk","",IF($X$49&gt;'FORMULA REFS'!AV$1,$Z94,"")))</f>
        <v/>
      </c>
      <c r="CC94" s="497" t="str">
        <f>IF($X$49="WEEKS","",IF($Z94="Manual Entry hrs/wk","",IF($X$49&gt;'FORMULA REFS'!AW$1,$Z94,"")))</f>
        <v/>
      </c>
      <c r="CD94" s="497" t="str">
        <f>IF($X$49="WEEKS","",IF($Z94="Manual Entry hrs/wk","",IF($X$49&gt;'FORMULA REFS'!AX$1,$Z94,"")))</f>
        <v/>
      </c>
      <c r="CE94" s="497" t="str">
        <f>IF($X$49="WEEKS","",IF($Z94="Manual Entry hrs/wk","",IF($X$49&gt;'FORMULA REFS'!AY$1,$Z94,"")))</f>
        <v/>
      </c>
      <c r="CF94" s="497" t="str">
        <f>IF($X$49="WEEKS","",IF($Z94="Manual Entry hrs/wk","",IF($X$49&gt;'FORMULA REFS'!AZ$1,$Z94,"")))</f>
        <v/>
      </c>
      <c r="CG94" s="113"/>
      <c r="CH94" s="349" t="str">
        <f t="shared" si="19"/>
        <v/>
      </c>
      <c r="CI94" s="349">
        <f>IFERROR((_xlfn.XLOOKUP($M94,'Standard Rate Cards'!D:D,'Standard Rate Cards'!E:E))*Y94,0)</f>
        <v>0</v>
      </c>
      <c r="CJ94" s="349">
        <f>IF(CL94&lt;&gt;"","",IF($D$16="Select Type","Select Margin Class",IFERROR(IF($M94="",0,IF($D$16="Client Custom Rates",0,IF($D$16="Standard Rates",_xlfn.XLOOKUP($M94,'Standard Rate Cards'!$D:$D,'Standard Rate Cards'!G:G)))),0)))</f>
        <v>0</v>
      </c>
      <c r="CK94" s="349" cm="1">
        <f t="array" ref="CK94">IF(CL94&lt;&gt;"","",IFERROR(IF($D$16&lt;&gt;"Client Custom Rates",0,INDEX('Client Rate Cards'!E:E,MATCH(1,('Client Rate Cards'!B:B='2. Pricing &amp; Import'!$D$17)*('Client Rate Cards'!D:D='2. Pricing &amp; Import'!N94),0))),0))</f>
        <v>0</v>
      </c>
      <c r="CL94" s="350"/>
    </row>
    <row r="95" spans="3:90" ht="16.05" hidden="1" customHeight="1" outlineLevel="1" x14ac:dyDescent="0.3">
      <c r="C95" s="346"/>
      <c r="D95" s="495"/>
      <c r="E95" s="346"/>
      <c r="F95" s="346" t="str">
        <f>IFERROR(_xlfn.XLOOKUP(E95,'Standard Rate Cards'!$BB$11:$BB$23,'Standard Rate Cards'!$BA$11:$BA$23),"")</f>
        <v/>
      </c>
      <c r="G95" s="346"/>
      <c r="H95" s="346" t="str">
        <f>IFERROR(_xlfn.XLOOKUP(G95,'Standard Rate Cards'!$AP$8:$AP$142,'Standard Rate Cards'!$AQ$8:$AQ$142),"")</f>
        <v/>
      </c>
      <c r="I95" s="346"/>
      <c r="J95" s="346"/>
      <c r="K95" s="496"/>
      <c r="L95" s="496" t="str">
        <f t="shared" si="13"/>
        <v xml:space="preserve"> </v>
      </c>
      <c r="M95" s="496" t="str" cm="1">
        <f t="array" ref="M95">IF(ISBLANK(D95),"",IF(D95&lt;&gt;"CrederaUS",INDEX('Standard Rate Cards'!$D$9:$D$433,MATCH(1,('Standard Rate Cards'!$B$9:$B$433='2. Pricing &amp; Import'!D95)*('Standard Rate Cards'!$C$9:$C$433='2. Pricing &amp; Import'!K95),0)),INDEX('Standard Rate Cards'!$D$9:$D$433,MATCH(1,('Standard Rate Cards'!$B$9:$B$433='2. Pricing &amp; Import'!D95)*('Standard Rate Cards'!$C$9:$C$433='2. Pricing &amp; Import'!K95)*('Standard Rate Cards'!$H$9:$H$433=L95),0))))</f>
        <v/>
      </c>
      <c r="N95" s="347"/>
      <c r="O95" s="110" t="str">
        <f>IF(ISBLANK(K95)," ",_xlfn.XLOOKUP(K95,'Standard Rate Cards'!C:C,'Standard Rate Cards'!H:H))</f>
        <v xml:space="preserve"> </v>
      </c>
      <c r="P95" s="246" t="str">
        <f>IF(ISBLANK($K95)," ",_xlfn.XLOOKUP($K95,'Standard Rate Cards'!C:C,'Standard Rate Cards'!F:F))</f>
        <v xml:space="preserve"> </v>
      </c>
      <c r="Q95" s="348"/>
      <c r="R95" s="250"/>
      <c r="S95" s="680"/>
      <c r="T95" s="681"/>
      <c r="U95" s="1637"/>
      <c r="V95" s="1638"/>
      <c r="W95" s="681"/>
      <c r="X95" s="681" t="str">
        <f t="shared" si="17"/>
        <v/>
      </c>
      <c r="Y95" s="682" t="str">
        <f t="shared" si="18"/>
        <v/>
      </c>
      <c r="Z95" s="1630" t="s">
        <v>309</v>
      </c>
      <c r="AA95" s="1631"/>
      <c r="AB95" s="94"/>
      <c r="AC95" s="94"/>
      <c r="AD95" s="94"/>
      <c r="AE95" s="94"/>
      <c r="AF95" s="94"/>
      <c r="AG95" s="497" t="str">
        <f>IF($X$49="WEEKS","",IF($Z95="Manual Entry hrs/wk","",IF($X$49&gt;'FORMULA REFS'!A$1,$Z95,"")))</f>
        <v/>
      </c>
      <c r="AH95" s="497" t="str">
        <f>IF($X$49="WEEKS","",IF($Z95="Manual Entry hrs/wk","",IF($X$49&gt;'FORMULA REFS'!B$1,$Z95,"")))</f>
        <v/>
      </c>
      <c r="AI95" s="497" t="str">
        <f>IF($X$49="WEEKS","",IF($Z95="Manual Entry hrs/wk","",IF($X$49&gt;'FORMULA REFS'!C$1,$Z95,"")))</f>
        <v/>
      </c>
      <c r="AJ95" s="497" t="str">
        <f>IF($X$49="WEEKS","",IF($Z95="Manual Entry hrs/wk","",IF($X$49&gt;'FORMULA REFS'!D$1,$Z95,"")))</f>
        <v/>
      </c>
      <c r="AK95" s="497" t="str">
        <f>IF($X$49="WEEKS","",IF($Z95="Manual Entry hrs/wk","",IF($X$49&gt;'FORMULA REFS'!E$1,$Z95,"")))</f>
        <v/>
      </c>
      <c r="AL95" s="497" t="str">
        <f>IF($X$49="WEEKS","",IF($Z95="Manual Entry hrs/wk","",IF($X$49&gt;'FORMULA REFS'!F$1,$Z95,"")))</f>
        <v/>
      </c>
      <c r="AM95" s="497" t="str">
        <f>IF($X$49="WEEKS","",IF($Z95="Manual Entry hrs/wk","",IF($X$49&gt;'FORMULA REFS'!G$1,$Z95,"")))</f>
        <v/>
      </c>
      <c r="AN95" s="497" t="str">
        <f>IF($X$49="WEEKS","",IF($Z95="Manual Entry hrs/wk","",IF($X$49&gt;'FORMULA REFS'!H$1,$Z95,"")))</f>
        <v/>
      </c>
      <c r="AO95" s="497" t="str">
        <f>IF($X$49="WEEKS","",IF($Z95="Manual Entry hrs/wk","",IF($X$49&gt;'FORMULA REFS'!I$1,$Z95,"")))</f>
        <v/>
      </c>
      <c r="AP95" s="497" t="str">
        <f>IF($X$49="WEEKS","",IF($Z95="Manual Entry hrs/wk","",IF($X$49&gt;'FORMULA REFS'!J$1,$Z95,"")))</f>
        <v/>
      </c>
      <c r="AQ95" s="497" t="str">
        <f>IF($X$49="WEEKS","",IF($Z95="Manual Entry hrs/wk","",IF($X$49&gt;'FORMULA REFS'!K$1,$Z95,"")))</f>
        <v/>
      </c>
      <c r="AR95" s="497" t="str">
        <f>IF($X$49="WEEKS","",IF($Z95="Manual Entry hrs/wk","",IF($X$49&gt;'FORMULA REFS'!L$1,$Z95,"")))</f>
        <v/>
      </c>
      <c r="AS95" s="497" t="str">
        <f>IF($X$49="WEEKS","",IF($Z95="Manual Entry hrs/wk","",IF($X$49&gt;'FORMULA REFS'!M$1,$Z95,"")))</f>
        <v/>
      </c>
      <c r="AT95" s="497" t="str">
        <f>IF($X$49="WEEKS","",IF($Z95="Manual Entry hrs/wk","",IF($X$49&gt;'FORMULA REFS'!N$1,$Z95,"")))</f>
        <v/>
      </c>
      <c r="AU95" s="497" t="str">
        <f>IF($X$49="WEEKS","",IF($Z95="Manual Entry hrs/wk","",IF($X$49&gt;'FORMULA REFS'!O$1,$Z95,"")))</f>
        <v/>
      </c>
      <c r="AV95" s="497" t="str">
        <f>IF($X$49="WEEKS","",IF($Z95="Manual Entry hrs/wk","",IF($X$49&gt;'FORMULA REFS'!P$1,$Z95,"")))</f>
        <v/>
      </c>
      <c r="AW95" s="497" t="str">
        <f>IF($X$49="WEEKS","",IF($Z95="Manual Entry hrs/wk","",IF($X$49&gt;'FORMULA REFS'!Q$1,$Z95,"")))</f>
        <v/>
      </c>
      <c r="AX95" s="497" t="str">
        <f>IF($X$49="WEEKS","",IF($Z95="Manual Entry hrs/wk","",IF($X$49&gt;'FORMULA REFS'!R$1,$Z95,"")))</f>
        <v/>
      </c>
      <c r="AY95" s="497" t="str">
        <f>IF($X$49="WEEKS","",IF($Z95="Manual Entry hrs/wk","",IF($X$49&gt;'FORMULA REFS'!S$1,$Z95,"")))</f>
        <v/>
      </c>
      <c r="AZ95" s="497" t="str">
        <f>IF($X$49="WEEKS","",IF($Z95="Manual Entry hrs/wk","",IF($X$49&gt;'FORMULA REFS'!T$1,$Z95,"")))</f>
        <v/>
      </c>
      <c r="BA95" s="497" t="str">
        <f>IF($X$49="WEEKS","",IF($Z95="Manual Entry hrs/wk","",IF($X$49&gt;'FORMULA REFS'!U$1,$Z95,"")))</f>
        <v/>
      </c>
      <c r="BB95" s="497" t="str">
        <f>IF($X$49="WEEKS","",IF($Z95="Manual Entry hrs/wk","",IF($X$49&gt;'FORMULA REFS'!V$1,$Z95,"")))</f>
        <v/>
      </c>
      <c r="BC95" s="497" t="str">
        <f>IF($X$49="WEEKS","",IF($Z95="Manual Entry hrs/wk","",IF($X$49&gt;'FORMULA REFS'!W$1,$Z95,"")))</f>
        <v/>
      </c>
      <c r="BD95" s="497" t="str">
        <f>IF($X$49="WEEKS","",IF($Z95="Manual Entry hrs/wk","",IF($X$49&gt;'FORMULA REFS'!X$1,$Z95,"")))</f>
        <v/>
      </c>
      <c r="BE95" s="497" t="str">
        <f>IF($X$49="WEEKS","",IF($Z95="Manual Entry hrs/wk","",IF($X$49&gt;'FORMULA REFS'!Y$1,$Z95,"")))</f>
        <v/>
      </c>
      <c r="BF95" s="497" t="str">
        <f>IF($X$49="WEEKS","",IF($Z95="Manual Entry hrs/wk","",IF($X$49&gt;'FORMULA REFS'!Z$1,$Z95,"")))</f>
        <v/>
      </c>
      <c r="BG95" s="497" t="str">
        <f>IF($X$49="WEEKS","",IF($Z95="Manual Entry hrs/wk","",IF($X$49&gt;'FORMULA REFS'!AA$1,$Z95,"")))</f>
        <v/>
      </c>
      <c r="BH95" s="497" t="str">
        <f>IF($X$49="WEEKS","",IF($Z95="Manual Entry hrs/wk","",IF($X$49&gt;'FORMULA REFS'!AB$1,$Z95,"")))</f>
        <v/>
      </c>
      <c r="BI95" s="497" t="str">
        <f>IF($X$49="WEEKS","",IF($Z95="Manual Entry hrs/wk","",IF($X$49&gt;'FORMULA REFS'!AC$1,$Z95,"")))</f>
        <v/>
      </c>
      <c r="BJ95" s="497" t="str">
        <f>IF($X$49="WEEKS","",IF($Z95="Manual Entry hrs/wk","",IF($X$49&gt;'FORMULA REFS'!AD$1,$Z95,"")))</f>
        <v/>
      </c>
      <c r="BK95" s="497" t="str">
        <f>IF($X$49="WEEKS","",IF($Z95="Manual Entry hrs/wk","",IF($X$49&gt;'FORMULA REFS'!AE$1,$Z95,"")))</f>
        <v/>
      </c>
      <c r="BL95" s="497" t="str">
        <f>IF($X$49="WEEKS","",IF($Z95="Manual Entry hrs/wk","",IF($X$49&gt;'FORMULA REFS'!AF$1,$Z95,"")))</f>
        <v/>
      </c>
      <c r="BM95" s="497" t="str">
        <f>IF($X$49="WEEKS","",IF($Z95="Manual Entry hrs/wk","",IF($X$49&gt;'FORMULA REFS'!AG$1,$Z95,"")))</f>
        <v/>
      </c>
      <c r="BN95" s="497" t="str">
        <f>IF($X$49="WEEKS","",IF($Z95="Manual Entry hrs/wk","",IF($X$49&gt;'FORMULA REFS'!AH$1,$Z95,"")))</f>
        <v/>
      </c>
      <c r="BO95" s="497" t="str">
        <f>IF($X$49="WEEKS","",IF($Z95="Manual Entry hrs/wk","",IF($X$49&gt;'FORMULA REFS'!AI$1,$Z95,"")))</f>
        <v/>
      </c>
      <c r="BP95" s="497" t="str">
        <f>IF($X$49="WEEKS","",IF($Z95="Manual Entry hrs/wk","",IF($X$49&gt;'FORMULA REFS'!AJ$1,$Z95,"")))</f>
        <v/>
      </c>
      <c r="BQ95" s="497" t="str">
        <f>IF($X$49="WEEKS","",IF($Z95="Manual Entry hrs/wk","",IF($X$49&gt;'FORMULA REFS'!AK$1,$Z95,"")))</f>
        <v/>
      </c>
      <c r="BR95" s="497" t="str">
        <f>IF($X$49="WEEKS","",IF($Z95="Manual Entry hrs/wk","",IF($X$49&gt;'FORMULA REFS'!AL$1,$Z95,"")))</f>
        <v/>
      </c>
      <c r="BS95" s="497" t="str">
        <f>IF($X$49="WEEKS","",IF($Z95="Manual Entry hrs/wk","",IF($X$49&gt;'FORMULA REFS'!AM$1,$Z95,"")))</f>
        <v/>
      </c>
      <c r="BT95" s="497" t="str">
        <f>IF($X$49="WEEKS","",IF($Z95="Manual Entry hrs/wk","",IF($X$49&gt;'FORMULA REFS'!AN$1,$Z95,"")))</f>
        <v/>
      </c>
      <c r="BU95" s="497" t="str">
        <f>IF($X$49="WEEKS","",IF($Z95="Manual Entry hrs/wk","",IF($X$49&gt;'FORMULA REFS'!AO$1,$Z95,"")))</f>
        <v/>
      </c>
      <c r="BV95" s="497" t="str">
        <f>IF($X$49="WEEKS","",IF($Z95="Manual Entry hrs/wk","",IF($X$49&gt;'FORMULA REFS'!AP$1,$Z95,"")))</f>
        <v/>
      </c>
      <c r="BW95" s="497" t="str">
        <f>IF($X$49="WEEKS","",IF($Z95="Manual Entry hrs/wk","",IF($X$49&gt;'FORMULA REFS'!AQ$1,$Z95,"")))</f>
        <v/>
      </c>
      <c r="BX95" s="497" t="str">
        <f>IF($X$49="WEEKS","",IF($Z95="Manual Entry hrs/wk","",IF($X$49&gt;'FORMULA REFS'!AR$1,$Z95,"")))</f>
        <v/>
      </c>
      <c r="BY95" s="497" t="str">
        <f>IF($X$49="WEEKS","",IF($Z95="Manual Entry hrs/wk","",IF($X$49&gt;'FORMULA REFS'!AS$1,$Z95,"")))</f>
        <v/>
      </c>
      <c r="BZ95" s="497" t="str">
        <f>IF($X$49="WEEKS","",IF($Z95="Manual Entry hrs/wk","",IF($X$49&gt;'FORMULA REFS'!AT$1,$Z95,"")))</f>
        <v/>
      </c>
      <c r="CA95" s="497" t="str">
        <f>IF($X$49="WEEKS","",IF($Z95="Manual Entry hrs/wk","",IF($X$49&gt;'FORMULA REFS'!AU$1,$Z95,"")))</f>
        <v/>
      </c>
      <c r="CB95" s="497" t="str">
        <f>IF($X$49="WEEKS","",IF($Z95="Manual Entry hrs/wk","",IF($X$49&gt;'FORMULA REFS'!AV$1,$Z95,"")))</f>
        <v/>
      </c>
      <c r="CC95" s="497" t="str">
        <f>IF($X$49="WEEKS","",IF($Z95="Manual Entry hrs/wk","",IF($X$49&gt;'FORMULA REFS'!AW$1,$Z95,"")))</f>
        <v/>
      </c>
      <c r="CD95" s="497" t="str">
        <f>IF($X$49="WEEKS","",IF($Z95="Manual Entry hrs/wk","",IF($X$49&gt;'FORMULA REFS'!AX$1,$Z95,"")))</f>
        <v/>
      </c>
      <c r="CE95" s="497" t="str">
        <f>IF($X$49="WEEKS","",IF($Z95="Manual Entry hrs/wk","",IF($X$49&gt;'FORMULA REFS'!AY$1,$Z95,"")))</f>
        <v/>
      </c>
      <c r="CF95" s="497" t="str">
        <f>IF($X$49="WEEKS","",IF($Z95="Manual Entry hrs/wk","",IF($X$49&gt;'FORMULA REFS'!AZ$1,$Z95,"")))</f>
        <v/>
      </c>
      <c r="CG95" s="113"/>
      <c r="CH95" s="349" t="str">
        <f t="shared" si="19"/>
        <v/>
      </c>
      <c r="CI95" s="349">
        <f>IFERROR((_xlfn.XLOOKUP($M95,'Standard Rate Cards'!D:D,'Standard Rate Cards'!E:E))*Y95,0)</f>
        <v>0</v>
      </c>
      <c r="CJ95" s="349">
        <f>IF(CL95&lt;&gt;"","",IF($D$16="Select Type","Select Margin Class",IFERROR(IF($M95="",0,IF($D$16="Client Custom Rates",0,IF($D$16="Standard Rates",_xlfn.XLOOKUP($M95,'Standard Rate Cards'!$D:$D,'Standard Rate Cards'!G:G)))),0)))</f>
        <v>0</v>
      </c>
      <c r="CK95" s="349" cm="1">
        <f t="array" ref="CK95">IF(CL95&lt;&gt;"","",IFERROR(IF($D$16&lt;&gt;"Client Custom Rates",0,INDEX('Client Rate Cards'!E:E,MATCH(1,('Client Rate Cards'!B:B='2. Pricing &amp; Import'!$D$17)*('Client Rate Cards'!D:D='2. Pricing &amp; Import'!N95),0))),0))</f>
        <v>0</v>
      </c>
      <c r="CL95" s="350"/>
    </row>
    <row r="96" spans="3:90" ht="16.05" hidden="1" customHeight="1" outlineLevel="1" x14ac:dyDescent="0.3">
      <c r="C96" s="346"/>
      <c r="D96" s="495"/>
      <c r="E96" s="346"/>
      <c r="F96" s="346" t="str">
        <f>IFERROR(_xlfn.XLOOKUP(E96,'Standard Rate Cards'!$BB$11:$BB$23,'Standard Rate Cards'!$BA$11:$BA$23),"")</f>
        <v/>
      </c>
      <c r="G96" s="346"/>
      <c r="H96" s="346" t="str">
        <f>IFERROR(_xlfn.XLOOKUP(G96,'Standard Rate Cards'!$AP$8:$AP$142,'Standard Rate Cards'!$AQ$8:$AQ$142),"")</f>
        <v/>
      </c>
      <c r="I96" s="346"/>
      <c r="J96" s="346"/>
      <c r="K96" s="496"/>
      <c r="L96" s="496" t="str">
        <f t="shared" si="13"/>
        <v xml:space="preserve"> </v>
      </c>
      <c r="M96" s="496" t="str" cm="1">
        <f t="array" ref="M96">IF(ISBLANK(D96),"",IF(D96&lt;&gt;"CrederaUS",INDEX('Standard Rate Cards'!$D$9:$D$433,MATCH(1,('Standard Rate Cards'!$B$9:$B$433='2. Pricing &amp; Import'!D96)*('Standard Rate Cards'!$C$9:$C$433='2. Pricing &amp; Import'!K96),0)),INDEX('Standard Rate Cards'!$D$9:$D$433,MATCH(1,('Standard Rate Cards'!$B$9:$B$433='2. Pricing &amp; Import'!D96)*('Standard Rate Cards'!$C$9:$C$433='2. Pricing &amp; Import'!K96)*('Standard Rate Cards'!$H$9:$H$433=L96),0))))</f>
        <v/>
      </c>
      <c r="N96" s="347"/>
      <c r="O96" s="110" t="str">
        <f>IF(ISBLANK(K96)," ",_xlfn.XLOOKUP(K96,'Standard Rate Cards'!C:C,'Standard Rate Cards'!H:H))</f>
        <v xml:space="preserve"> </v>
      </c>
      <c r="P96" s="246" t="str">
        <f>IF(ISBLANK($K96)," ",_xlfn.XLOOKUP($K96,'Standard Rate Cards'!C:C,'Standard Rate Cards'!F:F))</f>
        <v xml:space="preserve"> </v>
      </c>
      <c r="Q96" s="348"/>
      <c r="R96" s="250"/>
      <c r="S96" s="680"/>
      <c r="T96" s="681"/>
      <c r="U96" s="1637"/>
      <c r="V96" s="1638"/>
      <c r="W96" s="681"/>
      <c r="X96" s="681" t="str">
        <f t="shared" si="17"/>
        <v/>
      </c>
      <c r="Y96" s="682" t="str">
        <f t="shared" si="18"/>
        <v/>
      </c>
      <c r="Z96" s="1630" t="s">
        <v>309</v>
      </c>
      <c r="AA96" s="1631"/>
      <c r="AB96" s="94"/>
      <c r="AC96" s="94"/>
      <c r="AD96" s="94"/>
      <c r="AE96" s="94"/>
      <c r="AF96" s="94"/>
      <c r="AG96" s="497" t="str">
        <f>IF($X$49="WEEKS","",IF($Z96="Manual Entry hrs/wk","",IF($X$49&gt;'FORMULA REFS'!A$1,$Z96,"")))</f>
        <v/>
      </c>
      <c r="AH96" s="497" t="str">
        <f>IF($X$49="WEEKS","",IF($Z96="Manual Entry hrs/wk","",IF($X$49&gt;'FORMULA REFS'!B$1,$Z96,"")))</f>
        <v/>
      </c>
      <c r="AI96" s="497" t="str">
        <f>IF($X$49="WEEKS","",IF($Z96="Manual Entry hrs/wk","",IF($X$49&gt;'FORMULA REFS'!C$1,$Z96,"")))</f>
        <v/>
      </c>
      <c r="AJ96" s="497" t="str">
        <f>IF($X$49="WEEKS","",IF($Z96="Manual Entry hrs/wk","",IF($X$49&gt;'FORMULA REFS'!D$1,$Z96,"")))</f>
        <v/>
      </c>
      <c r="AK96" s="497" t="str">
        <f>IF($X$49="WEEKS","",IF($Z96="Manual Entry hrs/wk","",IF($X$49&gt;'FORMULA REFS'!E$1,$Z96,"")))</f>
        <v/>
      </c>
      <c r="AL96" s="497" t="str">
        <f>IF($X$49="WEEKS","",IF($Z96="Manual Entry hrs/wk","",IF($X$49&gt;'FORMULA REFS'!F$1,$Z96,"")))</f>
        <v/>
      </c>
      <c r="AM96" s="497" t="str">
        <f>IF($X$49="WEEKS","",IF($Z96="Manual Entry hrs/wk","",IF($X$49&gt;'FORMULA REFS'!G$1,$Z96,"")))</f>
        <v/>
      </c>
      <c r="AN96" s="497" t="str">
        <f>IF($X$49="WEEKS","",IF($Z96="Manual Entry hrs/wk","",IF($X$49&gt;'FORMULA REFS'!H$1,$Z96,"")))</f>
        <v/>
      </c>
      <c r="AO96" s="497" t="str">
        <f>IF($X$49="WEEKS","",IF($Z96="Manual Entry hrs/wk","",IF($X$49&gt;'FORMULA REFS'!I$1,$Z96,"")))</f>
        <v/>
      </c>
      <c r="AP96" s="497" t="str">
        <f>IF($X$49="WEEKS","",IF($Z96="Manual Entry hrs/wk","",IF($X$49&gt;'FORMULA REFS'!J$1,$Z96,"")))</f>
        <v/>
      </c>
      <c r="AQ96" s="497" t="str">
        <f>IF($X$49="WEEKS","",IF($Z96="Manual Entry hrs/wk","",IF($X$49&gt;'FORMULA REFS'!K$1,$Z96,"")))</f>
        <v/>
      </c>
      <c r="AR96" s="497" t="str">
        <f>IF($X$49="WEEKS","",IF($Z96="Manual Entry hrs/wk","",IF($X$49&gt;'FORMULA REFS'!L$1,$Z96,"")))</f>
        <v/>
      </c>
      <c r="AS96" s="497" t="str">
        <f>IF($X$49="WEEKS","",IF($Z96="Manual Entry hrs/wk","",IF($X$49&gt;'FORMULA REFS'!M$1,$Z96,"")))</f>
        <v/>
      </c>
      <c r="AT96" s="497" t="str">
        <f>IF($X$49="WEEKS","",IF($Z96="Manual Entry hrs/wk","",IF($X$49&gt;'FORMULA REFS'!N$1,$Z96,"")))</f>
        <v/>
      </c>
      <c r="AU96" s="497" t="str">
        <f>IF($X$49="WEEKS","",IF($Z96="Manual Entry hrs/wk","",IF($X$49&gt;'FORMULA REFS'!O$1,$Z96,"")))</f>
        <v/>
      </c>
      <c r="AV96" s="497" t="str">
        <f>IF($X$49="WEEKS","",IF($Z96="Manual Entry hrs/wk","",IF($X$49&gt;'FORMULA REFS'!P$1,$Z96,"")))</f>
        <v/>
      </c>
      <c r="AW96" s="497" t="str">
        <f>IF($X$49="WEEKS","",IF($Z96="Manual Entry hrs/wk","",IF($X$49&gt;'FORMULA REFS'!Q$1,$Z96,"")))</f>
        <v/>
      </c>
      <c r="AX96" s="497" t="str">
        <f>IF($X$49="WEEKS","",IF($Z96="Manual Entry hrs/wk","",IF($X$49&gt;'FORMULA REFS'!R$1,$Z96,"")))</f>
        <v/>
      </c>
      <c r="AY96" s="497" t="str">
        <f>IF($X$49="WEEKS","",IF($Z96="Manual Entry hrs/wk","",IF($X$49&gt;'FORMULA REFS'!S$1,$Z96,"")))</f>
        <v/>
      </c>
      <c r="AZ96" s="497" t="str">
        <f>IF($X$49="WEEKS","",IF($Z96="Manual Entry hrs/wk","",IF($X$49&gt;'FORMULA REFS'!T$1,$Z96,"")))</f>
        <v/>
      </c>
      <c r="BA96" s="497" t="str">
        <f>IF($X$49="WEEKS","",IF($Z96="Manual Entry hrs/wk","",IF($X$49&gt;'FORMULA REFS'!U$1,$Z96,"")))</f>
        <v/>
      </c>
      <c r="BB96" s="497" t="str">
        <f>IF($X$49="WEEKS","",IF($Z96="Manual Entry hrs/wk","",IF($X$49&gt;'FORMULA REFS'!V$1,$Z96,"")))</f>
        <v/>
      </c>
      <c r="BC96" s="497" t="str">
        <f>IF($X$49="WEEKS","",IF($Z96="Manual Entry hrs/wk","",IF($X$49&gt;'FORMULA REFS'!W$1,$Z96,"")))</f>
        <v/>
      </c>
      <c r="BD96" s="497" t="str">
        <f>IF($X$49="WEEKS","",IF($Z96="Manual Entry hrs/wk","",IF($X$49&gt;'FORMULA REFS'!X$1,$Z96,"")))</f>
        <v/>
      </c>
      <c r="BE96" s="497" t="str">
        <f>IF($X$49="WEEKS","",IF($Z96="Manual Entry hrs/wk","",IF($X$49&gt;'FORMULA REFS'!Y$1,$Z96,"")))</f>
        <v/>
      </c>
      <c r="BF96" s="497" t="str">
        <f>IF($X$49="WEEKS","",IF($Z96="Manual Entry hrs/wk","",IF($X$49&gt;'FORMULA REFS'!Z$1,$Z96,"")))</f>
        <v/>
      </c>
      <c r="BG96" s="497" t="str">
        <f>IF($X$49="WEEKS","",IF($Z96="Manual Entry hrs/wk","",IF($X$49&gt;'FORMULA REFS'!AA$1,$Z96,"")))</f>
        <v/>
      </c>
      <c r="BH96" s="497" t="str">
        <f>IF($X$49="WEEKS","",IF($Z96="Manual Entry hrs/wk","",IF($X$49&gt;'FORMULA REFS'!AB$1,$Z96,"")))</f>
        <v/>
      </c>
      <c r="BI96" s="497" t="str">
        <f>IF($X$49="WEEKS","",IF($Z96="Manual Entry hrs/wk","",IF($X$49&gt;'FORMULA REFS'!AC$1,$Z96,"")))</f>
        <v/>
      </c>
      <c r="BJ96" s="497" t="str">
        <f>IF($X$49="WEEKS","",IF($Z96="Manual Entry hrs/wk","",IF($X$49&gt;'FORMULA REFS'!AD$1,$Z96,"")))</f>
        <v/>
      </c>
      <c r="BK96" s="497" t="str">
        <f>IF($X$49="WEEKS","",IF($Z96="Manual Entry hrs/wk","",IF($X$49&gt;'FORMULA REFS'!AE$1,$Z96,"")))</f>
        <v/>
      </c>
      <c r="BL96" s="497" t="str">
        <f>IF($X$49="WEEKS","",IF($Z96="Manual Entry hrs/wk","",IF($X$49&gt;'FORMULA REFS'!AF$1,$Z96,"")))</f>
        <v/>
      </c>
      <c r="BM96" s="497" t="str">
        <f>IF($X$49="WEEKS","",IF($Z96="Manual Entry hrs/wk","",IF($X$49&gt;'FORMULA REFS'!AG$1,$Z96,"")))</f>
        <v/>
      </c>
      <c r="BN96" s="497" t="str">
        <f>IF($X$49="WEEKS","",IF($Z96="Manual Entry hrs/wk","",IF($X$49&gt;'FORMULA REFS'!AH$1,$Z96,"")))</f>
        <v/>
      </c>
      <c r="BO96" s="497" t="str">
        <f>IF($X$49="WEEKS","",IF($Z96="Manual Entry hrs/wk","",IF($X$49&gt;'FORMULA REFS'!AI$1,$Z96,"")))</f>
        <v/>
      </c>
      <c r="BP96" s="497" t="str">
        <f>IF($X$49="WEEKS","",IF($Z96="Manual Entry hrs/wk","",IF($X$49&gt;'FORMULA REFS'!AJ$1,$Z96,"")))</f>
        <v/>
      </c>
      <c r="BQ96" s="497" t="str">
        <f>IF($X$49="WEEKS","",IF($Z96="Manual Entry hrs/wk","",IF($X$49&gt;'FORMULA REFS'!AK$1,$Z96,"")))</f>
        <v/>
      </c>
      <c r="BR96" s="497" t="str">
        <f>IF($X$49="WEEKS","",IF($Z96="Manual Entry hrs/wk","",IF($X$49&gt;'FORMULA REFS'!AL$1,$Z96,"")))</f>
        <v/>
      </c>
      <c r="BS96" s="497" t="str">
        <f>IF($X$49="WEEKS","",IF($Z96="Manual Entry hrs/wk","",IF($X$49&gt;'FORMULA REFS'!AM$1,$Z96,"")))</f>
        <v/>
      </c>
      <c r="BT96" s="497" t="str">
        <f>IF($X$49="WEEKS","",IF($Z96="Manual Entry hrs/wk","",IF($X$49&gt;'FORMULA REFS'!AN$1,$Z96,"")))</f>
        <v/>
      </c>
      <c r="BU96" s="497" t="str">
        <f>IF($X$49="WEEKS","",IF($Z96="Manual Entry hrs/wk","",IF($X$49&gt;'FORMULA REFS'!AO$1,$Z96,"")))</f>
        <v/>
      </c>
      <c r="BV96" s="497" t="str">
        <f>IF($X$49="WEEKS","",IF($Z96="Manual Entry hrs/wk","",IF($X$49&gt;'FORMULA REFS'!AP$1,$Z96,"")))</f>
        <v/>
      </c>
      <c r="BW96" s="497" t="str">
        <f>IF($X$49="WEEKS","",IF($Z96="Manual Entry hrs/wk","",IF($X$49&gt;'FORMULA REFS'!AQ$1,$Z96,"")))</f>
        <v/>
      </c>
      <c r="BX96" s="497" t="str">
        <f>IF($X$49="WEEKS","",IF($Z96="Manual Entry hrs/wk","",IF($X$49&gt;'FORMULA REFS'!AR$1,$Z96,"")))</f>
        <v/>
      </c>
      <c r="BY96" s="497" t="str">
        <f>IF($X$49="WEEKS","",IF($Z96="Manual Entry hrs/wk","",IF($X$49&gt;'FORMULA REFS'!AS$1,$Z96,"")))</f>
        <v/>
      </c>
      <c r="BZ96" s="497" t="str">
        <f>IF($X$49="WEEKS","",IF($Z96="Manual Entry hrs/wk","",IF($X$49&gt;'FORMULA REFS'!AT$1,$Z96,"")))</f>
        <v/>
      </c>
      <c r="CA96" s="497" t="str">
        <f>IF($X$49="WEEKS","",IF($Z96="Manual Entry hrs/wk","",IF($X$49&gt;'FORMULA REFS'!AU$1,$Z96,"")))</f>
        <v/>
      </c>
      <c r="CB96" s="497" t="str">
        <f>IF($X$49="WEEKS","",IF($Z96="Manual Entry hrs/wk","",IF($X$49&gt;'FORMULA REFS'!AV$1,$Z96,"")))</f>
        <v/>
      </c>
      <c r="CC96" s="497" t="str">
        <f>IF($X$49="WEEKS","",IF($Z96="Manual Entry hrs/wk","",IF($X$49&gt;'FORMULA REFS'!AW$1,$Z96,"")))</f>
        <v/>
      </c>
      <c r="CD96" s="497" t="str">
        <f>IF($X$49="WEEKS","",IF($Z96="Manual Entry hrs/wk","",IF($X$49&gt;'FORMULA REFS'!AX$1,$Z96,"")))</f>
        <v/>
      </c>
      <c r="CE96" s="497" t="str">
        <f>IF($X$49="WEEKS","",IF($Z96="Manual Entry hrs/wk","",IF($X$49&gt;'FORMULA REFS'!AY$1,$Z96,"")))</f>
        <v/>
      </c>
      <c r="CF96" s="497" t="str">
        <f>IF($X$49="WEEKS","",IF($Z96="Manual Entry hrs/wk","",IF($X$49&gt;'FORMULA REFS'!AZ$1,$Z96,"")))</f>
        <v/>
      </c>
      <c r="CG96" s="113"/>
      <c r="CH96" s="349" t="str">
        <f t="shared" si="19"/>
        <v/>
      </c>
      <c r="CI96" s="349">
        <f>IFERROR((_xlfn.XLOOKUP($M96,'Standard Rate Cards'!D:D,'Standard Rate Cards'!E:E))*Y96,0)</f>
        <v>0</v>
      </c>
      <c r="CJ96" s="349">
        <f>IF(CL96&lt;&gt;"","",IF($D$16="Select Type","Select Margin Class",IFERROR(IF($M96="",0,IF($D$16="Client Custom Rates",0,IF($D$16="Standard Rates",_xlfn.XLOOKUP($M96,'Standard Rate Cards'!$D:$D,'Standard Rate Cards'!G:G)))),0)))</f>
        <v>0</v>
      </c>
      <c r="CK96" s="349" cm="1">
        <f t="array" ref="CK96">IF(CL96&lt;&gt;"","",IFERROR(IF($D$16&lt;&gt;"Client Custom Rates",0,INDEX('Client Rate Cards'!E:E,MATCH(1,('Client Rate Cards'!B:B='2. Pricing &amp; Import'!$D$17)*('Client Rate Cards'!D:D='2. Pricing &amp; Import'!N96),0))),0))</f>
        <v>0</v>
      </c>
      <c r="CL96" s="350"/>
    </row>
    <row r="97" spans="2:90" ht="16.05" hidden="1" customHeight="1" outlineLevel="1" x14ac:dyDescent="0.3">
      <c r="C97" s="346"/>
      <c r="D97" s="495"/>
      <c r="E97" s="346"/>
      <c r="F97" s="346" t="str">
        <f>IFERROR(_xlfn.XLOOKUP(E97,'Standard Rate Cards'!$BB$11:$BB$23,'Standard Rate Cards'!$BA$11:$BA$23),"")</f>
        <v/>
      </c>
      <c r="G97" s="346"/>
      <c r="H97" s="346" t="str">
        <f>IFERROR(_xlfn.XLOOKUP(G97,'Standard Rate Cards'!$AP$8:$AP$142,'Standard Rate Cards'!$AQ$8:$AQ$142),"")</f>
        <v/>
      </c>
      <c r="I97" s="346"/>
      <c r="J97" s="346"/>
      <c r="K97" s="496"/>
      <c r="L97" s="496" t="str">
        <f t="shared" si="13"/>
        <v xml:space="preserve"> </v>
      </c>
      <c r="M97" s="496" t="str" cm="1">
        <f t="array" ref="M97">IF(ISBLANK(D97),"",IF(D97&lt;&gt;"CrederaUS",INDEX('Standard Rate Cards'!$D$9:$D$433,MATCH(1,('Standard Rate Cards'!$B$9:$B$433='2. Pricing &amp; Import'!D97)*('Standard Rate Cards'!$C$9:$C$433='2. Pricing &amp; Import'!K97),0)),INDEX('Standard Rate Cards'!$D$9:$D$433,MATCH(1,('Standard Rate Cards'!$B$9:$B$433='2. Pricing &amp; Import'!D97)*('Standard Rate Cards'!$C$9:$C$433='2. Pricing &amp; Import'!K97)*('Standard Rate Cards'!$H$9:$H$433=L97),0))))</f>
        <v/>
      </c>
      <c r="N97" s="347"/>
      <c r="O97" s="110" t="str">
        <f>IF(ISBLANK(K97)," ",_xlfn.XLOOKUP(K97,'Standard Rate Cards'!C:C,'Standard Rate Cards'!H:H))</f>
        <v xml:space="preserve"> </v>
      </c>
      <c r="P97" s="246" t="str">
        <f>IF(ISBLANK($K97)," ",_xlfn.XLOOKUP($K97,'Standard Rate Cards'!C:C,'Standard Rate Cards'!F:F))</f>
        <v xml:space="preserve"> </v>
      </c>
      <c r="Q97" s="348"/>
      <c r="R97" s="250"/>
      <c r="S97" s="680"/>
      <c r="T97" s="681"/>
      <c r="U97" s="1637"/>
      <c r="V97" s="1638"/>
      <c r="W97" s="681"/>
      <c r="X97" s="681" t="str">
        <f t="shared" si="17"/>
        <v/>
      </c>
      <c r="Y97" s="682" t="str">
        <f t="shared" si="18"/>
        <v/>
      </c>
      <c r="Z97" s="1630" t="s">
        <v>309</v>
      </c>
      <c r="AA97" s="1631"/>
      <c r="AB97" s="94"/>
      <c r="AC97" s="94"/>
      <c r="AD97" s="94"/>
      <c r="AE97" s="94"/>
      <c r="AF97" s="94"/>
      <c r="AG97" s="497" t="str">
        <f>IF($X$49="WEEKS","",IF($Z97="Manual Entry hrs/wk","",IF($X$49&gt;'FORMULA REFS'!A$1,$Z97,"")))</f>
        <v/>
      </c>
      <c r="AH97" s="497" t="str">
        <f>IF($X$49="WEEKS","",IF($Z97="Manual Entry hrs/wk","",IF($X$49&gt;'FORMULA REFS'!B$1,$Z97,"")))</f>
        <v/>
      </c>
      <c r="AI97" s="497" t="str">
        <f>IF($X$49="WEEKS","",IF($Z97="Manual Entry hrs/wk","",IF($X$49&gt;'FORMULA REFS'!C$1,$Z97,"")))</f>
        <v/>
      </c>
      <c r="AJ97" s="497" t="str">
        <f>IF($X$49="WEEKS","",IF($Z97="Manual Entry hrs/wk","",IF($X$49&gt;'FORMULA REFS'!D$1,$Z97,"")))</f>
        <v/>
      </c>
      <c r="AK97" s="497" t="str">
        <f>IF($X$49="WEEKS","",IF($Z97="Manual Entry hrs/wk","",IF($X$49&gt;'FORMULA REFS'!E$1,$Z97,"")))</f>
        <v/>
      </c>
      <c r="AL97" s="497" t="str">
        <f>IF($X$49="WEEKS","",IF($Z97="Manual Entry hrs/wk","",IF($X$49&gt;'FORMULA REFS'!F$1,$Z97,"")))</f>
        <v/>
      </c>
      <c r="AM97" s="497" t="str">
        <f>IF($X$49="WEEKS","",IF($Z97="Manual Entry hrs/wk","",IF($X$49&gt;'FORMULA REFS'!G$1,$Z97,"")))</f>
        <v/>
      </c>
      <c r="AN97" s="497" t="str">
        <f>IF($X$49="WEEKS","",IF($Z97="Manual Entry hrs/wk","",IF($X$49&gt;'FORMULA REFS'!H$1,$Z97,"")))</f>
        <v/>
      </c>
      <c r="AO97" s="497" t="str">
        <f>IF($X$49="WEEKS","",IF($Z97="Manual Entry hrs/wk","",IF($X$49&gt;'FORMULA REFS'!I$1,$Z97,"")))</f>
        <v/>
      </c>
      <c r="AP97" s="497" t="str">
        <f>IF($X$49="WEEKS","",IF($Z97="Manual Entry hrs/wk","",IF($X$49&gt;'FORMULA REFS'!J$1,$Z97,"")))</f>
        <v/>
      </c>
      <c r="AQ97" s="497" t="str">
        <f>IF($X$49="WEEKS","",IF($Z97="Manual Entry hrs/wk","",IF($X$49&gt;'FORMULA REFS'!K$1,$Z97,"")))</f>
        <v/>
      </c>
      <c r="AR97" s="497" t="str">
        <f>IF($X$49="WEEKS","",IF($Z97="Manual Entry hrs/wk","",IF($X$49&gt;'FORMULA REFS'!L$1,$Z97,"")))</f>
        <v/>
      </c>
      <c r="AS97" s="497" t="str">
        <f>IF($X$49="WEEKS","",IF($Z97="Manual Entry hrs/wk","",IF($X$49&gt;'FORMULA REFS'!M$1,$Z97,"")))</f>
        <v/>
      </c>
      <c r="AT97" s="497" t="str">
        <f>IF($X$49="WEEKS","",IF($Z97="Manual Entry hrs/wk","",IF($X$49&gt;'FORMULA REFS'!N$1,$Z97,"")))</f>
        <v/>
      </c>
      <c r="AU97" s="497" t="str">
        <f>IF($X$49="WEEKS","",IF($Z97="Manual Entry hrs/wk","",IF($X$49&gt;'FORMULA REFS'!O$1,$Z97,"")))</f>
        <v/>
      </c>
      <c r="AV97" s="497" t="str">
        <f>IF($X$49="WEEKS","",IF($Z97="Manual Entry hrs/wk","",IF($X$49&gt;'FORMULA REFS'!P$1,$Z97,"")))</f>
        <v/>
      </c>
      <c r="AW97" s="497" t="str">
        <f>IF($X$49="WEEKS","",IF($Z97="Manual Entry hrs/wk","",IF($X$49&gt;'FORMULA REFS'!Q$1,$Z97,"")))</f>
        <v/>
      </c>
      <c r="AX97" s="497" t="str">
        <f>IF($X$49="WEEKS","",IF($Z97="Manual Entry hrs/wk","",IF($X$49&gt;'FORMULA REFS'!R$1,$Z97,"")))</f>
        <v/>
      </c>
      <c r="AY97" s="497" t="str">
        <f>IF($X$49="WEEKS","",IF($Z97="Manual Entry hrs/wk","",IF($X$49&gt;'FORMULA REFS'!S$1,$Z97,"")))</f>
        <v/>
      </c>
      <c r="AZ97" s="497" t="str">
        <f>IF($X$49="WEEKS","",IF($Z97="Manual Entry hrs/wk","",IF($X$49&gt;'FORMULA REFS'!T$1,$Z97,"")))</f>
        <v/>
      </c>
      <c r="BA97" s="497" t="str">
        <f>IF($X$49="WEEKS","",IF($Z97="Manual Entry hrs/wk","",IF($X$49&gt;'FORMULA REFS'!U$1,$Z97,"")))</f>
        <v/>
      </c>
      <c r="BB97" s="497" t="str">
        <f>IF($X$49="WEEKS","",IF($Z97="Manual Entry hrs/wk","",IF($X$49&gt;'FORMULA REFS'!V$1,$Z97,"")))</f>
        <v/>
      </c>
      <c r="BC97" s="497" t="str">
        <f>IF($X$49="WEEKS","",IF($Z97="Manual Entry hrs/wk","",IF($X$49&gt;'FORMULA REFS'!W$1,$Z97,"")))</f>
        <v/>
      </c>
      <c r="BD97" s="497" t="str">
        <f>IF($X$49="WEEKS","",IF($Z97="Manual Entry hrs/wk","",IF($X$49&gt;'FORMULA REFS'!X$1,$Z97,"")))</f>
        <v/>
      </c>
      <c r="BE97" s="497" t="str">
        <f>IF($X$49="WEEKS","",IF($Z97="Manual Entry hrs/wk","",IF($X$49&gt;'FORMULA REFS'!Y$1,$Z97,"")))</f>
        <v/>
      </c>
      <c r="BF97" s="497" t="str">
        <f>IF($X$49="WEEKS","",IF($Z97="Manual Entry hrs/wk","",IF($X$49&gt;'FORMULA REFS'!Z$1,$Z97,"")))</f>
        <v/>
      </c>
      <c r="BG97" s="497" t="str">
        <f>IF($X$49="WEEKS","",IF($Z97="Manual Entry hrs/wk","",IF($X$49&gt;'FORMULA REFS'!AA$1,$Z97,"")))</f>
        <v/>
      </c>
      <c r="BH97" s="497" t="str">
        <f>IF($X$49="WEEKS","",IF($Z97="Manual Entry hrs/wk","",IF($X$49&gt;'FORMULA REFS'!AB$1,$Z97,"")))</f>
        <v/>
      </c>
      <c r="BI97" s="497" t="str">
        <f>IF($X$49="WEEKS","",IF($Z97="Manual Entry hrs/wk","",IF($X$49&gt;'FORMULA REFS'!AC$1,$Z97,"")))</f>
        <v/>
      </c>
      <c r="BJ97" s="497" t="str">
        <f>IF($X$49="WEEKS","",IF($Z97="Manual Entry hrs/wk","",IF($X$49&gt;'FORMULA REFS'!AD$1,$Z97,"")))</f>
        <v/>
      </c>
      <c r="BK97" s="497" t="str">
        <f>IF($X$49="WEEKS","",IF($Z97="Manual Entry hrs/wk","",IF($X$49&gt;'FORMULA REFS'!AE$1,$Z97,"")))</f>
        <v/>
      </c>
      <c r="BL97" s="497" t="str">
        <f>IF($X$49="WEEKS","",IF($Z97="Manual Entry hrs/wk","",IF($X$49&gt;'FORMULA REFS'!AF$1,$Z97,"")))</f>
        <v/>
      </c>
      <c r="BM97" s="497" t="str">
        <f>IF($X$49="WEEKS","",IF($Z97="Manual Entry hrs/wk","",IF($X$49&gt;'FORMULA REFS'!AG$1,$Z97,"")))</f>
        <v/>
      </c>
      <c r="BN97" s="497" t="str">
        <f>IF($X$49="WEEKS","",IF($Z97="Manual Entry hrs/wk","",IF($X$49&gt;'FORMULA REFS'!AH$1,$Z97,"")))</f>
        <v/>
      </c>
      <c r="BO97" s="497" t="str">
        <f>IF($X$49="WEEKS","",IF($Z97="Manual Entry hrs/wk","",IF($X$49&gt;'FORMULA REFS'!AI$1,$Z97,"")))</f>
        <v/>
      </c>
      <c r="BP97" s="497" t="str">
        <f>IF($X$49="WEEKS","",IF($Z97="Manual Entry hrs/wk","",IF($X$49&gt;'FORMULA REFS'!AJ$1,$Z97,"")))</f>
        <v/>
      </c>
      <c r="BQ97" s="497" t="str">
        <f>IF($X$49="WEEKS","",IF($Z97="Manual Entry hrs/wk","",IF($X$49&gt;'FORMULA REFS'!AK$1,$Z97,"")))</f>
        <v/>
      </c>
      <c r="BR97" s="497" t="str">
        <f>IF($X$49="WEEKS","",IF($Z97="Manual Entry hrs/wk","",IF($X$49&gt;'FORMULA REFS'!AL$1,$Z97,"")))</f>
        <v/>
      </c>
      <c r="BS97" s="497" t="str">
        <f>IF($X$49="WEEKS","",IF($Z97="Manual Entry hrs/wk","",IF($X$49&gt;'FORMULA REFS'!AM$1,$Z97,"")))</f>
        <v/>
      </c>
      <c r="BT97" s="497" t="str">
        <f>IF($X$49="WEEKS","",IF($Z97="Manual Entry hrs/wk","",IF($X$49&gt;'FORMULA REFS'!AN$1,$Z97,"")))</f>
        <v/>
      </c>
      <c r="BU97" s="497" t="str">
        <f>IF($X$49="WEEKS","",IF($Z97="Manual Entry hrs/wk","",IF($X$49&gt;'FORMULA REFS'!AO$1,$Z97,"")))</f>
        <v/>
      </c>
      <c r="BV97" s="497" t="str">
        <f>IF($X$49="WEEKS","",IF($Z97="Manual Entry hrs/wk","",IF($X$49&gt;'FORMULA REFS'!AP$1,$Z97,"")))</f>
        <v/>
      </c>
      <c r="BW97" s="497" t="str">
        <f>IF($X$49="WEEKS","",IF($Z97="Manual Entry hrs/wk","",IF($X$49&gt;'FORMULA REFS'!AQ$1,$Z97,"")))</f>
        <v/>
      </c>
      <c r="BX97" s="497" t="str">
        <f>IF($X$49="WEEKS","",IF($Z97="Manual Entry hrs/wk","",IF($X$49&gt;'FORMULA REFS'!AR$1,$Z97,"")))</f>
        <v/>
      </c>
      <c r="BY97" s="497" t="str">
        <f>IF($X$49="WEEKS","",IF($Z97="Manual Entry hrs/wk","",IF($X$49&gt;'FORMULA REFS'!AS$1,$Z97,"")))</f>
        <v/>
      </c>
      <c r="BZ97" s="497" t="str">
        <f>IF($X$49="WEEKS","",IF($Z97="Manual Entry hrs/wk","",IF($X$49&gt;'FORMULA REFS'!AT$1,$Z97,"")))</f>
        <v/>
      </c>
      <c r="CA97" s="497" t="str">
        <f>IF($X$49="WEEKS","",IF($Z97="Manual Entry hrs/wk","",IF($X$49&gt;'FORMULA REFS'!AU$1,$Z97,"")))</f>
        <v/>
      </c>
      <c r="CB97" s="497" t="str">
        <f>IF($X$49="WEEKS","",IF($Z97="Manual Entry hrs/wk","",IF($X$49&gt;'FORMULA REFS'!AV$1,$Z97,"")))</f>
        <v/>
      </c>
      <c r="CC97" s="497" t="str">
        <f>IF($X$49="WEEKS","",IF($Z97="Manual Entry hrs/wk","",IF($X$49&gt;'FORMULA REFS'!AW$1,$Z97,"")))</f>
        <v/>
      </c>
      <c r="CD97" s="497" t="str">
        <f>IF($X$49="WEEKS","",IF($Z97="Manual Entry hrs/wk","",IF($X$49&gt;'FORMULA REFS'!AX$1,$Z97,"")))</f>
        <v/>
      </c>
      <c r="CE97" s="497" t="str">
        <f>IF($X$49="WEEKS","",IF($Z97="Manual Entry hrs/wk","",IF($X$49&gt;'FORMULA REFS'!AY$1,$Z97,"")))</f>
        <v/>
      </c>
      <c r="CF97" s="497" t="str">
        <f>IF($X$49="WEEKS","",IF($Z97="Manual Entry hrs/wk","",IF($X$49&gt;'FORMULA REFS'!AZ$1,$Z97,"")))</f>
        <v/>
      </c>
      <c r="CG97" s="113"/>
      <c r="CH97" s="349" t="str">
        <f t="shared" si="19"/>
        <v/>
      </c>
      <c r="CI97" s="349">
        <f>IFERROR((_xlfn.XLOOKUP($M97,'Standard Rate Cards'!D:D,'Standard Rate Cards'!E:E))*Y97,0)</f>
        <v>0</v>
      </c>
      <c r="CJ97" s="349">
        <f>IF(CL97&lt;&gt;"","",IF($D$16="Select Type","Select Margin Class",IFERROR(IF($M97="",0,IF($D$16="Client Custom Rates",0,IF($D$16="Standard Rates",_xlfn.XLOOKUP($M97,'Standard Rate Cards'!$D:$D,'Standard Rate Cards'!G:G)))),0)))</f>
        <v>0</v>
      </c>
      <c r="CK97" s="349" cm="1">
        <f t="array" ref="CK97">IF(CL97&lt;&gt;"","",IFERROR(IF($D$16&lt;&gt;"Client Custom Rates",0,INDEX('Client Rate Cards'!E:E,MATCH(1,('Client Rate Cards'!B:B='2. Pricing &amp; Import'!$D$17)*('Client Rate Cards'!D:D='2. Pricing &amp; Import'!N97),0))),0))</f>
        <v>0</v>
      </c>
      <c r="CL97" s="350"/>
    </row>
    <row r="98" spans="2:90" ht="16.05" hidden="1" customHeight="1" outlineLevel="1" x14ac:dyDescent="0.3">
      <c r="C98" s="346"/>
      <c r="D98" s="495"/>
      <c r="E98" s="346"/>
      <c r="F98" s="346" t="str">
        <f>IFERROR(_xlfn.XLOOKUP(E98,'Standard Rate Cards'!$BB$11:$BB$23,'Standard Rate Cards'!$BA$11:$BA$23),"")</f>
        <v/>
      </c>
      <c r="G98" s="346"/>
      <c r="H98" s="346" t="str">
        <f>IFERROR(_xlfn.XLOOKUP(G98,'Standard Rate Cards'!$AP$8:$AP$142,'Standard Rate Cards'!$AQ$8:$AQ$142),"")</f>
        <v/>
      </c>
      <c r="I98" s="346"/>
      <c r="J98" s="346"/>
      <c r="K98" s="496"/>
      <c r="L98" s="496" t="str">
        <f t="shared" si="13"/>
        <v xml:space="preserve"> </v>
      </c>
      <c r="M98" s="496" t="str" cm="1">
        <f t="array" ref="M98">IF(ISBLANK(D98),"",IF(D98&lt;&gt;"CrederaUS",INDEX('Standard Rate Cards'!$D$9:$D$433,MATCH(1,('Standard Rate Cards'!$B$9:$B$433='2. Pricing &amp; Import'!D98)*('Standard Rate Cards'!$C$9:$C$433='2. Pricing &amp; Import'!K98),0)),INDEX('Standard Rate Cards'!$D$9:$D$433,MATCH(1,('Standard Rate Cards'!$B$9:$B$433='2. Pricing &amp; Import'!D98)*('Standard Rate Cards'!$C$9:$C$433='2. Pricing &amp; Import'!K98)*('Standard Rate Cards'!$H$9:$H$433=L98),0))))</f>
        <v/>
      </c>
      <c r="N98" s="347"/>
      <c r="O98" s="110" t="str">
        <f>IF(ISBLANK(K98)," ",_xlfn.XLOOKUP(K98,'Standard Rate Cards'!C:C,'Standard Rate Cards'!H:H))</f>
        <v xml:space="preserve"> </v>
      </c>
      <c r="P98" s="246" t="str">
        <f>IF(ISBLANK($K98)," ",_xlfn.XLOOKUP($K98,'Standard Rate Cards'!C:C,'Standard Rate Cards'!F:F))</f>
        <v xml:space="preserve"> </v>
      </c>
      <c r="Q98" s="348"/>
      <c r="R98" s="250"/>
      <c r="S98" s="680"/>
      <c r="T98" s="681"/>
      <c r="U98" s="1637"/>
      <c r="V98" s="1638"/>
      <c r="W98" s="681"/>
      <c r="X98" s="681" t="str">
        <f t="shared" si="17"/>
        <v/>
      </c>
      <c r="Y98" s="682" t="str">
        <f t="shared" si="18"/>
        <v/>
      </c>
      <c r="Z98" s="1630" t="s">
        <v>309</v>
      </c>
      <c r="AA98" s="1631"/>
      <c r="AB98" s="94"/>
      <c r="AC98" s="94"/>
      <c r="AD98" s="94"/>
      <c r="AE98" s="94"/>
      <c r="AF98" s="94"/>
      <c r="AG98" s="497" t="str">
        <f>IF($X$49="WEEKS","",IF($Z98="Manual Entry hrs/wk","",IF($X$49&gt;'FORMULA REFS'!A$1,$Z98,"")))</f>
        <v/>
      </c>
      <c r="AH98" s="497" t="str">
        <f>IF($X$49="WEEKS","",IF($Z98="Manual Entry hrs/wk","",IF($X$49&gt;'FORMULA REFS'!B$1,$Z98,"")))</f>
        <v/>
      </c>
      <c r="AI98" s="497" t="str">
        <f>IF($X$49="WEEKS","",IF($Z98="Manual Entry hrs/wk","",IF($X$49&gt;'FORMULA REFS'!C$1,$Z98,"")))</f>
        <v/>
      </c>
      <c r="AJ98" s="497" t="str">
        <f>IF($X$49="WEEKS","",IF($Z98="Manual Entry hrs/wk","",IF($X$49&gt;'FORMULA REFS'!D$1,$Z98,"")))</f>
        <v/>
      </c>
      <c r="AK98" s="497" t="str">
        <f>IF($X$49="WEEKS","",IF($Z98="Manual Entry hrs/wk","",IF($X$49&gt;'FORMULA REFS'!E$1,$Z98,"")))</f>
        <v/>
      </c>
      <c r="AL98" s="497" t="str">
        <f>IF($X$49="WEEKS","",IF($Z98="Manual Entry hrs/wk","",IF($X$49&gt;'FORMULA REFS'!F$1,$Z98,"")))</f>
        <v/>
      </c>
      <c r="AM98" s="497" t="str">
        <f>IF($X$49="WEEKS","",IF($Z98="Manual Entry hrs/wk","",IF($X$49&gt;'FORMULA REFS'!G$1,$Z98,"")))</f>
        <v/>
      </c>
      <c r="AN98" s="497" t="str">
        <f>IF($X$49="WEEKS","",IF($Z98="Manual Entry hrs/wk","",IF($X$49&gt;'FORMULA REFS'!H$1,$Z98,"")))</f>
        <v/>
      </c>
      <c r="AO98" s="497" t="str">
        <f>IF($X$49="WEEKS","",IF($Z98="Manual Entry hrs/wk","",IF($X$49&gt;'FORMULA REFS'!I$1,$Z98,"")))</f>
        <v/>
      </c>
      <c r="AP98" s="497" t="str">
        <f>IF($X$49="WEEKS","",IF($Z98="Manual Entry hrs/wk","",IF($X$49&gt;'FORMULA REFS'!J$1,$Z98,"")))</f>
        <v/>
      </c>
      <c r="AQ98" s="497" t="str">
        <f>IF($X$49="WEEKS","",IF($Z98="Manual Entry hrs/wk","",IF($X$49&gt;'FORMULA REFS'!K$1,$Z98,"")))</f>
        <v/>
      </c>
      <c r="AR98" s="497" t="str">
        <f>IF($X$49="WEEKS","",IF($Z98="Manual Entry hrs/wk","",IF($X$49&gt;'FORMULA REFS'!L$1,$Z98,"")))</f>
        <v/>
      </c>
      <c r="AS98" s="497" t="str">
        <f>IF($X$49="WEEKS","",IF($Z98="Manual Entry hrs/wk","",IF($X$49&gt;'FORMULA REFS'!M$1,$Z98,"")))</f>
        <v/>
      </c>
      <c r="AT98" s="497" t="str">
        <f>IF($X$49="WEEKS","",IF($Z98="Manual Entry hrs/wk","",IF($X$49&gt;'FORMULA REFS'!N$1,$Z98,"")))</f>
        <v/>
      </c>
      <c r="AU98" s="497" t="str">
        <f>IF($X$49="WEEKS","",IF($Z98="Manual Entry hrs/wk","",IF($X$49&gt;'FORMULA REFS'!O$1,$Z98,"")))</f>
        <v/>
      </c>
      <c r="AV98" s="497" t="str">
        <f>IF($X$49="WEEKS","",IF($Z98="Manual Entry hrs/wk","",IF($X$49&gt;'FORMULA REFS'!P$1,$Z98,"")))</f>
        <v/>
      </c>
      <c r="AW98" s="497" t="str">
        <f>IF($X$49="WEEKS","",IF($Z98="Manual Entry hrs/wk","",IF($X$49&gt;'FORMULA REFS'!Q$1,$Z98,"")))</f>
        <v/>
      </c>
      <c r="AX98" s="497" t="str">
        <f>IF($X$49="WEEKS","",IF($Z98="Manual Entry hrs/wk","",IF($X$49&gt;'FORMULA REFS'!R$1,$Z98,"")))</f>
        <v/>
      </c>
      <c r="AY98" s="497" t="str">
        <f>IF($X$49="WEEKS","",IF($Z98="Manual Entry hrs/wk","",IF($X$49&gt;'FORMULA REFS'!S$1,$Z98,"")))</f>
        <v/>
      </c>
      <c r="AZ98" s="497" t="str">
        <f>IF($X$49="WEEKS","",IF($Z98="Manual Entry hrs/wk","",IF($X$49&gt;'FORMULA REFS'!T$1,$Z98,"")))</f>
        <v/>
      </c>
      <c r="BA98" s="497" t="str">
        <f>IF($X$49="WEEKS","",IF($Z98="Manual Entry hrs/wk","",IF($X$49&gt;'FORMULA REFS'!U$1,$Z98,"")))</f>
        <v/>
      </c>
      <c r="BB98" s="497" t="str">
        <f>IF($X$49="WEEKS","",IF($Z98="Manual Entry hrs/wk","",IF($X$49&gt;'FORMULA REFS'!V$1,$Z98,"")))</f>
        <v/>
      </c>
      <c r="BC98" s="497" t="str">
        <f>IF($X$49="WEEKS","",IF($Z98="Manual Entry hrs/wk","",IF($X$49&gt;'FORMULA REFS'!W$1,$Z98,"")))</f>
        <v/>
      </c>
      <c r="BD98" s="497" t="str">
        <f>IF($X$49="WEEKS","",IF($Z98="Manual Entry hrs/wk","",IF($X$49&gt;'FORMULA REFS'!X$1,$Z98,"")))</f>
        <v/>
      </c>
      <c r="BE98" s="497" t="str">
        <f>IF($X$49="WEEKS","",IF($Z98="Manual Entry hrs/wk","",IF($X$49&gt;'FORMULA REFS'!Y$1,$Z98,"")))</f>
        <v/>
      </c>
      <c r="BF98" s="497" t="str">
        <f>IF($X$49="WEEKS","",IF($Z98="Manual Entry hrs/wk","",IF($X$49&gt;'FORMULA REFS'!Z$1,$Z98,"")))</f>
        <v/>
      </c>
      <c r="BG98" s="497" t="str">
        <f>IF($X$49="WEEKS","",IF($Z98="Manual Entry hrs/wk","",IF($X$49&gt;'FORMULA REFS'!AA$1,$Z98,"")))</f>
        <v/>
      </c>
      <c r="BH98" s="497" t="str">
        <f>IF($X$49="WEEKS","",IF($Z98="Manual Entry hrs/wk","",IF($X$49&gt;'FORMULA REFS'!AB$1,$Z98,"")))</f>
        <v/>
      </c>
      <c r="BI98" s="497" t="str">
        <f>IF($X$49="WEEKS","",IF($Z98="Manual Entry hrs/wk","",IF($X$49&gt;'FORMULA REFS'!AC$1,$Z98,"")))</f>
        <v/>
      </c>
      <c r="BJ98" s="497" t="str">
        <f>IF($X$49="WEEKS","",IF($Z98="Manual Entry hrs/wk","",IF($X$49&gt;'FORMULA REFS'!AD$1,$Z98,"")))</f>
        <v/>
      </c>
      <c r="BK98" s="497" t="str">
        <f>IF($X$49="WEEKS","",IF($Z98="Manual Entry hrs/wk","",IF($X$49&gt;'FORMULA REFS'!AE$1,$Z98,"")))</f>
        <v/>
      </c>
      <c r="BL98" s="497" t="str">
        <f>IF($X$49="WEEKS","",IF($Z98="Manual Entry hrs/wk","",IF($X$49&gt;'FORMULA REFS'!AF$1,$Z98,"")))</f>
        <v/>
      </c>
      <c r="BM98" s="497" t="str">
        <f>IF($X$49="WEEKS","",IF($Z98="Manual Entry hrs/wk","",IF($X$49&gt;'FORMULA REFS'!AG$1,$Z98,"")))</f>
        <v/>
      </c>
      <c r="BN98" s="497" t="str">
        <f>IF($X$49="WEEKS","",IF($Z98="Manual Entry hrs/wk","",IF($X$49&gt;'FORMULA REFS'!AH$1,$Z98,"")))</f>
        <v/>
      </c>
      <c r="BO98" s="497" t="str">
        <f>IF($X$49="WEEKS","",IF($Z98="Manual Entry hrs/wk","",IF($X$49&gt;'FORMULA REFS'!AI$1,$Z98,"")))</f>
        <v/>
      </c>
      <c r="BP98" s="497" t="str">
        <f>IF($X$49="WEEKS","",IF($Z98="Manual Entry hrs/wk","",IF($X$49&gt;'FORMULA REFS'!AJ$1,$Z98,"")))</f>
        <v/>
      </c>
      <c r="BQ98" s="497" t="str">
        <f>IF($X$49="WEEKS","",IF($Z98="Manual Entry hrs/wk","",IF($X$49&gt;'FORMULA REFS'!AK$1,$Z98,"")))</f>
        <v/>
      </c>
      <c r="BR98" s="497" t="str">
        <f>IF($X$49="WEEKS","",IF($Z98="Manual Entry hrs/wk","",IF($X$49&gt;'FORMULA REFS'!AL$1,$Z98,"")))</f>
        <v/>
      </c>
      <c r="BS98" s="497" t="str">
        <f>IF($X$49="WEEKS","",IF($Z98="Manual Entry hrs/wk","",IF($X$49&gt;'FORMULA REFS'!AM$1,$Z98,"")))</f>
        <v/>
      </c>
      <c r="BT98" s="497" t="str">
        <f>IF($X$49="WEEKS","",IF($Z98="Manual Entry hrs/wk","",IF($X$49&gt;'FORMULA REFS'!AN$1,$Z98,"")))</f>
        <v/>
      </c>
      <c r="BU98" s="497" t="str">
        <f>IF($X$49="WEEKS","",IF($Z98="Manual Entry hrs/wk","",IF($X$49&gt;'FORMULA REFS'!AO$1,$Z98,"")))</f>
        <v/>
      </c>
      <c r="BV98" s="497" t="str">
        <f>IF($X$49="WEEKS","",IF($Z98="Manual Entry hrs/wk","",IF($X$49&gt;'FORMULA REFS'!AP$1,$Z98,"")))</f>
        <v/>
      </c>
      <c r="BW98" s="497" t="str">
        <f>IF($X$49="WEEKS","",IF($Z98="Manual Entry hrs/wk","",IF($X$49&gt;'FORMULA REFS'!AQ$1,$Z98,"")))</f>
        <v/>
      </c>
      <c r="BX98" s="497" t="str">
        <f>IF($X$49="WEEKS","",IF($Z98="Manual Entry hrs/wk","",IF($X$49&gt;'FORMULA REFS'!AR$1,$Z98,"")))</f>
        <v/>
      </c>
      <c r="BY98" s="497" t="str">
        <f>IF($X$49="WEEKS","",IF($Z98="Manual Entry hrs/wk","",IF($X$49&gt;'FORMULA REFS'!AS$1,$Z98,"")))</f>
        <v/>
      </c>
      <c r="BZ98" s="497" t="str">
        <f>IF($X$49="WEEKS","",IF($Z98="Manual Entry hrs/wk","",IF($X$49&gt;'FORMULA REFS'!AT$1,$Z98,"")))</f>
        <v/>
      </c>
      <c r="CA98" s="497" t="str">
        <f>IF($X$49="WEEKS","",IF($Z98="Manual Entry hrs/wk","",IF($X$49&gt;'FORMULA REFS'!AU$1,$Z98,"")))</f>
        <v/>
      </c>
      <c r="CB98" s="497" t="str">
        <f>IF($X$49="WEEKS","",IF($Z98="Manual Entry hrs/wk","",IF($X$49&gt;'FORMULA REFS'!AV$1,$Z98,"")))</f>
        <v/>
      </c>
      <c r="CC98" s="497" t="str">
        <f>IF($X$49="WEEKS","",IF($Z98="Manual Entry hrs/wk","",IF($X$49&gt;'FORMULA REFS'!AW$1,$Z98,"")))</f>
        <v/>
      </c>
      <c r="CD98" s="497" t="str">
        <f>IF($X$49="WEEKS","",IF($Z98="Manual Entry hrs/wk","",IF($X$49&gt;'FORMULA REFS'!AX$1,$Z98,"")))</f>
        <v/>
      </c>
      <c r="CE98" s="497" t="str">
        <f>IF($X$49="WEEKS","",IF($Z98="Manual Entry hrs/wk","",IF($X$49&gt;'FORMULA REFS'!AY$1,$Z98,"")))</f>
        <v/>
      </c>
      <c r="CF98" s="497" t="str">
        <f>IF($X$49="WEEKS","",IF($Z98="Manual Entry hrs/wk","",IF($X$49&gt;'FORMULA REFS'!AZ$1,$Z98,"")))</f>
        <v/>
      </c>
      <c r="CG98" s="113"/>
      <c r="CH98" s="349" t="str">
        <f t="shared" si="19"/>
        <v/>
      </c>
      <c r="CI98" s="349">
        <f>IFERROR((_xlfn.XLOOKUP($M98,'Standard Rate Cards'!D:D,'Standard Rate Cards'!E:E))*Y98,0)</f>
        <v>0</v>
      </c>
      <c r="CJ98" s="349">
        <f>IF(CL98&lt;&gt;"","",IF($D$16="Select Type","Select Margin Class",IFERROR(IF($M98="",0,IF($D$16="Client Custom Rates",0,IF($D$16="Standard Rates",_xlfn.XLOOKUP($M98,'Standard Rate Cards'!$D:$D,'Standard Rate Cards'!G:G)))),0)))</f>
        <v>0</v>
      </c>
      <c r="CK98" s="349" cm="1">
        <f t="array" ref="CK98">IF(CL98&lt;&gt;"","",IFERROR(IF($D$16&lt;&gt;"Client Custom Rates",0,INDEX('Client Rate Cards'!E:E,MATCH(1,('Client Rate Cards'!B:B='2. Pricing &amp; Import'!$D$17)*('Client Rate Cards'!D:D='2. Pricing &amp; Import'!N98),0))),0))</f>
        <v>0</v>
      </c>
      <c r="CL98" s="350"/>
    </row>
    <row r="99" spans="2:90" ht="16.05" hidden="1" customHeight="1" outlineLevel="1" x14ac:dyDescent="0.3">
      <c r="C99" s="346"/>
      <c r="D99" s="495"/>
      <c r="E99" s="346"/>
      <c r="F99" s="346" t="str">
        <f>IFERROR(_xlfn.XLOOKUP(E99,'Standard Rate Cards'!$BB$11:$BB$23,'Standard Rate Cards'!$BA$11:$BA$23),"")</f>
        <v/>
      </c>
      <c r="G99" s="346"/>
      <c r="H99" s="346" t="str">
        <f>IFERROR(_xlfn.XLOOKUP(G99,'Standard Rate Cards'!$AP$8:$AP$142,'Standard Rate Cards'!$AQ$8:$AQ$142),"")</f>
        <v/>
      </c>
      <c r="I99" s="346"/>
      <c r="J99" s="346"/>
      <c r="K99" s="496"/>
      <c r="L99" s="496" t="str">
        <f t="shared" si="13"/>
        <v xml:space="preserve"> </v>
      </c>
      <c r="M99" s="496" t="str" cm="1">
        <f t="array" ref="M99">IF(ISBLANK(D99),"",IF(D99&lt;&gt;"CrederaUS",INDEX('Standard Rate Cards'!$D$9:$D$433,MATCH(1,('Standard Rate Cards'!$B$9:$B$433='2. Pricing &amp; Import'!D99)*('Standard Rate Cards'!$C$9:$C$433='2. Pricing &amp; Import'!K99),0)),INDEX('Standard Rate Cards'!$D$9:$D$433,MATCH(1,('Standard Rate Cards'!$B$9:$B$433='2. Pricing &amp; Import'!D99)*('Standard Rate Cards'!$C$9:$C$433='2. Pricing &amp; Import'!K99)*('Standard Rate Cards'!$H$9:$H$433=L99),0))))</f>
        <v/>
      </c>
      <c r="N99" s="347"/>
      <c r="O99" s="110" t="str">
        <f>IF(ISBLANK(K99)," ",_xlfn.XLOOKUP(K99,'Standard Rate Cards'!C:C,'Standard Rate Cards'!H:H))</f>
        <v xml:space="preserve"> </v>
      </c>
      <c r="P99" s="246" t="str">
        <f>IF(ISBLANK($K99)," ",_xlfn.XLOOKUP($K99,'Standard Rate Cards'!C:C,'Standard Rate Cards'!F:F))</f>
        <v xml:space="preserve"> </v>
      </c>
      <c r="Q99" s="348"/>
      <c r="R99" s="250"/>
      <c r="S99" s="680"/>
      <c r="T99" s="681"/>
      <c r="U99" s="1637"/>
      <c r="V99" s="1638"/>
      <c r="W99" s="681"/>
      <c r="X99" s="681" t="str">
        <f t="shared" si="17"/>
        <v/>
      </c>
      <c r="Y99" s="682" t="str">
        <f t="shared" si="18"/>
        <v/>
      </c>
      <c r="Z99" s="1630" t="s">
        <v>309</v>
      </c>
      <c r="AA99" s="1631"/>
      <c r="AB99" s="94"/>
      <c r="AC99" s="94"/>
      <c r="AD99" s="94"/>
      <c r="AE99" s="94"/>
      <c r="AF99" s="94"/>
      <c r="AG99" s="497" t="str">
        <f>IF($X$49="WEEKS","",IF($Z99="Manual Entry hrs/wk","",IF($X$49&gt;'FORMULA REFS'!A$1,$Z99,"")))</f>
        <v/>
      </c>
      <c r="AH99" s="497" t="str">
        <f>IF($X$49="WEEKS","",IF($Z99="Manual Entry hrs/wk","",IF($X$49&gt;'FORMULA REFS'!B$1,$Z99,"")))</f>
        <v/>
      </c>
      <c r="AI99" s="497" t="str">
        <f>IF($X$49="WEEKS","",IF($Z99="Manual Entry hrs/wk","",IF($X$49&gt;'FORMULA REFS'!C$1,$Z99,"")))</f>
        <v/>
      </c>
      <c r="AJ99" s="497" t="str">
        <f>IF($X$49="WEEKS","",IF($Z99="Manual Entry hrs/wk","",IF($X$49&gt;'FORMULA REFS'!D$1,$Z99,"")))</f>
        <v/>
      </c>
      <c r="AK99" s="497" t="str">
        <f>IF($X$49="WEEKS","",IF($Z99="Manual Entry hrs/wk","",IF($X$49&gt;'FORMULA REFS'!E$1,$Z99,"")))</f>
        <v/>
      </c>
      <c r="AL99" s="497" t="str">
        <f>IF($X$49="WEEKS","",IF($Z99="Manual Entry hrs/wk","",IF($X$49&gt;'FORMULA REFS'!F$1,$Z99,"")))</f>
        <v/>
      </c>
      <c r="AM99" s="497" t="str">
        <f>IF($X$49="WEEKS","",IF($Z99="Manual Entry hrs/wk","",IF($X$49&gt;'FORMULA REFS'!G$1,$Z99,"")))</f>
        <v/>
      </c>
      <c r="AN99" s="497" t="str">
        <f>IF($X$49="WEEKS","",IF($Z99="Manual Entry hrs/wk","",IF($X$49&gt;'FORMULA REFS'!H$1,$Z99,"")))</f>
        <v/>
      </c>
      <c r="AO99" s="497" t="str">
        <f>IF($X$49="WEEKS","",IF($Z99="Manual Entry hrs/wk","",IF($X$49&gt;'FORMULA REFS'!I$1,$Z99,"")))</f>
        <v/>
      </c>
      <c r="AP99" s="497" t="str">
        <f>IF($X$49="WEEKS","",IF($Z99="Manual Entry hrs/wk","",IF($X$49&gt;'FORMULA REFS'!J$1,$Z99,"")))</f>
        <v/>
      </c>
      <c r="AQ99" s="497" t="str">
        <f>IF($X$49="WEEKS","",IF($Z99="Manual Entry hrs/wk","",IF($X$49&gt;'FORMULA REFS'!K$1,$Z99,"")))</f>
        <v/>
      </c>
      <c r="AR99" s="497" t="str">
        <f>IF($X$49="WEEKS","",IF($Z99="Manual Entry hrs/wk","",IF($X$49&gt;'FORMULA REFS'!L$1,$Z99,"")))</f>
        <v/>
      </c>
      <c r="AS99" s="497" t="str">
        <f>IF($X$49="WEEKS","",IF($Z99="Manual Entry hrs/wk","",IF($X$49&gt;'FORMULA REFS'!M$1,$Z99,"")))</f>
        <v/>
      </c>
      <c r="AT99" s="497" t="str">
        <f>IF($X$49="WEEKS","",IF($Z99="Manual Entry hrs/wk","",IF($X$49&gt;'FORMULA REFS'!N$1,$Z99,"")))</f>
        <v/>
      </c>
      <c r="AU99" s="497" t="str">
        <f>IF($X$49="WEEKS","",IF($Z99="Manual Entry hrs/wk","",IF($X$49&gt;'FORMULA REFS'!O$1,$Z99,"")))</f>
        <v/>
      </c>
      <c r="AV99" s="497" t="str">
        <f>IF($X$49="WEEKS","",IF($Z99="Manual Entry hrs/wk","",IF($X$49&gt;'FORMULA REFS'!P$1,$Z99,"")))</f>
        <v/>
      </c>
      <c r="AW99" s="497" t="str">
        <f>IF($X$49="WEEKS","",IF($Z99="Manual Entry hrs/wk","",IF($X$49&gt;'FORMULA REFS'!Q$1,$Z99,"")))</f>
        <v/>
      </c>
      <c r="AX99" s="497" t="str">
        <f>IF($X$49="WEEKS","",IF($Z99="Manual Entry hrs/wk","",IF($X$49&gt;'FORMULA REFS'!R$1,$Z99,"")))</f>
        <v/>
      </c>
      <c r="AY99" s="497" t="str">
        <f>IF($X$49="WEEKS","",IF($Z99="Manual Entry hrs/wk","",IF($X$49&gt;'FORMULA REFS'!S$1,$Z99,"")))</f>
        <v/>
      </c>
      <c r="AZ99" s="497" t="str">
        <f>IF($X$49="WEEKS","",IF($Z99="Manual Entry hrs/wk","",IF($X$49&gt;'FORMULA REFS'!T$1,$Z99,"")))</f>
        <v/>
      </c>
      <c r="BA99" s="497" t="str">
        <f>IF($X$49="WEEKS","",IF($Z99="Manual Entry hrs/wk","",IF($X$49&gt;'FORMULA REFS'!U$1,$Z99,"")))</f>
        <v/>
      </c>
      <c r="BB99" s="497" t="str">
        <f>IF($X$49="WEEKS","",IF($Z99="Manual Entry hrs/wk","",IF($X$49&gt;'FORMULA REFS'!V$1,$Z99,"")))</f>
        <v/>
      </c>
      <c r="BC99" s="497" t="str">
        <f>IF($X$49="WEEKS","",IF($Z99="Manual Entry hrs/wk","",IF($X$49&gt;'FORMULA REFS'!W$1,$Z99,"")))</f>
        <v/>
      </c>
      <c r="BD99" s="497" t="str">
        <f>IF($X$49="WEEKS","",IF($Z99="Manual Entry hrs/wk","",IF($X$49&gt;'FORMULA REFS'!X$1,$Z99,"")))</f>
        <v/>
      </c>
      <c r="BE99" s="497" t="str">
        <f>IF($X$49="WEEKS","",IF($Z99="Manual Entry hrs/wk","",IF($X$49&gt;'FORMULA REFS'!Y$1,$Z99,"")))</f>
        <v/>
      </c>
      <c r="BF99" s="497" t="str">
        <f>IF($X$49="WEEKS","",IF($Z99="Manual Entry hrs/wk","",IF($X$49&gt;'FORMULA REFS'!Z$1,$Z99,"")))</f>
        <v/>
      </c>
      <c r="BG99" s="497" t="str">
        <f>IF($X$49="WEEKS","",IF($Z99="Manual Entry hrs/wk","",IF($X$49&gt;'FORMULA REFS'!AA$1,$Z99,"")))</f>
        <v/>
      </c>
      <c r="BH99" s="497" t="str">
        <f>IF($X$49="WEEKS","",IF($Z99="Manual Entry hrs/wk","",IF($X$49&gt;'FORMULA REFS'!AB$1,$Z99,"")))</f>
        <v/>
      </c>
      <c r="BI99" s="497" t="str">
        <f>IF($X$49="WEEKS","",IF($Z99="Manual Entry hrs/wk","",IF($X$49&gt;'FORMULA REFS'!AC$1,$Z99,"")))</f>
        <v/>
      </c>
      <c r="BJ99" s="497" t="str">
        <f>IF($X$49="WEEKS","",IF($Z99="Manual Entry hrs/wk","",IF($X$49&gt;'FORMULA REFS'!AD$1,$Z99,"")))</f>
        <v/>
      </c>
      <c r="BK99" s="497" t="str">
        <f>IF($X$49="WEEKS","",IF($Z99="Manual Entry hrs/wk","",IF($X$49&gt;'FORMULA REFS'!AE$1,$Z99,"")))</f>
        <v/>
      </c>
      <c r="BL99" s="497" t="str">
        <f>IF($X$49="WEEKS","",IF($Z99="Manual Entry hrs/wk","",IF($X$49&gt;'FORMULA REFS'!AF$1,$Z99,"")))</f>
        <v/>
      </c>
      <c r="BM99" s="497" t="str">
        <f>IF($X$49="WEEKS","",IF($Z99="Manual Entry hrs/wk","",IF($X$49&gt;'FORMULA REFS'!AG$1,$Z99,"")))</f>
        <v/>
      </c>
      <c r="BN99" s="497" t="str">
        <f>IF($X$49="WEEKS","",IF($Z99="Manual Entry hrs/wk","",IF($X$49&gt;'FORMULA REFS'!AH$1,$Z99,"")))</f>
        <v/>
      </c>
      <c r="BO99" s="497" t="str">
        <f>IF($X$49="WEEKS","",IF($Z99="Manual Entry hrs/wk","",IF($X$49&gt;'FORMULA REFS'!AI$1,$Z99,"")))</f>
        <v/>
      </c>
      <c r="BP99" s="497" t="str">
        <f>IF($X$49="WEEKS","",IF($Z99="Manual Entry hrs/wk","",IF($X$49&gt;'FORMULA REFS'!AJ$1,$Z99,"")))</f>
        <v/>
      </c>
      <c r="BQ99" s="497" t="str">
        <f>IF($X$49="WEEKS","",IF($Z99="Manual Entry hrs/wk","",IF($X$49&gt;'FORMULA REFS'!AK$1,$Z99,"")))</f>
        <v/>
      </c>
      <c r="BR99" s="497" t="str">
        <f>IF($X$49="WEEKS","",IF($Z99="Manual Entry hrs/wk","",IF($X$49&gt;'FORMULA REFS'!AL$1,$Z99,"")))</f>
        <v/>
      </c>
      <c r="BS99" s="497" t="str">
        <f>IF($X$49="WEEKS","",IF($Z99="Manual Entry hrs/wk","",IF($X$49&gt;'FORMULA REFS'!AM$1,$Z99,"")))</f>
        <v/>
      </c>
      <c r="BT99" s="497" t="str">
        <f>IF($X$49="WEEKS","",IF($Z99="Manual Entry hrs/wk","",IF($X$49&gt;'FORMULA REFS'!AN$1,$Z99,"")))</f>
        <v/>
      </c>
      <c r="BU99" s="497" t="str">
        <f>IF($X$49="WEEKS","",IF($Z99="Manual Entry hrs/wk","",IF($X$49&gt;'FORMULA REFS'!AO$1,$Z99,"")))</f>
        <v/>
      </c>
      <c r="BV99" s="497" t="str">
        <f>IF($X$49="WEEKS","",IF($Z99="Manual Entry hrs/wk","",IF($X$49&gt;'FORMULA REFS'!AP$1,$Z99,"")))</f>
        <v/>
      </c>
      <c r="BW99" s="497" t="str">
        <f>IF($X$49="WEEKS","",IF($Z99="Manual Entry hrs/wk","",IF($X$49&gt;'FORMULA REFS'!AQ$1,$Z99,"")))</f>
        <v/>
      </c>
      <c r="BX99" s="497" t="str">
        <f>IF($X$49="WEEKS","",IF($Z99="Manual Entry hrs/wk","",IF($X$49&gt;'FORMULA REFS'!AR$1,$Z99,"")))</f>
        <v/>
      </c>
      <c r="BY99" s="497" t="str">
        <f>IF($X$49="WEEKS","",IF($Z99="Manual Entry hrs/wk","",IF($X$49&gt;'FORMULA REFS'!AS$1,$Z99,"")))</f>
        <v/>
      </c>
      <c r="BZ99" s="497" t="str">
        <f>IF($X$49="WEEKS","",IF($Z99="Manual Entry hrs/wk","",IF($X$49&gt;'FORMULA REFS'!AT$1,$Z99,"")))</f>
        <v/>
      </c>
      <c r="CA99" s="497" t="str">
        <f>IF($X$49="WEEKS","",IF($Z99="Manual Entry hrs/wk","",IF($X$49&gt;'FORMULA REFS'!AU$1,$Z99,"")))</f>
        <v/>
      </c>
      <c r="CB99" s="497" t="str">
        <f>IF($X$49="WEEKS","",IF($Z99="Manual Entry hrs/wk","",IF($X$49&gt;'FORMULA REFS'!AV$1,$Z99,"")))</f>
        <v/>
      </c>
      <c r="CC99" s="497" t="str">
        <f>IF($X$49="WEEKS","",IF($Z99="Manual Entry hrs/wk","",IF($X$49&gt;'FORMULA REFS'!AW$1,$Z99,"")))</f>
        <v/>
      </c>
      <c r="CD99" s="497" t="str">
        <f>IF($X$49="WEEKS","",IF($Z99="Manual Entry hrs/wk","",IF($X$49&gt;'FORMULA REFS'!AX$1,$Z99,"")))</f>
        <v/>
      </c>
      <c r="CE99" s="497" t="str">
        <f>IF($X$49="WEEKS","",IF($Z99="Manual Entry hrs/wk","",IF($X$49&gt;'FORMULA REFS'!AY$1,$Z99,"")))</f>
        <v/>
      </c>
      <c r="CF99" s="497" t="str">
        <f>IF($X$49="WEEKS","",IF($Z99="Manual Entry hrs/wk","",IF($X$49&gt;'FORMULA REFS'!AZ$1,$Z99,"")))</f>
        <v/>
      </c>
      <c r="CG99" s="113"/>
      <c r="CH99" s="349" t="str">
        <f t="shared" si="19"/>
        <v/>
      </c>
      <c r="CI99" s="349">
        <f>IFERROR((_xlfn.XLOOKUP($M99,'Standard Rate Cards'!D:D,'Standard Rate Cards'!E:E))*Y99,0)</f>
        <v>0</v>
      </c>
      <c r="CJ99" s="349">
        <f>IF(CL99&lt;&gt;"","",IF($D$16="Select Type","Select Margin Class",IFERROR(IF($M99="",0,IF($D$16="Client Custom Rates",0,IF($D$16="Standard Rates",_xlfn.XLOOKUP($M99,'Standard Rate Cards'!$D:$D,'Standard Rate Cards'!G:G)))),0)))</f>
        <v>0</v>
      </c>
      <c r="CK99" s="349" cm="1">
        <f t="array" ref="CK99">IF(CL99&lt;&gt;"","",IFERROR(IF($D$16&lt;&gt;"Client Custom Rates",0,INDEX('Client Rate Cards'!E:E,MATCH(1,('Client Rate Cards'!B:B='2. Pricing &amp; Import'!$D$17)*('Client Rate Cards'!D:D='2. Pricing &amp; Import'!N99),0))),0))</f>
        <v>0</v>
      </c>
      <c r="CL99" s="350"/>
    </row>
    <row r="100" spans="2:90" ht="16.05" customHeight="1" collapsed="1" x14ac:dyDescent="0.3">
      <c r="C100" s="346"/>
      <c r="D100" s="495"/>
      <c r="E100" s="346"/>
      <c r="F100" s="346" t="str">
        <f>IFERROR(_xlfn.XLOOKUP(E100,'Standard Rate Cards'!$BB$11:$BB$23,'Standard Rate Cards'!$BA$11:$BA$23),"")</f>
        <v/>
      </c>
      <c r="G100" s="346"/>
      <c r="H100" s="346" t="str">
        <f>IFERROR(_xlfn.XLOOKUP(G100,'Standard Rate Cards'!$AP$8:$AP$142,'Standard Rate Cards'!$AQ$8:$AQ$142),"")</f>
        <v/>
      </c>
      <c r="I100" s="346"/>
      <c r="J100" s="346"/>
      <c r="K100" s="496"/>
      <c r="L100" s="496" t="str">
        <f t="shared" si="13"/>
        <v xml:space="preserve"> </v>
      </c>
      <c r="M100" s="496" t="str" cm="1">
        <f t="array" ref="M100">IF(ISBLANK(D100),"",IF(D100&lt;&gt;"CrederaUS",INDEX('Standard Rate Cards'!$D$9:$D$433,MATCH(1,('Standard Rate Cards'!$B$9:$B$433='2. Pricing &amp; Import'!D100)*('Standard Rate Cards'!$C$9:$C$433='2. Pricing &amp; Import'!K100),0)),INDEX('Standard Rate Cards'!$D$9:$D$433,MATCH(1,('Standard Rate Cards'!$B$9:$B$433='2. Pricing &amp; Import'!D100)*('Standard Rate Cards'!$C$9:$C$433='2. Pricing &amp; Import'!K100)*('Standard Rate Cards'!$H$9:$H$433=L100),0))))</f>
        <v/>
      </c>
      <c r="N100" s="347"/>
      <c r="O100" s="110" t="str">
        <f>IF(ISBLANK(K100)," ",_xlfn.XLOOKUP(K100,'Standard Rate Cards'!C:C,'Standard Rate Cards'!H:H))</f>
        <v xml:space="preserve"> </v>
      </c>
      <c r="P100" s="246" t="str">
        <f>IF(ISBLANK($K100)," ",_xlfn.XLOOKUP($K100,'Standard Rate Cards'!C:C,'Standard Rate Cards'!F:F))</f>
        <v xml:space="preserve"> </v>
      </c>
      <c r="Q100" s="348"/>
      <c r="R100" s="250"/>
      <c r="S100" s="680"/>
      <c r="T100" s="681"/>
      <c r="U100" s="1637"/>
      <c r="V100" s="1638"/>
      <c r="W100" s="681"/>
      <c r="X100" s="681" t="str">
        <f t="shared" si="17"/>
        <v/>
      </c>
      <c r="Y100" s="682" t="str">
        <f t="shared" si="18"/>
        <v/>
      </c>
      <c r="Z100" s="1630" t="s">
        <v>309</v>
      </c>
      <c r="AA100" s="1631"/>
      <c r="AB100" s="94"/>
      <c r="AC100" s="94"/>
      <c r="AD100" s="94"/>
      <c r="AE100" s="94"/>
      <c r="AF100" s="94"/>
      <c r="AG100" s="497" t="str">
        <f>IF($X$49="WEEKS","",IF($Z100="Manual Entry hrs/wk","",IF($X$49&gt;'FORMULA REFS'!A$1,$Z100,"")))</f>
        <v/>
      </c>
      <c r="AH100" s="497" t="str">
        <f>IF($X$49="WEEKS","",IF($Z100="Manual Entry hrs/wk","",IF($X$49&gt;'FORMULA REFS'!B$1,$Z100,"")))</f>
        <v/>
      </c>
      <c r="AI100" s="497" t="str">
        <f>IF($X$49="WEEKS","",IF($Z100="Manual Entry hrs/wk","",IF($X$49&gt;'FORMULA REFS'!C$1,$Z100,"")))</f>
        <v/>
      </c>
      <c r="AJ100" s="497" t="str">
        <f>IF($X$49="WEEKS","",IF($Z100="Manual Entry hrs/wk","",IF($X$49&gt;'FORMULA REFS'!D$1,$Z100,"")))</f>
        <v/>
      </c>
      <c r="AK100" s="497" t="str">
        <f>IF($X$49="WEEKS","",IF($Z100="Manual Entry hrs/wk","",IF($X$49&gt;'FORMULA REFS'!E$1,$Z100,"")))</f>
        <v/>
      </c>
      <c r="AL100" s="497" t="str">
        <f>IF($X$49="WEEKS","",IF($Z100="Manual Entry hrs/wk","",IF($X$49&gt;'FORMULA REFS'!F$1,$Z100,"")))</f>
        <v/>
      </c>
      <c r="AM100" s="497" t="str">
        <f>IF($X$49="WEEKS","",IF($Z100="Manual Entry hrs/wk","",IF($X$49&gt;'FORMULA REFS'!G$1,$Z100,"")))</f>
        <v/>
      </c>
      <c r="AN100" s="497" t="str">
        <f>IF($X$49="WEEKS","",IF($Z100="Manual Entry hrs/wk","",IF($X$49&gt;'FORMULA REFS'!H$1,$Z100,"")))</f>
        <v/>
      </c>
      <c r="AO100" s="497" t="str">
        <f>IF($X$49="WEEKS","",IF($Z100="Manual Entry hrs/wk","",IF($X$49&gt;'FORMULA REFS'!I$1,$Z100,"")))</f>
        <v/>
      </c>
      <c r="AP100" s="497" t="str">
        <f>IF($X$49="WEEKS","",IF($Z100="Manual Entry hrs/wk","",IF($X$49&gt;'FORMULA REFS'!J$1,$Z100,"")))</f>
        <v/>
      </c>
      <c r="AQ100" s="497" t="str">
        <f>IF($X$49="WEEKS","",IF($Z100="Manual Entry hrs/wk","",IF($X$49&gt;'FORMULA REFS'!K$1,$Z100,"")))</f>
        <v/>
      </c>
      <c r="AR100" s="497" t="str">
        <f>IF($X$49="WEEKS","",IF($Z100="Manual Entry hrs/wk","",IF($X$49&gt;'FORMULA REFS'!L$1,$Z100,"")))</f>
        <v/>
      </c>
      <c r="AS100" s="497" t="str">
        <f>IF($X$49="WEEKS","",IF($Z100="Manual Entry hrs/wk","",IF($X$49&gt;'FORMULA REFS'!M$1,$Z100,"")))</f>
        <v/>
      </c>
      <c r="AT100" s="497" t="str">
        <f>IF($X$49="WEEKS","",IF($Z100="Manual Entry hrs/wk","",IF($X$49&gt;'FORMULA REFS'!N$1,$Z100,"")))</f>
        <v/>
      </c>
      <c r="AU100" s="497" t="str">
        <f>IF($X$49="WEEKS","",IF($Z100="Manual Entry hrs/wk","",IF($X$49&gt;'FORMULA REFS'!O$1,$Z100,"")))</f>
        <v/>
      </c>
      <c r="AV100" s="497" t="str">
        <f>IF($X$49="WEEKS","",IF($Z100="Manual Entry hrs/wk","",IF($X$49&gt;'FORMULA REFS'!P$1,$Z100,"")))</f>
        <v/>
      </c>
      <c r="AW100" s="497" t="str">
        <f>IF($X$49="WEEKS","",IF($Z100="Manual Entry hrs/wk","",IF($X$49&gt;'FORMULA REFS'!Q$1,$Z100,"")))</f>
        <v/>
      </c>
      <c r="AX100" s="497" t="str">
        <f>IF($X$49="WEEKS","",IF($Z100="Manual Entry hrs/wk","",IF($X$49&gt;'FORMULA REFS'!R$1,$Z100,"")))</f>
        <v/>
      </c>
      <c r="AY100" s="497" t="str">
        <f>IF($X$49="WEEKS","",IF($Z100="Manual Entry hrs/wk","",IF($X$49&gt;'FORMULA REFS'!S$1,$Z100,"")))</f>
        <v/>
      </c>
      <c r="AZ100" s="497" t="str">
        <f>IF($X$49="WEEKS","",IF($Z100="Manual Entry hrs/wk","",IF($X$49&gt;'FORMULA REFS'!T$1,$Z100,"")))</f>
        <v/>
      </c>
      <c r="BA100" s="497" t="str">
        <f>IF($X$49="WEEKS","",IF($Z100="Manual Entry hrs/wk","",IF($X$49&gt;'FORMULA REFS'!U$1,$Z100,"")))</f>
        <v/>
      </c>
      <c r="BB100" s="497" t="str">
        <f>IF($X$49="WEEKS","",IF($Z100="Manual Entry hrs/wk","",IF($X$49&gt;'FORMULA REFS'!V$1,$Z100,"")))</f>
        <v/>
      </c>
      <c r="BC100" s="497" t="str">
        <f>IF($X$49="WEEKS","",IF($Z100="Manual Entry hrs/wk","",IF($X$49&gt;'FORMULA REFS'!W$1,$Z100,"")))</f>
        <v/>
      </c>
      <c r="BD100" s="497" t="str">
        <f>IF($X$49="WEEKS","",IF($Z100="Manual Entry hrs/wk","",IF($X$49&gt;'FORMULA REFS'!X$1,$Z100,"")))</f>
        <v/>
      </c>
      <c r="BE100" s="497" t="str">
        <f>IF($X$49="WEEKS","",IF($Z100="Manual Entry hrs/wk","",IF($X$49&gt;'FORMULA REFS'!Y$1,$Z100,"")))</f>
        <v/>
      </c>
      <c r="BF100" s="497" t="str">
        <f>IF($X$49="WEEKS","",IF($Z100="Manual Entry hrs/wk","",IF($X$49&gt;'FORMULA REFS'!Z$1,$Z100,"")))</f>
        <v/>
      </c>
      <c r="BG100" s="497" t="str">
        <f>IF($X$49="WEEKS","",IF($Z100="Manual Entry hrs/wk","",IF($X$49&gt;'FORMULA REFS'!AA$1,$Z100,"")))</f>
        <v/>
      </c>
      <c r="BH100" s="497" t="str">
        <f>IF($X$49="WEEKS","",IF($Z100="Manual Entry hrs/wk","",IF($X$49&gt;'FORMULA REFS'!AB$1,$Z100,"")))</f>
        <v/>
      </c>
      <c r="BI100" s="497" t="str">
        <f>IF($X$49="WEEKS","",IF($Z100="Manual Entry hrs/wk","",IF($X$49&gt;'FORMULA REFS'!AC$1,$Z100,"")))</f>
        <v/>
      </c>
      <c r="BJ100" s="497" t="str">
        <f>IF($X$49="WEEKS","",IF($Z100="Manual Entry hrs/wk","",IF($X$49&gt;'FORMULA REFS'!AD$1,$Z100,"")))</f>
        <v/>
      </c>
      <c r="BK100" s="497" t="str">
        <f>IF($X$49="WEEKS","",IF($Z100="Manual Entry hrs/wk","",IF($X$49&gt;'FORMULA REFS'!AE$1,$Z100,"")))</f>
        <v/>
      </c>
      <c r="BL100" s="497" t="str">
        <f>IF($X$49="WEEKS","",IF($Z100="Manual Entry hrs/wk","",IF($X$49&gt;'FORMULA REFS'!AF$1,$Z100,"")))</f>
        <v/>
      </c>
      <c r="BM100" s="497" t="str">
        <f>IF($X$49="WEEKS","",IF($Z100="Manual Entry hrs/wk","",IF($X$49&gt;'FORMULA REFS'!AG$1,$Z100,"")))</f>
        <v/>
      </c>
      <c r="BN100" s="497" t="str">
        <f>IF($X$49="WEEKS","",IF($Z100="Manual Entry hrs/wk","",IF($X$49&gt;'FORMULA REFS'!AH$1,$Z100,"")))</f>
        <v/>
      </c>
      <c r="BO100" s="497" t="str">
        <f>IF($X$49="WEEKS","",IF($Z100="Manual Entry hrs/wk","",IF($X$49&gt;'FORMULA REFS'!AI$1,$Z100,"")))</f>
        <v/>
      </c>
      <c r="BP100" s="497" t="str">
        <f>IF($X$49="WEEKS","",IF($Z100="Manual Entry hrs/wk","",IF($X$49&gt;'FORMULA REFS'!AJ$1,$Z100,"")))</f>
        <v/>
      </c>
      <c r="BQ100" s="497" t="str">
        <f>IF($X$49="WEEKS","",IF($Z100="Manual Entry hrs/wk","",IF($X$49&gt;'FORMULA REFS'!AK$1,$Z100,"")))</f>
        <v/>
      </c>
      <c r="BR100" s="497" t="str">
        <f>IF($X$49="WEEKS","",IF($Z100="Manual Entry hrs/wk","",IF($X$49&gt;'FORMULA REFS'!AL$1,$Z100,"")))</f>
        <v/>
      </c>
      <c r="BS100" s="497" t="str">
        <f>IF($X$49="WEEKS","",IF($Z100="Manual Entry hrs/wk","",IF($X$49&gt;'FORMULA REFS'!AM$1,$Z100,"")))</f>
        <v/>
      </c>
      <c r="BT100" s="497" t="str">
        <f>IF($X$49="WEEKS","",IF($Z100="Manual Entry hrs/wk","",IF($X$49&gt;'FORMULA REFS'!AN$1,$Z100,"")))</f>
        <v/>
      </c>
      <c r="BU100" s="497" t="str">
        <f>IF($X$49="WEEKS","",IF($Z100="Manual Entry hrs/wk","",IF($X$49&gt;'FORMULA REFS'!AO$1,$Z100,"")))</f>
        <v/>
      </c>
      <c r="BV100" s="497" t="str">
        <f>IF($X$49="WEEKS","",IF($Z100="Manual Entry hrs/wk","",IF($X$49&gt;'FORMULA REFS'!AP$1,$Z100,"")))</f>
        <v/>
      </c>
      <c r="BW100" s="497" t="str">
        <f>IF($X$49="WEEKS","",IF($Z100="Manual Entry hrs/wk","",IF($X$49&gt;'FORMULA REFS'!AQ$1,$Z100,"")))</f>
        <v/>
      </c>
      <c r="BX100" s="497" t="str">
        <f>IF($X$49="WEEKS","",IF($Z100="Manual Entry hrs/wk","",IF($X$49&gt;'FORMULA REFS'!AR$1,$Z100,"")))</f>
        <v/>
      </c>
      <c r="BY100" s="497" t="str">
        <f>IF($X$49="WEEKS","",IF($Z100="Manual Entry hrs/wk","",IF($X$49&gt;'FORMULA REFS'!AS$1,$Z100,"")))</f>
        <v/>
      </c>
      <c r="BZ100" s="497" t="str">
        <f>IF($X$49="WEEKS","",IF($Z100="Manual Entry hrs/wk","",IF($X$49&gt;'FORMULA REFS'!AT$1,$Z100,"")))</f>
        <v/>
      </c>
      <c r="CA100" s="497" t="str">
        <f>IF($X$49="WEEKS","",IF($Z100="Manual Entry hrs/wk","",IF($X$49&gt;'FORMULA REFS'!AU$1,$Z100,"")))</f>
        <v/>
      </c>
      <c r="CB100" s="497" t="str">
        <f>IF($X$49="WEEKS","",IF($Z100="Manual Entry hrs/wk","",IF($X$49&gt;'FORMULA REFS'!AV$1,$Z100,"")))</f>
        <v/>
      </c>
      <c r="CC100" s="497" t="str">
        <f>IF($X$49="WEEKS","",IF($Z100="Manual Entry hrs/wk","",IF($X$49&gt;'FORMULA REFS'!AW$1,$Z100,"")))</f>
        <v/>
      </c>
      <c r="CD100" s="497" t="str">
        <f>IF($X$49="WEEKS","",IF($Z100="Manual Entry hrs/wk","",IF($X$49&gt;'FORMULA REFS'!AX$1,$Z100,"")))</f>
        <v/>
      </c>
      <c r="CE100" s="497" t="str">
        <f>IF($X$49="WEEKS","",IF($Z100="Manual Entry hrs/wk","",IF($X$49&gt;'FORMULA REFS'!AY$1,$Z100,"")))</f>
        <v/>
      </c>
      <c r="CF100" s="497" t="str">
        <f>IF($X$49="WEEKS","",IF($Z100="Manual Entry hrs/wk","",IF($X$49&gt;'FORMULA REFS'!AZ$1,$Z100,"")))</f>
        <v/>
      </c>
      <c r="CG100" s="113"/>
      <c r="CH100" s="349" t="str">
        <f t="shared" si="19"/>
        <v/>
      </c>
      <c r="CI100" s="349">
        <f>IFERROR((_xlfn.XLOOKUP($M100,'Standard Rate Cards'!D:D,'Standard Rate Cards'!E:E))*Y100,0)</f>
        <v>0</v>
      </c>
      <c r="CJ100" s="349">
        <f>IF(CL100&lt;&gt;"","",IF($D$16="Select Type","Select Margin Class",IFERROR(IF($M100="",0,IF($D$16="Client Custom Rates",0,IF($D$16="Standard Rates",_xlfn.XLOOKUP($M100,'Standard Rate Cards'!$D:$D,'Standard Rate Cards'!G:G)))),0)))</f>
        <v>0</v>
      </c>
      <c r="CK100" s="349" cm="1">
        <f t="array" ref="CK100">IF(CL100&lt;&gt;"","",IFERROR(IF($D$16&lt;&gt;"Client Custom Rates",0,INDEX('Client Rate Cards'!E:E,MATCH(1,('Client Rate Cards'!B:B='2. Pricing &amp; Import'!$D$17)*('Client Rate Cards'!D:D='2. Pricing &amp; Import'!N100),0))),0))</f>
        <v>0</v>
      </c>
      <c r="CL100" s="350"/>
    </row>
    <row r="101" spans="2:90" hidden="1" outlineLevel="2" x14ac:dyDescent="0.3">
      <c r="B101">
        <v>52</v>
      </c>
      <c r="C101" s="346"/>
      <c r="D101" s="495"/>
      <c r="E101" s="346"/>
      <c r="F101" s="346" t="str">
        <f>IFERROR(_xlfn.XLOOKUP(E101,'Standard Rate Cards'!$BB$11:$BB$23,'Standard Rate Cards'!$BA$11:$BA$23),"")</f>
        <v/>
      </c>
      <c r="G101" s="346"/>
      <c r="H101" s="346" t="str">
        <f>IFERROR(_xlfn.XLOOKUP(G101,'Standard Rate Cards'!$AP$8:$AP$142,'Standard Rate Cards'!$AQ$8:$AQ$142),"")</f>
        <v/>
      </c>
      <c r="I101" s="346"/>
      <c r="J101" s="346"/>
      <c r="K101" s="496"/>
      <c r="L101" s="496">
        <f t="shared" si="13"/>
        <v>0</v>
      </c>
      <c r="M101" s="496" t="str" cm="1">
        <f t="array" ref="M101">IF(ISBLANK(D101),"",IF(D101&lt;&gt;"CrederaUS",INDEX('Standard Rate Cards'!$D$9:$D$433,MATCH(1,('Standard Rate Cards'!$B$9:$B$433='2. Pricing &amp; Import'!D101)*('Standard Rate Cards'!$C$9:$C$433='2. Pricing &amp; Import'!K101),0)),INDEX('Standard Rate Cards'!$D$9:$D$433,MATCH(1,('Standard Rate Cards'!$B$9:$B$433='2. Pricing &amp; Import'!D101)*('Standard Rate Cards'!$C$9:$C$433='2. Pricing &amp; Import'!K101)*('Standard Rate Cards'!$H$9:$H$433=L101),0))))</f>
        <v/>
      </c>
      <c r="N101" s="347"/>
      <c r="O101" s="110"/>
      <c r="P101" s="246"/>
      <c r="Q101" s="348"/>
      <c r="R101" s="250"/>
      <c r="S101" s="680"/>
      <c r="T101" s="681"/>
      <c r="U101" s="1637"/>
      <c r="V101" s="1638"/>
      <c r="W101" s="681"/>
      <c r="X101" s="681" t="str">
        <f t="shared" si="17"/>
        <v/>
      </c>
      <c r="Y101" s="682" t="str">
        <f t="shared" si="18"/>
        <v/>
      </c>
      <c r="Z101" s="1630" t="s">
        <v>309</v>
      </c>
      <c r="AA101" s="1631"/>
      <c r="AB101" s="94"/>
      <c r="AC101" s="94"/>
      <c r="AD101" s="94"/>
      <c r="AE101" s="94"/>
      <c r="AF101" s="94"/>
      <c r="AG101" s="497" t="str">
        <f>IF($X$49="WEEKS","",IF($Z101="Manual Entry hrs/wk","",IF($X$49&gt;'FORMULA REFS'!A$1,$Z101,"")))</f>
        <v/>
      </c>
      <c r="AH101" s="497" t="str">
        <f>IF($X$49="WEEKS","",IF($Z101="Manual Entry hrs/wk","",IF($X$49&gt;'FORMULA REFS'!B$1,$Z101,"")))</f>
        <v/>
      </c>
      <c r="AI101" s="497" t="str">
        <f>IF($X$49="WEEKS","",IF($Z101="Manual Entry hrs/wk","",IF($X$49&gt;'FORMULA REFS'!C$1,$Z101,"")))</f>
        <v/>
      </c>
      <c r="AJ101" s="497" t="str">
        <f>IF($X$49="WEEKS","",IF($Z101="Manual Entry hrs/wk","",IF($X$49&gt;'FORMULA REFS'!D$1,$Z101,"")))</f>
        <v/>
      </c>
      <c r="AK101" s="497" t="str">
        <f>IF($X$49="WEEKS","",IF($Z101="Manual Entry hrs/wk","",IF($X$49&gt;'FORMULA REFS'!E$1,$Z101,"")))</f>
        <v/>
      </c>
      <c r="AL101" s="497" t="str">
        <f>IF($X$49="WEEKS","",IF($Z101="Manual Entry hrs/wk","",IF($X$49&gt;'FORMULA REFS'!F$1,$Z101,"")))</f>
        <v/>
      </c>
      <c r="AM101" s="497" t="str">
        <f>IF($X$49="WEEKS","",IF($Z101="Manual Entry hrs/wk","",IF($X$49&gt;'FORMULA REFS'!G$1,$Z101,"")))</f>
        <v/>
      </c>
      <c r="AN101" s="497" t="str">
        <f>IF($X$49="WEEKS","",IF($Z101="Manual Entry hrs/wk","",IF($X$49&gt;'FORMULA REFS'!H$1,$Z101,"")))</f>
        <v/>
      </c>
      <c r="AO101" s="497" t="str">
        <f>IF($X$49="WEEKS","",IF($Z101="Manual Entry hrs/wk","",IF($X$49&gt;'FORMULA REFS'!I$1,$Z101,"")))</f>
        <v/>
      </c>
      <c r="AP101" s="497" t="str">
        <f>IF($X$49="WEEKS","",IF($Z101="Manual Entry hrs/wk","",IF($X$49&gt;'FORMULA REFS'!J$1,$Z101,"")))</f>
        <v/>
      </c>
      <c r="AQ101" s="497" t="str">
        <f>IF($X$49="WEEKS","",IF($Z101="Manual Entry hrs/wk","",IF($X$49&gt;'FORMULA REFS'!K$1,$Z101,"")))</f>
        <v/>
      </c>
      <c r="AR101" s="497" t="str">
        <f>IF($X$49="WEEKS","",IF($Z101="Manual Entry hrs/wk","",IF($X$49&gt;'FORMULA REFS'!L$1,$Z101,"")))</f>
        <v/>
      </c>
      <c r="AS101" s="497" t="str">
        <f>IF($X$49="WEEKS","",IF($Z101="Manual Entry hrs/wk","",IF($X$49&gt;'FORMULA REFS'!M$1,$Z101,"")))</f>
        <v/>
      </c>
      <c r="AT101" s="497" t="str">
        <f>IF($X$49="WEEKS","",IF($Z101="Manual Entry hrs/wk","",IF($X$49&gt;'FORMULA REFS'!N$1,$Z101,"")))</f>
        <v/>
      </c>
      <c r="AU101" s="497" t="str">
        <f>IF($X$49="WEEKS","",IF($Z101="Manual Entry hrs/wk","",IF($X$49&gt;'FORMULA REFS'!O$1,$Z101,"")))</f>
        <v/>
      </c>
      <c r="AV101" s="497" t="str">
        <f>IF($X$49="WEEKS","",IF($Z101="Manual Entry hrs/wk","",IF($X$49&gt;'FORMULA REFS'!P$1,$Z101,"")))</f>
        <v/>
      </c>
      <c r="AW101" s="497" t="str">
        <f>IF($X$49="WEEKS","",IF($Z101="Manual Entry hrs/wk","",IF($X$49&gt;'FORMULA REFS'!Q$1,$Z101,"")))</f>
        <v/>
      </c>
      <c r="AX101" s="497" t="str">
        <f>IF($X$49="WEEKS","",IF($Z101="Manual Entry hrs/wk","",IF($X$49&gt;'FORMULA REFS'!R$1,$Z101,"")))</f>
        <v/>
      </c>
      <c r="AY101" s="497" t="str">
        <f>IF($X$49="WEEKS","",IF($Z101="Manual Entry hrs/wk","",IF($X$49&gt;'FORMULA REFS'!S$1,$Z101,"")))</f>
        <v/>
      </c>
      <c r="AZ101" s="497" t="str">
        <f>IF($X$49="WEEKS","",IF($Z101="Manual Entry hrs/wk","",IF($X$49&gt;'FORMULA REFS'!T$1,$Z101,"")))</f>
        <v/>
      </c>
      <c r="BA101" s="497" t="str">
        <f>IF($X$49="WEEKS","",IF($Z101="Manual Entry hrs/wk","",IF($X$49&gt;'FORMULA REFS'!U$1,$Z101,"")))</f>
        <v/>
      </c>
      <c r="BB101" s="497" t="str">
        <f>IF($X$49="WEEKS","",IF($Z101="Manual Entry hrs/wk","",IF($X$49&gt;'FORMULA REFS'!V$1,$Z101,"")))</f>
        <v/>
      </c>
      <c r="BC101" s="497" t="str">
        <f>IF($X$49="WEEKS","",IF($Z101="Manual Entry hrs/wk","",IF($X$49&gt;'FORMULA REFS'!W$1,$Z101,"")))</f>
        <v/>
      </c>
      <c r="BD101" s="497" t="str">
        <f>IF($X$49="WEEKS","",IF($Z101="Manual Entry hrs/wk","",IF($X$49&gt;'FORMULA REFS'!X$1,$Z101,"")))</f>
        <v/>
      </c>
      <c r="BE101" s="497" t="str">
        <f>IF($X$49="WEEKS","",IF($Z101="Manual Entry hrs/wk","",IF($X$49&gt;'FORMULA REFS'!Y$1,$Z101,"")))</f>
        <v/>
      </c>
      <c r="BF101" s="497" t="str">
        <f>IF($X$49="WEEKS","",IF($Z101="Manual Entry hrs/wk","",IF($X$49&gt;'FORMULA REFS'!Z$1,$Z101,"")))</f>
        <v/>
      </c>
      <c r="BG101" s="497" t="str">
        <f>IF($X$49="WEEKS","",IF($Z101="Manual Entry hrs/wk","",IF($X$49&gt;'FORMULA REFS'!AA$1,$Z101,"")))</f>
        <v/>
      </c>
      <c r="BH101" s="497" t="str">
        <f>IF($X$49="WEEKS","",IF($Z101="Manual Entry hrs/wk","",IF($X$49&gt;'FORMULA REFS'!AB$1,$Z101,"")))</f>
        <v/>
      </c>
      <c r="BI101" s="497" t="str">
        <f>IF($X$49="WEEKS","",IF($Z101="Manual Entry hrs/wk","",IF($X$49&gt;'FORMULA REFS'!AC$1,$Z101,"")))</f>
        <v/>
      </c>
      <c r="BJ101" s="497" t="str">
        <f>IF($X$49="WEEKS","",IF($Z101="Manual Entry hrs/wk","",IF($X$49&gt;'FORMULA REFS'!AD$1,$Z101,"")))</f>
        <v/>
      </c>
      <c r="BK101" s="497" t="str">
        <f>IF($X$49="WEEKS","",IF($Z101="Manual Entry hrs/wk","",IF($X$49&gt;'FORMULA REFS'!AE$1,$Z101,"")))</f>
        <v/>
      </c>
      <c r="BL101" s="497" t="str">
        <f>IF($X$49="WEEKS","",IF($Z101="Manual Entry hrs/wk","",IF($X$49&gt;'FORMULA REFS'!AF$1,$Z101,"")))</f>
        <v/>
      </c>
      <c r="BM101" s="497" t="str">
        <f>IF($X$49="WEEKS","",IF($Z101="Manual Entry hrs/wk","",IF($X$49&gt;'FORMULA REFS'!AG$1,$Z101,"")))</f>
        <v/>
      </c>
      <c r="BN101" s="497" t="str">
        <f>IF($X$49="WEEKS","",IF($Z101="Manual Entry hrs/wk","",IF($X$49&gt;'FORMULA REFS'!AH$1,$Z101,"")))</f>
        <v/>
      </c>
      <c r="BO101" s="497" t="str">
        <f>IF($X$49="WEEKS","",IF($Z101="Manual Entry hrs/wk","",IF($X$49&gt;'FORMULA REFS'!AI$1,$Z101,"")))</f>
        <v/>
      </c>
      <c r="BP101" s="497" t="str">
        <f>IF($X$49="WEEKS","",IF($Z101="Manual Entry hrs/wk","",IF($X$49&gt;'FORMULA REFS'!AJ$1,$Z101,"")))</f>
        <v/>
      </c>
      <c r="BQ101" s="497" t="str">
        <f>IF($X$49="WEEKS","",IF($Z101="Manual Entry hrs/wk","",IF($X$49&gt;'FORMULA REFS'!AK$1,$Z101,"")))</f>
        <v/>
      </c>
      <c r="BR101" s="497" t="str">
        <f>IF($X$49="WEEKS","",IF($Z101="Manual Entry hrs/wk","",IF($X$49&gt;'FORMULA REFS'!AL$1,$Z101,"")))</f>
        <v/>
      </c>
      <c r="BS101" s="497" t="str">
        <f>IF($X$49="WEEKS","",IF($Z101="Manual Entry hrs/wk","",IF($X$49&gt;'FORMULA REFS'!AM$1,$Z101,"")))</f>
        <v/>
      </c>
      <c r="BT101" s="497" t="str">
        <f>IF($X$49="WEEKS","",IF($Z101="Manual Entry hrs/wk","",IF($X$49&gt;'FORMULA REFS'!AN$1,$Z101,"")))</f>
        <v/>
      </c>
      <c r="BU101" s="497" t="str">
        <f>IF($X$49="WEEKS","",IF($Z101="Manual Entry hrs/wk","",IF($X$49&gt;'FORMULA REFS'!AO$1,$Z101,"")))</f>
        <v/>
      </c>
      <c r="BV101" s="497" t="str">
        <f>IF($X$49="WEEKS","",IF($Z101="Manual Entry hrs/wk","",IF($X$49&gt;'FORMULA REFS'!AP$1,$Z101,"")))</f>
        <v/>
      </c>
      <c r="BW101" s="497" t="str">
        <f>IF($X$49="WEEKS","",IF($Z101="Manual Entry hrs/wk","",IF($X$49&gt;'FORMULA REFS'!AQ$1,$Z101,"")))</f>
        <v/>
      </c>
      <c r="BX101" s="497" t="str">
        <f>IF($X$49="WEEKS","",IF($Z101="Manual Entry hrs/wk","",IF($X$49&gt;'FORMULA REFS'!AR$1,$Z101,"")))</f>
        <v/>
      </c>
      <c r="BY101" s="497" t="str">
        <f>IF($X$49="WEEKS","",IF($Z101="Manual Entry hrs/wk","",IF($X$49&gt;'FORMULA REFS'!AS$1,$Z101,"")))</f>
        <v/>
      </c>
      <c r="BZ101" s="497" t="str">
        <f>IF($X$49="WEEKS","",IF($Z101="Manual Entry hrs/wk","",IF($X$49&gt;'FORMULA REFS'!AT$1,$Z101,"")))</f>
        <v/>
      </c>
      <c r="CA101" s="497" t="str">
        <f>IF($X$49="WEEKS","",IF($Z101="Manual Entry hrs/wk","",IF($X$49&gt;'FORMULA REFS'!AU$1,$Z101,"")))</f>
        <v/>
      </c>
      <c r="CB101" s="497" t="str">
        <f>IF($X$49="WEEKS","",IF($Z101="Manual Entry hrs/wk","",IF($X$49&gt;'FORMULA REFS'!AV$1,$Z101,"")))</f>
        <v/>
      </c>
      <c r="CC101" s="497" t="str">
        <f>IF($X$49="WEEKS","",IF($Z101="Manual Entry hrs/wk","",IF($X$49&gt;'FORMULA REFS'!AW$1,$Z101,"")))</f>
        <v/>
      </c>
      <c r="CD101" s="497" t="str">
        <f>IF($X$49="WEEKS","",IF($Z101="Manual Entry hrs/wk","",IF($X$49&gt;'FORMULA REFS'!AX$1,$Z101,"")))</f>
        <v/>
      </c>
      <c r="CE101" s="497" t="str">
        <f>IF($X$49="WEEKS","",IF($Z101="Manual Entry hrs/wk","",IF($X$49&gt;'FORMULA REFS'!AY$1,$Z101,"")))</f>
        <v/>
      </c>
      <c r="CF101" s="497" t="str">
        <f>IF($X$49="WEEKS","",IF($Z101="Manual Entry hrs/wk","",IF($X$49&gt;'FORMULA REFS'!AZ$1,$Z101,"")))</f>
        <v/>
      </c>
      <c r="CG101" s="113"/>
      <c r="CH101" s="349" t="str">
        <f t="shared" si="19"/>
        <v/>
      </c>
      <c r="CI101" s="349"/>
      <c r="CJ101" s="349"/>
      <c r="CK101" s="349"/>
      <c r="CL101" s="350"/>
    </row>
    <row r="102" spans="2:90" hidden="1" outlineLevel="2" x14ac:dyDescent="0.3">
      <c r="B102">
        <v>53</v>
      </c>
      <c r="C102" s="346"/>
      <c r="D102" s="495"/>
      <c r="E102" s="346"/>
      <c r="F102" s="346" t="str">
        <f>IFERROR(_xlfn.XLOOKUP(E102,'Standard Rate Cards'!$BB$11:$BB$23,'Standard Rate Cards'!$BA$11:$BA$23),"")</f>
        <v/>
      </c>
      <c r="G102" s="346"/>
      <c r="H102" s="346" t="str">
        <f>IFERROR(_xlfn.XLOOKUP(G102,'Standard Rate Cards'!$AP$8:$AP$142,'Standard Rate Cards'!$AQ$8:$AQ$142),"")</f>
        <v/>
      </c>
      <c r="I102" s="346"/>
      <c r="J102" s="346"/>
      <c r="K102" s="496"/>
      <c r="L102" s="496">
        <f t="shared" si="13"/>
        <v>0</v>
      </c>
      <c r="M102" s="496" t="str" cm="1">
        <f t="array" ref="M102">IF(ISBLANK(D102),"",IF(D102&lt;&gt;"CrederaUS",INDEX('Standard Rate Cards'!$D$9:$D$433,MATCH(1,('Standard Rate Cards'!$B$9:$B$433='2. Pricing &amp; Import'!D102)*('Standard Rate Cards'!$C$9:$C$433='2. Pricing &amp; Import'!K102),0)),INDEX('Standard Rate Cards'!$D$9:$D$433,MATCH(1,('Standard Rate Cards'!$B$9:$B$433='2. Pricing &amp; Import'!D102)*('Standard Rate Cards'!$C$9:$C$433='2. Pricing &amp; Import'!K102)*('Standard Rate Cards'!$H$9:$H$433=L102),0))))</f>
        <v/>
      </c>
      <c r="N102" s="347"/>
      <c r="O102" s="110"/>
      <c r="P102" s="246"/>
      <c r="Q102" s="348"/>
      <c r="R102" s="250"/>
      <c r="S102" s="680"/>
      <c r="T102" s="681"/>
      <c r="U102" s="1637"/>
      <c r="V102" s="1638"/>
      <c r="W102" s="681"/>
      <c r="X102" s="681" t="str">
        <f t="shared" si="17"/>
        <v/>
      </c>
      <c r="Y102" s="682" t="str">
        <f t="shared" si="18"/>
        <v/>
      </c>
      <c r="Z102" s="1630" t="s">
        <v>309</v>
      </c>
      <c r="AA102" s="1631"/>
      <c r="AB102" s="94"/>
      <c r="AC102" s="94"/>
      <c r="AD102" s="94"/>
      <c r="AE102" s="94"/>
      <c r="AF102" s="94"/>
      <c r="AG102" s="497" t="str">
        <f>IF($X$49="WEEKS","",IF($Z102="Manual Entry hrs/wk","",IF($X$49&gt;'FORMULA REFS'!A$1,$Z102,"")))</f>
        <v/>
      </c>
      <c r="AH102" s="497" t="str">
        <f>IF($X$49="WEEKS","",IF($Z102="Manual Entry hrs/wk","",IF($X$49&gt;'FORMULA REFS'!B$1,$Z102,"")))</f>
        <v/>
      </c>
      <c r="AI102" s="497" t="str">
        <f>IF($X$49="WEEKS","",IF($Z102="Manual Entry hrs/wk","",IF($X$49&gt;'FORMULA REFS'!C$1,$Z102,"")))</f>
        <v/>
      </c>
      <c r="AJ102" s="497" t="str">
        <f>IF($X$49="WEEKS","",IF($Z102="Manual Entry hrs/wk","",IF($X$49&gt;'FORMULA REFS'!D$1,$Z102,"")))</f>
        <v/>
      </c>
      <c r="AK102" s="497" t="str">
        <f>IF($X$49="WEEKS","",IF($Z102="Manual Entry hrs/wk","",IF($X$49&gt;'FORMULA REFS'!E$1,$Z102,"")))</f>
        <v/>
      </c>
      <c r="AL102" s="497" t="str">
        <f>IF($X$49="WEEKS","",IF($Z102="Manual Entry hrs/wk","",IF($X$49&gt;'FORMULA REFS'!F$1,$Z102,"")))</f>
        <v/>
      </c>
      <c r="AM102" s="497" t="str">
        <f>IF($X$49="WEEKS","",IF($Z102="Manual Entry hrs/wk","",IF($X$49&gt;'FORMULA REFS'!G$1,$Z102,"")))</f>
        <v/>
      </c>
      <c r="AN102" s="497" t="str">
        <f>IF($X$49="WEEKS","",IF($Z102="Manual Entry hrs/wk","",IF($X$49&gt;'FORMULA REFS'!H$1,$Z102,"")))</f>
        <v/>
      </c>
      <c r="AO102" s="497" t="str">
        <f>IF($X$49="WEEKS","",IF($Z102="Manual Entry hrs/wk","",IF($X$49&gt;'FORMULA REFS'!I$1,$Z102,"")))</f>
        <v/>
      </c>
      <c r="AP102" s="497" t="str">
        <f>IF($X$49="WEEKS","",IF($Z102="Manual Entry hrs/wk","",IF($X$49&gt;'FORMULA REFS'!J$1,$Z102,"")))</f>
        <v/>
      </c>
      <c r="AQ102" s="497" t="str">
        <f>IF($X$49="WEEKS","",IF($Z102="Manual Entry hrs/wk","",IF($X$49&gt;'FORMULA REFS'!K$1,$Z102,"")))</f>
        <v/>
      </c>
      <c r="AR102" s="497" t="str">
        <f>IF($X$49="WEEKS","",IF($Z102="Manual Entry hrs/wk","",IF($X$49&gt;'FORMULA REFS'!L$1,$Z102,"")))</f>
        <v/>
      </c>
      <c r="AS102" s="497" t="str">
        <f>IF($X$49="WEEKS","",IF($Z102="Manual Entry hrs/wk","",IF($X$49&gt;'FORMULA REFS'!M$1,$Z102,"")))</f>
        <v/>
      </c>
      <c r="AT102" s="497" t="str">
        <f>IF($X$49="WEEKS","",IF($Z102="Manual Entry hrs/wk","",IF($X$49&gt;'FORMULA REFS'!N$1,$Z102,"")))</f>
        <v/>
      </c>
      <c r="AU102" s="497" t="str">
        <f>IF($X$49="WEEKS","",IF($Z102="Manual Entry hrs/wk","",IF($X$49&gt;'FORMULA REFS'!O$1,$Z102,"")))</f>
        <v/>
      </c>
      <c r="AV102" s="497" t="str">
        <f>IF($X$49="WEEKS","",IF($Z102="Manual Entry hrs/wk","",IF($X$49&gt;'FORMULA REFS'!P$1,$Z102,"")))</f>
        <v/>
      </c>
      <c r="AW102" s="497" t="str">
        <f>IF($X$49="WEEKS","",IF($Z102="Manual Entry hrs/wk","",IF($X$49&gt;'FORMULA REFS'!Q$1,$Z102,"")))</f>
        <v/>
      </c>
      <c r="AX102" s="497" t="str">
        <f>IF($X$49="WEEKS","",IF($Z102="Manual Entry hrs/wk","",IF($X$49&gt;'FORMULA REFS'!R$1,$Z102,"")))</f>
        <v/>
      </c>
      <c r="AY102" s="497" t="str">
        <f>IF($X$49="WEEKS","",IF($Z102="Manual Entry hrs/wk","",IF($X$49&gt;'FORMULA REFS'!S$1,$Z102,"")))</f>
        <v/>
      </c>
      <c r="AZ102" s="497" t="str">
        <f>IF($X$49="WEEKS","",IF($Z102="Manual Entry hrs/wk","",IF($X$49&gt;'FORMULA REFS'!T$1,$Z102,"")))</f>
        <v/>
      </c>
      <c r="BA102" s="497" t="str">
        <f>IF($X$49="WEEKS","",IF($Z102="Manual Entry hrs/wk","",IF($X$49&gt;'FORMULA REFS'!U$1,$Z102,"")))</f>
        <v/>
      </c>
      <c r="BB102" s="497" t="str">
        <f>IF($X$49="WEEKS","",IF($Z102="Manual Entry hrs/wk","",IF($X$49&gt;'FORMULA REFS'!V$1,$Z102,"")))</f>
        <v/>
      </c>
      <c r="BC102" s="497" t="str">
        <f>IF($X$49="WEEKS","",IF($Z102="Manual Entry hrs/wk","",IF($X$49&gt;'FORMULA REFS'!W$1,$Z102,"")))</f>
        <v/>
      </c>
      <c r="BD102" s="497" t="str">
        <f>IF($X$49="WEEKS","",IF($Z102="Manual Entry hrs/wk","",IF($X$49&gt;'FORMULA REFS'!X$1,$Z102,"")))</f>
        <v/>
      </c>
      <c r="BE102" s="497" t="str">
        <f>IF($X$49="WEEKS","",IF($Z102="Manual Entry hrs/wk","",IF($X$49&gt;'FORMULA REFS'!Y$1,$Z102,"")))</f>
        <v/>
      </c>
      <c r="BF102" s="497" t="str">
        <f>IF($X$49="WEEKS","",IF($Z102="Manual Entry hrs/wk","",IF($X$49&gt;'FORMULA REFS'!Z$1,$Z102,"")))</f>
        <v/>
      </c>
      <c r="BG102" s="497" t="str">
        <f>IF($X$49="WEEKS","",IF($Z102="Manual Entry hrs/wk","",IF($X$49&gt;'FORMULA REFS'!AA$1,$Z102,"")))</f>
        <v/>
      </c>
      <c r="BH102" s="497" t="str">
        <f>IF($X$49="WEEKS","",IF($Z102="Manual Entry hrs/wk","",IF($X$49&gt;'FORMULA REFS'!AB$1,$Z102,"")))</f>
        <v/>
      </c>
      <c r="BI102" s="497" t="str">
        <f>IF($X$49="WEEKS","",IF($Z102="Manual Entry hrs/wk","",IF($X$49&gt;'FORMULA REFS'!AC$1,$Z102,"")))</f>
        <v/>
      </c>
      <c r="BJ102" s="497" t="str">
        <f>IF($X$49="WEEKS","",IF($Z102="Manual Entry hrs/wk","",IF($X$49&gt;'FORMULA REFS'!AD$1,$Z102,"")))</f>
        <v/>
      </c>
      <c r="BK102" s="497" t="str">
        <f>IF($X$49="WEEKS","",IF($Z102="Manual Entry hrs/wk","",IF($X$49&gt;'FORMULA REFS'!AE$1,$Z102,"")))</f>
        <v/>
      </c>
      <c r="BL102" s="497" t="str">
        <f>IF($X$49="WEEKS","",IF($Z102="Manual Entry hrs/wk","",IF($X$49&gt;'FORMULA REFS'!AF$1,$Z102,"")))</f>
        <v/>
      </c>
      <c r="BM102" s="497" t="str">
        <f>IF($X$49="WEEKS","",IF($Z102="Manual Entry hrs/wk","",IF($X$49&gt;'FORMULA REFS'!AG$1,$Z102,"")))</f>
        <v/>
      </c>
      <c r="BN102" s="497" t="str">
        <f>IF($X$49="WEEKS","",IF($Z102="Manual Entry hrs/wk","",IF($X$49&gt;'FORMULA REFS'!AH$1,$Z102,"")))</f>
        <v/>
      </c>
      <c r="BO102" s="497" t="str">
        <f>IF($X$49="WEEKS","",IF($Z102="Manual Entry hrs/wk","",IF($X$49&gt;'FORMULA REFS'!AI$1,$Z102,"")))</f>
        <v/>
      </c>
      <c r="BP102" s="497" t="str">
        <f>IF($X$49="WEEKS","",IF($Z102="Manual Entry hrs/wk","",IF($X$49&gt;'FORMULA REFS'!AJ$1,$Z102,"")))</f>
        <v/>
      </c>
      <c r="BQ102" s="497" t="str">
        <f>IF($X$49="WEEKS","",IF($Z102="Manual Entry hrs/wk","",IF($X$49&gt;'FORMULA REFS'!AK$1,$Z102,"")))</f>
        <v/>
      </c>
      <c r="BR102" s="497" t="str">
        <f>IF($X$49="WEEKS","",IF($Z102="Manual Entry hrs/wk","",IF($X$49&gt;'FORMULA REFS'!AL$1,$Z102,"")))</f>
        <v/>
      </c>
      <c r="BS102" s="497" t="str">
        <f>IF($X$49="WEEKS","",IF($Z102="Manual Entry hrs/wk","",IF($X$49&gt;'FORMULA REFS'!AM$1,$Z102,"")))</f>
        <v/>
      </c>
      <c r="BT102" s="497" t="str">
        <f>IF($X$49="WEEKS","",IF($Z102="Manual Entry hrs/wk","",IF($X$49&gt;'FORMULA REFS'!AN$1,$Z102,"")))</f>
        <v/>
      </c>
      <c r="BU102" s="497" t="str">
        <f>IF($X$49="WEEKS","",IF($Z102="Manual Entry hrs/wk","",IF($X$49&gt;'FORMULA REFS'!AO$1,$Z102,"")))</f>
        <v/>
      </c>
      <c r="BV102" s="497" t="str">
        <f>IF($X$49="WEEKS","",IF($Z102="Manual Entry hrs/wk","",IF($X$49&gt;'FORMULA REFS'!AP$1,$Z102,"")))</f>
        <v/>
      </c>
      <c r="BW102" s="497" t="str">
        <f>IF($X$49="WEEKS","",IF($Z102="Manual Entry hrs/wk","",IF($X$49&gt;'FORMULA REFS'!AQ$1,$Z102,"")))</f>
        <v/>
      </c>
      <c r="BX102" s="497" t="str">
        <f>IF($X$49="WEEKS","",IF($Z102="Manual Entry hrs/wk","",IF($X$49&gt;'FORMULA REFS'!AR$1,$Z102,"")))</f>
        <v/>
      </c>
      <c r="BY102" s="497" t="str">
        <f>IF($X$49="WEEKS","",IF($Z102="Manual Entry hrs/wk","",IF($X$49&gt;'FORMULA REFS'!AS$1,$Z102,"")))</f>
        <v/>
      </c>
      <c r="BZ102" s="497" t="str">
        <f>IF($X$49="WEEKS","",IF($Z102="Manual Entry hrs/wk","",IF($X$49&gt;'FORMULA REFS'!AT$1,$Z102,"")))</f>
        <v/>
      </c>
      <c r="CA102" s="497" t="str">
        <f>IF($X$49="WEEKS","",IF($Z102="Manual Entry hrs/wk","",IF($X$49&gt;'FORMULA REFS'!AU$1,$Z102,"")))</f>
        <v/>
      </c>
      <c r="CB102" s="497" t="str">
        <f>IF($X$49="WEEKS","",IF($Z102="Manual Entry hrs/wk","",IF($X$49&gt;'FORMULA REFS'!AV$1,$Z102,"")))</f>
        <v/>
      </c>
      <c r="CC102" s="497" t="str">
        <f>IF($X$49="WEEKS","",IF($Z102="Manual Entry hrs/wk","",IF($X$49&gt;'FORMULA REFS'!AW$1,$Z102,"")))</f>
        <v/>
      </c>
      <c r="CD102" s="497" t="str">
        <f>IF($X$49="WEEKS","",IF($Z102="Manual Entry hrs/wk","",IF($X$49&gt;'FORMULA REFS'!AX$1,$Z102,"")))</f>
        <v/>
      </c>
      <c r="CE102" s="497" t="str">
        <f>IF($X$49="WEEKS","",IF($Z102="Manual Entry hrs/wk","",IF($X$49&gt;'FORMULA REFS'!AY$1,$Z102,"")))</f>
        <v/>
      </c>
      <c r="CF102" s="497" t="str">
        <f>IF($X$49="WEEKS","",IF($Z102="Manual Entry hrs/wk","",IF($X$49&gt;'FORMULA REFS'!AZ$1,$Z102,"")))</f>
        <v/>
      </c>
      <c r="CG102" s="113"/>
      <c r="CH102" s="349" t="str">
        <f t="shared" si="19"/>
        <v/>
      </c>
      <c r="CI102" s="349"/>
      <c r="CJ102" s="349"/>
      <c r="CK102" s="349"/>
      <c r="CL102" s="350"/>
    </row>
    <row r="103" spans="2:90" hidden="1" outlineLevel="2" x14ac:dyDescent="0.3">
      <c r="B103">
        <v>54</v>
      </c>
      <c r="C103" s="346"/>
      <c r="D103" s="495"/>
      <c r="E103" s="346"/>
      <c r="F103" s="346" t="str">
        <f>IFERROR(_xlfn.XLOOKUP(E103,'Standard Rate Cards'!$BB$11:$BB$23,'Standard Rate Cards'!$BA$11:$BA$23),"")</f>
        <v/>
      </c>
      <c r="G103" s="346"/>
      <c r="H103" s="346" t="str">
        <f>IFERROR(_xlfn.XLOOKUP(G103,'Standard Rate Cards'!$AP$8:$AP$142,'Standard Rate Cards'!$AQ$8:$AQ$142),"")</f>
        <v/>
      </c>
      <c r="I103" s="346"/>
      <c r="J103" s="346"/>
      <c r="K103" s="496"/>
      <c r="L103" s="496">
        <f t="shared" si="13"/>
        <v>0</v>
      </c>
      <c r="M103" s="496" t="str" cm="1">
        <f t="array" ref="M103">IF(ISBLANK(D103),"",IF(D103&lt;&gt;"CrederaUS",INDEX('Standard Rate Cards'!$D$9:$D$433,MATCH(1,('Standard Rate Cards'!$B$9:$B$433='2. Pricing &amp; Import'!D103)*('Standard Rate Cards'!$C$9:$C$433='2. Pricing &amp; Import'!K103),0)),INDEX('Standard Rate Cards'!$D$9:$D$433,MATCH(1,('Standard Rate Cards'!$B$9:$B$433='2. Pricing &amp; Import'!D103)*('Standard Rate Cards'!$C$9:$C$433='2. Pricing &amp; Import'!K103)*('Standard Rate Cards'!$H$9:$H$433=L103),0))))</f>
        <v/>
      </c>
      <c r="N103" s="347"/>
      <c r="O103" s="110"/>
      <c r="P103" s="246"/>
      <c r="Q103" s="348"/>
      <c r="R103" s="250"/>
      <c r="S103" s="250"/>
      <c r="T103" s="614"/>
      <c r="U103" s="1637"/>
      <c r="V103" s="1638"/>
      <c r="W103" s="614"/>
      <c r="X103" s="681" t="str">
        <f t="shared" si="17"/>
        <v/>
      </c>
      <c r="Y103" s="682" t="str">
        <f t="shared" si="18"/>
        <v/>
      </c>
      <c r="Z103" s="1630" t="s">
        <v>309</v>
      </c>
      <c r="AA103" s="1631"/>
      <c r="AB103" s="94"/>
      <c r="AC103" s="94"/>
      <c r="AD103" s="94"/>
      <c r="AE103" s="94"/>
      <c r="AF103" s="94"/>
      <c r="AG103" s="497" t="str">
        <f>IF($X$49="WEEKS","",IF($Z103="Manual Entry hrs/wk","",IF($X$49&gt;'FORMULA REFS'!A$1,$Z103,"")))</f>
        <v/>
      </c>
      <c r="AH103" s="497" t="str">
        <f>IF($X$49="WEEKS","",IF($Z103="Manual Entry hrs/wk","",IF($X$49&gt;'FORMULA REFS'!B$1,$Z103,"")))</f>
        <v/>
      </c>
      <c r="AI103" s="497" t="str">
        <f>IF($X$49="WEEKS","",IF($Z103="Manual Entry hrs/wk","",IF($X$49&gt;'FORMULA REFS'!C$1,$Z103,"")))</f>
        <v/>
      </c>
      <c r="AJ103" s="497" t="str">
        <f>IF($X$49="WEEKS","",IF($Z103="Manual Entry hrs/wk","",IF($X$49&gt;'FORMULA REFS'!D$1,$Z103,"")))</f>
        <v/>
      </c>
      <c r="AK103" s="497" t="str">
        <f>IF($X$49="WEEKS","",IF($Z103="Manual Entry hrs/wk","",IF($X$49&gt;'FORMULA REFS'!E$1,$Z103,"")))</f>
        <v/>
      </c>
      <c r="AL103" s="497" t="str">
        <f>IF($X$49="WEEKS","",IF($Z103="Manual Entry hrs/wk","",IF($X$49&gt;'FORMULA REFS'!F$1,$Z103,"")))</f>
        <v/>
      </c>
      <c r="AM103" s="497" t="str">
        <f>IF($X$49="WEEKS","",IF($Z103="Manual Entry hrs/wk","",IF($X$49&gt;'FORMULA REFS'!G$1,$Z103,"")))</f>
        <v/>
      </c>
      <c r="AN103" s="497" t="str">
        <f>IF($X$49="WEEKS","",IF($Z103="Manual Entry hrs/wk","",IF($X$49&gt;'FORMULA REFS'!H$1,$Z103,"")))</f>
        <v/>
      </c>
      <c r="AO103" s="497" t="str">
        <f>IF($X$49="WEEKS","",IF($Z103="Manual Entry hrs/wk","",IF($X$49&gt;'FORMULA REFS'!I$1,$Z103,"")))</f>
        <v/>
      </c>
      <c r="AP103" s="497" t="str">
        <f>IF($X$49="WEEKS","",IF($Z103="Manual Entry hrs/wk","",IF($X$49&gt;'FORMULA REFS'!J$1,$Z103,"")))</f>
        <v/>
      </c>
      <c r="AQ103" s="497" t="str">
        <f>IF($X$49="WEEKS","",IF($Z103="Manual Entry hrs/wk","",IF($X$49&gt;'FORMULA REFS'!K$1,$Z103,"")))</f>
        <v/>
      </c>
      <c r="AR103" s="497" t="str">
        <f>IF($X$49="WEEKS","",IF($Z103="Manual Entry hrs/wk","",IF($X$49&gt;'FORMULA REFS'!L$1,$Z103,"")))</f>
        <v/>
      </c>
      <c r="AS103" s="497" t="str">
        <f>IF($X$49="WEEKS","",IF($Z103="Manual Entry hrs/wk","",IF($X$49&gt;'FORMULA REFS'!M$1,$Z103,"")))</f>
        <v/>
      </c>
      <c r="AT103" s="497" t="str">
        <f>IF($X$49="WEEKS","",IF($Z103="Manual Entry hrs/wk","",IF($X$49&gt;'FORMULA REFS'!N$1,$Z103,"")))</f>
        <v/>
      </c>
      <c r="AU103" s="497" t="str">
        <f>IF($X$49="WEEKS","",IF($Z103="Manual Entry hrs/wk","",IF($X$49&gt;'FORMULA REFS'!O$1,$Z103,"")))</f>
        <v/>
      </c>
      <c r="AV103" s="497" t="str">
        <f>IF($X$49="WEEKS","",IF($Z103="Manual Entry hrs/wk","",IF($X$49&gt;'FORMULA REFS'!P$1,$Z103,"")))</f>
        <v/>
      </c>
      <c r="AW103" s="497" t="str">
        <f>IF($X$49="WEEKS","",IF($Z103="Manual Entry hrs/wk","",IF($X$49&gt;'FORMULA REFS'!Q$1,$Z103,"")))</f>
        <v/>
      </c>
      <c r="AX103" s="497" t="str">
        <f>IF($X$49="WEEKS","",IF($Z103="Manual Entry hrs/wk","",IF($X$49&gt;'FORMULA REFS'!R$1,$Z103,"")))</f>
        <v/>
      </c>
      <c r="AY103" s="497" t="str">
        <f>IF($X$49="WEEKS","",IF($Z103="Manual Entry hrs/wk","",IF($X$49&gt;'FORMULA REFS'!S$1,$Z103,"")))</f>
        <v/>
      </c>
      <c r="AZ103" s="497" t="str">
        <f>IF($X$49="WEEKS","",IF($Z103="Manual Entry hrs/wk","",IF($X$49&gt;'FORMULA REFS'!T$1,$Z103,"")))</f>
        <v/>
      </c>
      <c r="BA103" s="497" t="str">
        <f>IF($X$49="WEEKS","",IF($Z103="Manual Entry hrs/wk","",IF($X$49&gt;'FORMULA REFS'!U$1,$Z103,"")))</f>
        <v/>
      </c>
      <c r="BB103" s="497" t="str">
        <f>IF($X$49="WEEKS","",IF($Z103="Manual Entry hrs/wk","",IF($X$49&gt;'FORMULA REFS'!V$1,$Z103,"")))</f>
        <v/>
      </c>
      <c r="BC103" s="497" t="str">
        <f>IF($X$49="WEEKS","",IF($Z103="Manual Entry hrs/wk","",IF($X$49&gt;'FORMULA REFS'!W$1,$Z103,"")))</f>
        <v/>
      </c>
      <c r="BD103" s="497" t="str">
        <f>IF($X$49="WEEKS","",IF($Z103="Manual Entry hrs/wk","",IF($X$49&gt;'FORMULA REFS'!X$1,$Z103,"")))</f>
        <v/>
      </c>
      <c r="BE103" s="497" t="str">
        <f>IF($X$49="WEEKS","",IF($Z103="Manual Entry hrs/wk","",IF($X$49&gt;'FORMULA REFS'!Y$1,$Z103,"")))</f>
        <v/>
      </c>
      <c r="BF103" s="497" t="str">
        <f>IF($X$49="WEEKS","",IF($Z103="Manual Entry hrs/wk","",IF($X$49&gt;'FORMULA REFS'!Z$1,$Z103,"")))</f>
        <v/>
      </c>
      <c r="BG103" s="497" t="str">
        <f>IF($X$49="WEEKS","",IF($Z103="Manual Entry hrs/wk","",IF($X$49&gt;'FORMULA REFS'!AA$1,$Z103,"")))</f>
        <v/>
      </c>
      <c r="BH103" s="497" t="str">
        <f>IF($X$49="WEEKS","",IF($Z103="Manual Entry hrs/wk","",IF($X$49&gt;'FORMULA REFS'!AB$1,$Z103,"")))</f>
        <v/>
      </c>
      <c r="BI103" s="497" t="str">
        <f>IF($X$49="WEEKS","",IF($Z103="Manual Entry hrs/wk","",IF($X$49&gt;'FORMULA REFS'!AC$1,$Z103,"")))</f>
        <v/>
      </c>
      <c r="BJ103" s="497" t="str">
        <f>IF($X$49="WEEKS","",IF($Z103="Manual Entry hrs/wk","",IF($X$49&gt;'FORMULA REFS'!AD$1,$Z103,"")))</f>
        <v/>
      </c>
      <c r="BK103" s="497" t="str">
        <f>IF($X$49="WEEKS","",IF($Z103="Manual Entry hrs/wk","",IF($X$49&gt;'FORMULA REFS'!AE$1,$Z103,"")))</f>
        <v/>
      </c>
      <c r="BL103" s="497" t="str">
        <f>IF($X$49="WEEKS","",IF($Z103="Manual Entry hrs/wk","",IF($X$49&gt;'FORMULA REFS'!AF$1,$Z103,"")))</f>
        <v/>
      </c>
      <c r="BM103" s="497" t="str">
        <f>IF($X$49="WEEKS","",IF($Z103="Manual Entry hrs/wk","",IF($X$49&gt;'FORMULA REFS'!AG$1,$Z103,"")))</f>
        <v/>
      </c>
      <c r="BN103" s="497" t="str">
        <f>IF($X$49="WEEKS","",IF($Z103="Manual Entry hrs/wk","",IF($X$49&gt;'FORMULA REFS'!AH$1,$Z103,"")))</f>
        <v/>
      </c>
      <c r="BO103" s="497" t="str">
        <f>IF($X$49="WEEKS","",IF($Z103="Manual Entry hrs/wk","",IF($X$49&gt;'FORMULA REFS'!AI$1,$Z103,"")))</f>
        <v/>
      </c>
      <c r="BP103" s="497" t="str">
        <f>IF($X$49="WEEKS","",IF($Z103="Manual Entry hrs/wk","",IF($X$49&gt;'FORMULA REFS'!AJ$1,$Z103,"")))</f>
        <v/>
      </c>
      <c r="BQ103" s="497" t="str">
        <f>IF($X$49="WEEKS","",IF($Z103="Manual Entry hrs/wk","",IF($X$49&gt;'FORMULA REFS'!AK$1,$Z103,"")))</f>
        <v/>
      </c>
      <c r="BR103" s="497" t="str">
        <f>IF($X$49="WEEKS","",IF($Z103="Manual Entry hrs/wk","",IF($X$49&gt;'FORMULA REFS'!AL$1,$Z103,"")))</f>
        <v/>
      </c>
      <c r="BS103" s="497" t="str">
        <f>IF($X$49="WEEKS","",IF($Z103="Manual Entry hrs/wk","",IF($X$49&gt;'FORMULA REFS'!AM$1,$Z103,"")))</f>
        <v/>
      </c>
      <c r="BT103" s="497" t="str">
        <f>IF($X$49="WEEKS","",IF($Z103="Manual Entry hrs/wk","",IF($X$49&gt;'FORMULA REFS'!AN$1,$Z103,"")))</f>
        <v/>
      </c>
      <c r="BU103" s="497" t="str">
        <f>IF($X$49="WEEKS","",IF($Z103="Manual Entry hrs/wk","",IF($X$49&gt;'FORMULA REFS'!AO$1,$Z103,"")))</f>
        <v/>
      </c>
      <c r="BV103" s="497" t="str">
        <f>IF($X$49="WEEKS","",IF($Z103="Manual Entry hrs/wk","",IF($X$49&gt;'FORMULA REFS'!AP$1,$Z103,"")))</f>
        <v/>
      </c>
      <c r="BW103" s="497" t="str">
        <f>IF($X$49="WEEKS","",IF($Z103="Manual Entry hrs/wk","",IF($X$49&gt;'FORMULA REFS'!AQ$1,$Z103,"")))</f>
        <v/>
      </c>
      <c r="BX103" s="497" t="str">
        <f>IF($X$49="WEEKS","",IF($Z103="Manual Entry hrs/wk","",IF($X$49&gt;'FORMULA REFS'!AR$1,$Z103,"")))</f>
        <v/>
      </c>
      <c r="BY103" s="497" t="str">
        <f>IF($X$49="WEEKS","",IF($Z103="Manual Entry hrs/wk","",IF($X$49&gt;'FORMULA REFS'!AS$1,$Z103,"")))</f>
        <v/>
      </c>
      <c r="BZ103" s="497" t="str">
        <f>IF($X$49="WEEKS","",IF($Z103="Manual Entry hrs/wk","",IF($X$49&gt;'FORMULA REFS'!AT$1,$Z103,"")))</f>
        <v/>
      </c>
      <c r="CA103" s="497" t="str">
        <f>IF($X$49="WEEKS","",IF($Z103="Manual Entry hrs/wk","",IF($X$49&gt;'FORMULA REFS'!AU$1,$Z103,"")))</f>
        <v/>
      </c>
      <c r="CB103" s="497" t="str">
        <f>IF($X$49="WEEKS","",IF($Z103="Manual Entry hrs/wk","",IF($X$49&gt;'FORMULA REFS'!AV$1,$Z103,"")))</f>
        <v/>
      </c>
      <c r="CC103" s="497" t="str">
        <f>IF($X$49="WEEKS","",IF($Z103="Manual Entry hrs/wk","",IF($X$49&gt;'FORMULA REFS'!AW$1,$Z103,"")))</f>
        <v/>
      </c>
      <c r="CD103" s="497" t="str">
        <f>IF($X$49="WEEKS","",IF($Z103="Manual Entry hrs/wk","",IF($X$49&gt;'FORMULA REFS'!AX$1,$Z103,"")))</f>
        <v/>
      </c>
      <c r="CE103" s="497" t="str">
        <f>IF($X$49="WEEKS","",IF($Z103="Manual Entry hrs/wk","",IF($X$49&gt;'FORMULA REFS'!AY$1,$Z103,"")))</f>
        <v/>
      </c>
      <c r="CF103" s="497" t="str">
        <f>IF($X$49="WEEKS","",IF($Z103="Manual Entry hrs/wk","",IF($X$49&gt;'FORMULA REFS'!AZ$1,$Z103,"")))</f>
        <v/>
      </c>
      <c r="CG103" s="113"/>
      <c r="CH103" s="349" t="str">
        <f t="shared" si="19"/>
        <v/>
      </c>
      <c r="CI103" s="349"/>
      <c r="CJ103" s="349"/>
      <c r="CK103" s="349"/>
      <c r="CL103" s="350"/>
    </row>
    <row r="104" spans="2:90" hidden="1" outlineLevel="2" x14ac:dyDescent="0.3">
      <c r="B104">
        <v>55</v>
      </c>
      <c r="C104" s="346"/>
      <c r="D104" s="495"/>
      <c r="E104" s="346"/>
      <c r="F104" s="346" t="str">
        <f>IFERROR(_xlfn.XLOOKUP(E104,'Standard Rate Cards'!$BB$11:$BB$23,'Standard Rate Cards'!$BA$11:$BA$23),"")</f>
        <v/>
      </c>
      <c r="G104" s="346"/>
      <c r="H104" s="346" t="str">
        <f>IFERROR(_xlfn.XLOOKUP(G104,'Standard Rate Cards'!$AP$8:$AP$142,'Standard Rate Cards'!$AQ$8:$AQ$142),"")</f>
        <v/>
      </c>
      <c r="I104" s="346"/>
      <c r="J104" s="346"/>
      <c r="K104" s="496"/>
      <c r="L104" s="496">
        <f t="shared" si="13"/>
        <v>0</v>
      </c>
      <c r="M104" s="496" t="str" cm="1">
        <f t="array" ref="M104">IF(ISBLANK(D104),"",IF(D104&lt;&gt;"CrederaUS",INDEX('Standard Rate Cards'!$D$9:$D$433,MATCH(1,('Standard Rate Cards'!$B$9:$B$433='2. Pricing &amp; Import'!D104)*('Standard Rate Cards'!$C$9:$C$433='2. Pricing &amp; Import'!K104),0)),INDEX('Standard Rate Cards'!$D$9:$D$433,MATCH(1,('Standard Rate Cards'!$B$9:$B$433='2. Pricing &amp; Import'!D104)*('Standard Rate Cards'!$C$9:$C$433='2. Pricing &amp; Import'!K104)*('Standard Rate Cards'!$H$9:$H$433=L104),0))))</f>
        <v/>
      </c>
      <c r="N104" s="347"/>
      <c r="O104" s="110"/>
      <c r="P104" s="246"/>
      <c r="Q104" s="348"/>
      <c r="R104" s="250"/>
      <c r="S104" s="250"/>
      <c r="T104" s="614"/>
      <c r="U104" s="1637"/>
      <c r="V104" s="1638"/>
      <c r="W104" s="614"/>
      <c r="X104" s="681" t="str">
        <f t="shared" si="17"/>
        <v/>
      </c>
      <c r="Y104" s="682" t="str">
        <f t="shared" si="18"/>
        <v/>
      </c>
      <c r="Z104" s="1630" t="s">
        <v>309</v>
      </c>
      <c r="AA104" s="1631"/>
      <c r="AB104" s="94"/>
      <c r="AC104" s="94"/>
      <c r="AD104" s="94"/>
      <c r="AE104" s="94"/>
      <c r="AF104" s="94"/>
      <c r="AG104" s="497" t="str">
        <f>IF($X$49="WEEKS","",IF($Z104="Manual Entry hrs/wk","",IF($X$49&gt;'FORMULA REFS'!A$1,$Z104,"")))</f>
        <v/>
      </c>
      <c r="AH104" s="497" t="str">
        <f>IF($X$49="WEEKS","",IF($Z104="Manual Entry hrs/wk","",IF($X$49&gt;'FORMULA REFS'!B$1,$Z104,"")))</f>
        <v/>
      </c>
      <c r="AI104" s="497" t="str">
        <f>IF($X$49="WEEKS","",IF($Z104="Manual Entry hrs/wk","",IF($X$49&gt;'FORMULA REFS'!C$1,$Z104,"")))</f>
        <v/>
      </c>
      <c r="AJ104" s="497" t="str">
        <f>IF($X$49="WEEKS","",IF($Z104="Manual Entry hrs/wk","",IF($X$49&gt;'FORMULA REFS'!D$1,$Z104,"")))</f>
        <v/>
      </c>
      <c r="AK104" s="497" t="str">
        <f>IF($X$49="WEEKS","",IF($Z104="Manual Entry hrs/wk","",IF($X$49&gt;'FORMULA REFS'!E$1,$Z104,"")))</f>
        <v/>
      </c>
      <c r="AL104" s="497" t="str">
        <f>IF($X$49="WEEKS","",IF($Z104="Manual Entry hrs/wk","",IF($X$49&gt;'FORMULA REFS'!F$1,$Z104,"")))</f>
        <v/>
      </c>
      <c r="AM104" s="497" t="str">
        <f>IF($X$49="WEEKS","",IF($Z104="Manual Entry hrs/wk","",IF($X$49&gt;'FORMULA REFS'!G$1,$Z104,"")))</f>
        <v/>
      </c>
      <c r="AN104" s="497" t="str">
        <f>IF($X$49="WEEKS","",IF($Z104="Manual Entry hrs/wk","",IF($X$49&gt;'FORMULA REFS'!H$1,$Z104,"")))</f>
        <v/>
      </c>
      <c r="AO104" s="497" t="str">
        <f>IF($X$49="WEEKS","",IF($Z104="Manual Entry hrs/wk","",IF($X$49&gt;'FORMULA REFS'!I$1,$Z104,"")))</f>
        <v/>
      </c>
      <c r="AP104" s="497" t="str">
        <f>IF($X$49="WEEKS","",IF($Z104="Manual Entry hrs/wk","",IF($X$49&gt;'FORMULA REFS'!J$1,$Z104,"")))</f>
        <v/>
      </c>
      <c r="AQ104" s="497" t="str">
        <f>IF($X$49="WEEKS","",IF($Z104="Manual Entry hrs/wk","",IF($X$49&gt;'FORMULA REFS'!K$1,$Z104,"")))</f>
        <v/>
      </c>
      <c r="AR104" s="497" t="str">
        <f>IF($X$49="WEEKS","",IF($Z104="Manual Entry hrs/wk","",IF($X$49&gt;'FORMULA REFS'!L$1,$Z104,"")))</f>
        <v/>
      </c>
      <c r="AS104" s="497" t="str">
        <f>IF($X$49="WEEKS","",IF($Z104="Manual Entry hrs/wk","",IF($X$49&gt;'FORMULA REFS'!M$1,$Z104,"")))</f>
        <v/>
      </c>
      <c r="AT104" s="497" t="str">
        <f>IF($X$49="WEEKS","",IF($Z104="Manual Entry hrs/wk","",IF($X$49&gt;'FORMULA REFS'!N$1,$Z104,"")))</f>
        <v/>
      </c>
      <c r="AU104" s="497" t="str">
        <f>IF($X$49="WEEKS","",IF($Z104="Manual Entry hrs/wk","",IF($X$49&gt;'FORMULA REFS'!O$1,$Z104,"")))</f>
        <v/>
      </c>
      <c r="AV104" s="497" t="str">
        <f>IF($X$49="WEEKS","",IF($Z104="Manual Entry hrs/wk","",IF($X$49&gt;'FORMULA REFS'!P$1,$Z104,"")))</f>
        <v/>
      </c>
      <c r="AW104" s="497" t="str">
        <f>IF($X$49="WEEKS","",IF($Z104="Manual Entry hrs/wk","",IF($X$49&gt;'FORMULA REFS'!Q$1,$Z104,"")))</f>
        <v/>
      </c>
      <c r="AX104" s="497" t="str">
        <f>IF($X$49="WEEKS","",IF($Z104="Manual Entry hrs/wk","",IF($X$49&gt;'FORMULA REFS'!R$1,$Z104,"")))</f>
        <v/>
      </c>
      <c r="AY104" s="497" t="str">
        <f>IF($X$49="WEEKS","",IF($Z104="Manual Entry hrs/wk","",IF($X$49&gt;'FORMULA REFS'!S$1,$Z104,"")))</f>
        <v/>
      </c>
      <c r="AZ104" s="497" t="str">
        <f>IF($X$49="WEEKS","",IF($Z104="Manual Entry hrs/wk","",IF($X$49&gt;'FORMULA REFS'!T$1,$Z104,"")))</f>
        <v/>
      </c>
      <c r="BA104" s="497" t="str">
        <f>IF($X$49="WEEKS","",IF($Z104="Manual Entry hrs/wk","",IF($X$49&gt;'FORMULA REFS'!U$1,$Z104,"")))</f>
        <v/>
      </c>
      <c r="BB104" s="497" t="str">
        <f>IF($X$49="WEEKS","",IF($Z104="Manual Entry hrs/wk","",IF($X$49&gt;'FORMULA REFS'!V$1,$Z104,"")))</f>
        <v/>
      </c>
      <c r="BC104" s="497" t="str">
        <f>IF($X$49="WEEKS","",IF($Z104="Manual Entry hrs/wk","",IF($X$49&gt;'FORMULA REFS'!W$1,$Z104,"")))</f>
        <v/>
      </c>
      <c r="BD104" s="497" t="str">
        <f>IF($X$49="WEEKS","",IF($Z104="Manual Entry hrs/wk","",IF($X$49&gt;'FORMULA REFS'!X$1,$Z104,"")))</f>
        <v/>
      </c>
      <c r="BE104" s="497" t="str">
        <f>IF($X$49="WEEKS","",IF($Z104="Manual Entry hrs/wk","",IF($X$49&gt;'FORMULA REFS'!Y$1,$Z104,"")))</f>
        <v/>
      </c>
      <c r="BF104" s="497" t="str">
        <f>IF($X$49="WEEKS","",IF($Z104="Manual Entry hrs/wk","",IF($X$49&gt;'FORMULA REFS'!Z$1,$Z104,"")))</f>
        <v/>
      </c>
      <c r="BG104" s="497" t="str">
        <f>IF($X$49="WEEKS","",IF($Z104="Manual Entry hrs/wk","",IF($X$49&gt;'FORMULA REFS'!AA$1,$Z104,"")))</f>
        <v/>
      </c>
      <c r="BH104" s="497" t="str">
        <f>IF($X$49="WEEKS","",IF($Z104="Manual Entry hrs/wk","",IF($X$49&gt;'FORMULA REFS'!AB$1,$Z104,"")))</f>
        <v/>
      </c>
      <c r="BI104" s="497" t="str">
        <f>IF($X$49="WEEKS","",IF($Z104="Manual Entry hrs/wk","",IF($X$49&gt;'FORMULA REFS'!AC$1,$Z104,"")))</f>
        <v/>
      </c>
      <c r="BJ104" s="497" t="str">
        <f>IF($X$49="WEEKS","",IF($Z104="Manual Entry hrs/wk","",IF($X$49&gt;'FORMULA REFS'!AD$1,$Z104,"")))</f>
        <v/>
      </c>
      <c r="BK104" s="497" t="str">
        <f>IF($X$49="WEEKS","",IF($Z104="Manual Entry hrs/wk","",IF($X$49&gt;'FORMULA REFS'!AE$1,$Z104,"")))</f>
        <v/>
      </c>
      <c r="BL104" s="497" t="str">
        <f>IF($X$49="WEEKS","",IF($Z104="Manual Entry hrs/wk","",IF($X$49&gt;'FORMULA REFS'!AF$1,$Z104,"")))</f>
        <v/>
      </c>
      <c r="BM104" s="497" t="str">
        <f>IF($X$49="WEEKS","",IF($Z104="Manual Entry hrs/wk","",IF($X$49&gt;'FORMULA REFS'!AG$1,$Z104,"")))</f>
        <v/>
      </c>
      <c r="BN104" s="497" t="str">
        <f>IF($X$49="WEEKS","",IF($Z104="Manual Entry hrs/wk","",IF($X$49&gt;'FORMULA REFS'!AH$1,$Z104,"")))</f>
        <v/>
      </c>
      <c r="BO104" s="497" t="str">
        <f>IF($X$49="WEEKS","",IF($Z104="Manual Entry hrs/wk","",IF($X$49&gt;'FORMULA REFS'!AI$1,$Z104,"")))</f>
        <v/>
      </c>
      <c r="BP104" s="497" t="str">
        <f>IF($X$49="WEEKS","",IF($Z104="Manual Entry hrs/wk","",IF($X$49&gt;'FORMULA REFS'!AJ$1,$Z104,"")))</f>
        <v/>
      </c>
      <c r="BQ104" s="497" t="str">
        <f>IF($X$49="WEEKS","",IF($Z104="Manual Entry hrs/wk","",IF($X$49&gt;'FORMULA REFS'!AK$1,$Z104,"")))</f>
        <v/>
      </c>
      <c r="BR104" s="497" t="str">
        <f>IF($X$49="WEEKS","",IF($Z104="Manual Entry hrs/wk","",IF($X$49&gt;'FORMULA REFS'!AL$1,$Z104,"")))</f>
        <v/>
      </c>
      <c r="BS104" s="497" t="str">
        <f>IF($X$49="WEEKS","",IF($Z104="Manual Entry hrs/wk","",IF($X$49&gt;'FORMULA REFS'!AM$1,$Z104,"")))</f>
        <v/>
      </c>
      <c r="BT104" s="497" t="str">
        <f>IF($X$49="WEEKS","",IF($Z104="Manual Entry hrs/wk","",IF($X$49&gt;'FORMULA REFS'!AN$1,$Z104,"")))</f>
        <v/>
      </c>
      <c r="BU104" s="497" t="str">
        <f>IF($X$49="WEEKS","",IF($Z104="Manual Entry hrs/wk","",IF($X$49&gt;'FORMULA REFS'!AO$1,$Z104,"")))</f>
        <v/>
      </c>
      <c r="BV104" s="497" t="str">
        <f>IF($X$49="WEEKS","",IF($Z104="Manual Entry hrs/wk","",IF($X$49&gt;'FORMULA REFS'!AP$1,$Z104,"")))</f>
        <v/>
      </c>
      <c r="BW104" s="497" t="str">
        <f>IF($X$49="WEEKS","",IF($Z104="Manual Entry hrs/wk","",IF($X$49&gt;'FORMULA REFS'!AQ$1,$Z104,"")))</f>
        <v/>
      </c>
      <c r="BX104" s="497" t="str">
        <f>IF($X$49="WEEKS","",IF($Z104="Manual Entry hrs/wk","",IF($X$49&gt;'FORMULA REFS'!AR$1,$Z104,"")))</f>
        <v/>
      </c>
      <c r="BY104" s="497" t="str">
        <f>IF($X$49="WEEKS","",IF($Z104="Manual Entry hrs/wk","",IF($X$49&gt;'FORMULA REFS'!AS$1,$Z104,"")))</f>
        <v/>
      </c>
      <c r="BZ104" s="497" t="str">
        <f>IF($X$49="WEEKS","",IF($Z104="Manual Entry hrs/wk","",IF($X$49&gt;'FORMULA REFS'!AT$1,$Z104,"")))</f>
        <v/>
      </c>
      <c r="CA104" s="497" t="str">
        <f>IF($X$49="WEEKS","",IF($Z104="Manual Entry hrs/wk","",IF($X$49&gt;'FORMULA REFS'!AU$1,$Z104,"")))</f>
        <v/>
      </c>
      <c r="CB104" s="497" t="str">
        <f>IF($X$49="WEEKS","",IF($Z104="Manual Entry hrs/wk","",IF($X$49&gt;'FORMULA REFS'!AV$1,$Z104,"")))</f>
        <v/>
      </c>
      <c r="CC104" s="497" t="str">
        <f>IF($X$49="WEEKS","",IF($Z104="Manual Entry hrs/wk","",IF($X$49&gt;'FORMULA REFS'!AW$1,$Z104,"")))</f>
        <v/>
      </c>
      <c r="CD104" s="497" t="str">
        <f>IF($X$49="WEEKS","",IF($Z104="Manual Entry hrs/wk","",IF($X$49&gt;'FORMULA REFS'!AX$1,$Z104,"")))</f>
        <v/>
      </c>
      <c r="CE104" s="497" t="str">
        <f>IF($X$49="WEEKS","",IF($Z104="Manual Entry hrs/wk","",IF($X$49&gt;'FORMULA REFS'!AY$1,$Z104,"")))</f>
        <v/>
      </c>
      <c r="CF104" s="497" t="str">
        <f>IF($X$49="WEEKS","",IF($Z104="Manual Entry hrs/wk","",IF($X$49&gt;'FORMULA REFS'!AZ$1,$Z104,"")))</f>
        <v/>
      </c>
      <c r="CG104" s="113"/>
      <c r="CH104" s="349" t="str">
        <f t="shared" si="19"/>
        <v/>
      </c>
      <c r="CI104" s="349"/>
      <c r="CJ104" s="349"/>
      <c r="CK104" s="349"/>
      <c r="CL104" s="350"/>
    </row>
    <row r="105" spans="2:90" hidden="1" outlineLevel="2" x14ac:dyDescent="0.3">
      <c r="B105">
        <v>56</v>
      </c>
      <c r="C105" s="346"/>
      <c r="D105" s="495"/>
      <c r="E105" s="346"/>
      <c r="F105" s="346" t="str">
        <f>IFERROR(_xlfn.XLOOKUP(E105,'Standard Rate Cards'!$BB$11:$BB$23,'Standard Rate Cards'!$BA$11:$BA$23),"")</f>
        <v/>
      </c>
      <c r="G105" s="346"/>
      <c r="H105" s="346" t="str">
        <f>IFERROR(_xlfn.XLOOKUP(G105,'Standard Rate Cards'!$AP$8:$AP$142,'Standard Rate Cards'!$AQ$8:$AQ$142),"")</f>
        <v/>
      </c>
      <c r="I105" s="346"/>
      <c r="J105" s="346"/>
      <c r="K105" s="496"/>
      <c r="L105" s="496">
        <f t="shared" si="13"/>
        <v>0</v>
      </c>
      <c r="M105" s="496" t="str" cm="1">
        <f t="array" ref="M105">IF(ISBLANK(D105),"",IF(D105&lt;&gt;"CrederaUS",INDEX('Standard Rate Cards'!$D$9:$D$433,MATCH(1,('Standard Rate Cards'!$B$9:$B$433='2. Pricing &amp; Import'!D105)*('Standard Rate Cards'!$C$9:$C$433='2. Pricing &amp; Import'!K105),0)),INDEX('Standard Rate Cards'!$D$9:$D$433,MATCH(1,('Standard Rate Cards'!$B$9:$B$433='2. Pricing &amp; Import'!D105)*('Standard Rate Cards'!$C$9:$C$433='2. Pricing &amp; Import'!K105)*('Standard Rate Cards'!$H$9:$H$433=L105),0))))</f>
        <v/>
      </c>
      <c r="N105" s="347"/>
      <c r="O105" s="110"/>
      <c r="P105" s="246"/>
      <c r="Q105" s="348"/>
      <c r="R105" s="250"/>
      <c r="S105" s="250"/>
      <c r="T105" s="614"/>
      <c r="U105" s="1637"/>
      <c r="V105" s="1638"/>
      <c r="W105" s="614"/>
      <c r="X105" s="681" t="str">
        <f t="shared" si="17"/>
        <v/>
      </c>
      <c r="Y105" s="682" t="str">
        <f t="shared" si="18"/>
        <v/>
      </c>
      <c r="Z105" s="1630" t="s">
        <v>309</v>
      </c>
      <c r="AA105" s="1631"/>
      <c r="AB105" s="94"/>
      <c r="AC105" s="94"/>
      <c r="AD105" s="94"/>
      <c r="AE105" s="94"/>
      <c r="AF105" s="94"/>
      <c r="AG105" s="497" t="str">
        <f>IF($X$49="WEEKS","",IF($Z105="Manual Entry hrs/wk","",IF($X$49&gt;'FORMULA REFS'!A$1,$Z105,"")))</f>
        <v/>
      </c>
      <c r="AH105" s="497" t="str">
        <f>IF($X$49="WEEKS","",IF($Z105="Manual Entry hrs/wk","",IF($X$49&gt;'FORMULA REFS'!B$1,$Z105,"")))</f>
        <v/>
      </c>
      <c r="AI105" s="497" t="str">
        <f>IF($X$49="WEEKS","",IF($Z105="Manual Entry hrs/wk","",IF($X$49&gt;'FORMULA REFS'!C$1,$Z105,"")))</f>
        <v/>
      </c>
      <c r="AJ105" s="497" t="str">
        <f>IF($X$49="WEEKS","",IF($Z105="Manual Entry hrs/wk","",IF($X$49&gt;'FORMULA REFS'!D$1,$Z105,"")))</f>
        <v/>
      </c>
      <c r="AK105" s="497" t="str">
        <f>IF($X$49="WEEKS","",IF($Z105="Manual Entry hrs/wk","",IF($X$49&gt;'FORMULA REFS'!E$1,$Z105,"")))</f>
        <v/>
      </c>
      <c r="AL105" s="497" t="str">
        <f>IF($X$49="WEEKS","",IF($Z105="Manual Entry hrs/wk","",IF($X$49&gt;'FORMULA REFS'!F$1,$Z105,"")))</f>
        <v/>
      </c>
      <c r="AM105" s="497" t="str">
        <f>IF($X$49="WEEKS","",IF($Z105="Manual Entry hrs/wk","",IF($X$49&gt;'FORMULA REFS'!G$1,$Z105,"")))</f>
        <v/>
      </c>
      <c r="AN105" s="497" t="str">
        <f>IF($X$49="WEEKS","",IF($Z105="Manual Entry hrs/wk","",IF($X$49&gt;'FORMULA REFS'!H$1,$Z105,"")))</f>
        <v/>
      </c>
      <c r="AO105" s="497" t="str">
        <f>IF($X$49="WEEKS","",IF($Z105="Manual Entry hrs/wk","",IF($X$49&gt;'FORMULA REFS'!I$1,$Z105,"")))</f>
        <v/>
      </c>
      <c r="AP105" s="497" t="str">
        <f>IF($X$49="WEEKS","",IF($Z105="Manual Entry hrs/wk","",IF($X$49&gt;'FORMULA REFS'!J$1,$Z105,"")))</f>
        <v/>
      </c>
      <c r="AQ105" s="497" t="str">
        <f>IF($X$49="WEEKS","",IF($Z105="Manual Entry hrs/wk","",IF($X$49&gt;'FORMULA REFS'!K$1,$Z105,"")))</f>
        <v/>
      </c>
      <c r="AR105" s="497" t="str">
        <f>IF($X$49="WEEKS","",IF($Z105="Manual Entry hrs/wk","",IF($X$49&gt;'FORMULA REFS'!L$1,$Z105,"")))</f>
        <v/>
      </c>
      <c r="AS105" s="497" t="str">
        <f>IF($X$49="WEEKS","",IF($Z105="Manual Entry hrs/wk","",IF($X$49&gt;'FORMULA REFS'!M$1,$Z105,"")))</f>
        <v/>
      </c>
      <c r="AT105" s="497" t="str">
        <f>IF($X$49="WEEKS","",IF($Z105="Manual Entry hrs/wk","",IF($X$49&gt;'FORMULA REFS'!N$1,$Z105,"")))</f>
        <v/>
      </c>
      <c r="AU105" s="497" t="str">
        <f>IF($X$49="WEEKS","",IF($Z105="Manual Entry hrs/wk","",IF($X$49&gt;'FORMULA REFS'!O$1,$Z105,"")))</f>
        <v/>
      </c>
      <c r="AV105" s="497" t="str">
        <f>IF($X$49="WEEKS","",IF($Z105="Manual Entry hrs/wk","",IF($X$49&gt;'FORMULA REFS'!P$1,$Z105,"")))</f>
        <v/>
      </c>
      <c r="AW105" s="497" t="str">
        <f>IF($X$49="WEEKS","",IF($Z105="Manual Entry hrs/wk","",IF($X$49&gt;'FORMULA REFS'!Q$1,$Z105,"")))</f>
        <v/>
      </c>
      <c r="AX105" s="497" t="str">
        <f>IF($X$49="WEEKS","",IF($Z105="Manual Entry hrs/wk","",IF($X$49&gt;'FORMULA REFS'!R$1,$Z105,"")))</f>
        <v/>
      </c>
      <c r="AY105" s="497" t="str">
        <f>IF($X$49="WEEKS","",IF($Z105="Manual Entry hrs/wk","",IF($X$49&gt;'FORMULA REFS'!S$1,$Z105,"")))</f>
        <v/>
      </c>
      <c r="AZ105" s="497" t="str">
        <f>IF($X$49="WEEKS","",IF($Z105="Manual Entry hrs/wk","",IF($X$49&gt;'FORMULA REFS'!T$1,$Z105,"")))</f>
        <v/>
      </c>
      <c r="BA105" s="497" t="str">
        <f>IF($X$49="WEEKS","",IF($Z105="Manual Entry hrs/wk","",IF($X$49&gt;'FORMULA REFS'!U$1,$Z105,"")))</f>
        <v/>
      </c>
      <c r="BB105" s="497" t="str">
        <f>IF($X$49="WEEKS","",IF($Z105="Manual Entry hrs/wk","",IF($X$49&gt;'FORMULA REFS'!V$1,$Z105,"")))</f>
        <v/>
      </c>
      <c r="BC105" s="497" t="str">
        <f>IF($X$49="WEEKS","",IF($Z105="Manual Entry hrs/wk","",IF($X$49&gt;'FORMULA REFS'!W$1,$Z105,"")))</f>
        <v/>
      </c>
      <c r="BD105" s="497" t="str">
        <f>IF($X$49="WEEKS","",IF($Z105="Manual Entry hrs/wk","",IF($X$49&gt;'FORMULA REFS'!X$1,$Z105,"")))</f>
        <v/>
      </c>
      <c r="BE105" s="497" t="str">
        <f>IF($X$49="WEEKS","",IF($Z105="Manual Entry hrs/wk","",IF($X$49&gt;'FORMULA REFS'!Y$1,$Z105,"")))</f>
        <v/>
      </c>
      <c r="BF105" s="497" t="str">
        <f>IF($X$49="WEEKS","",IF($Z105="Manual Entry hrs/wk","",IF($X$49&gt;'FORMULA REFS'!Z$1,$Z105,"")))</f>
        <v/>
      </c>
      <c r="BG105" s="497" t="str">
        <f>IF($X$49="WEEKS","",IF($Z105="Manual Entry hrs/wk","",IF($X$49&gt;'FORMULA REFS'!AA$1,$Z105,"")))</f>
        <v/>
      </c>
      <c r="BH105" s="497" t="str">
        <f>IF($X$49="WEEKS","",IF($Z105="Manual Entry hrs/wk","",IF($X$49&gt;'FORMULA REFS'!AB$1,$Z105,"")))</f>
        <v/>
      </c>
      <c r="BI105" s="497" t="str">
        <f>IF($X$49="WEEKS","",IF($Z105="Manual Entry hrs/wk","",IF($X$49&gt;'FORMULA REFS'!AC$1,$Z105,"")))</f>
        <v/>
      </c>
      <c r="BJ105" s="497" t="str">
        <f>IF($X$49="WEEKS","",IF($Z105="Manual Entry hrs/wk","",IF($X$49&gt;'FORMULA REFS'!AD$1,$Z105,"")))</f>
        <v/>
      </c>
      <c r="BK105" s="497" t="str">
        <f>IF($X$49="WEEKS","",IF($Z105="Manual Entry hrs/wk","",IF($X$49&gt;'FORMULA REFS'!AE$1,$Z105,"")))</f>
        <v/>
      </c>
      <c r="BL105" s="497" t="str">
        <f>IF($X$49="WEEKS","",IF($Z105="Manual Entry hrs/wk","",IF($X$49&gt;'FORMULA REFS'!AF$1,$Z105,"")))</f>
        <v/>
      </c>
      <c r="BM105" s="497" t="str">
        <f>IF($X$49="WEEKS","",IF($Z105="Manual Entry hrs/wk","",IF($X$49&gt;'FORMULA REFS'!AG$1,$Z105,"")))</f>
        <v/>
      </c>
      <c r="BN105" s="497" t="str">
        <f>IF($X$49="WEEKS","",IF($Z105="Manual Entry hrs/wk","",IF($X$49&gt;'FORMULA REFS'!AH$1,$Z105,"")))</f>
        <v/>
      </c>
      <c r="BO105" s="497" t="str">
        <f>IF($X$49="WEEKS","",IF($Z105="Manual Entry hrs/wk","",IF($X$49&gt;'FORMULA REFS'!AI$1,$Z105,"")))</f>
        <v/>
      </c>
      <c r="BP105" s="497" t="str">
        <f>IF($X$49="WEEKS","",IF($Z105="Manual Entry hrs/wk","",IF($X$49&gt;'FORMULA REFS'!AJ$1,$Z105,"")))</f>
        <v/>
      </c>
      <c r="BQ105" s="497" t="str">
        <f>IF($X$49="WEEKS","",IF($Z105="Manual Entry hrs/wk","",IF($X$49&gt;'FORMULA REFS'!AK$1,$Z105,"")))</f>
        <v/>
      </c>
      <c r="BR105" s="497" t="str">
        <f>IF($X$49="WEEKS","",IF($Z105="Manual Entry hrs/wk","",IF($X$49&gt;'FORMULA REFS'!AL$1,$Z105,"")))</f>
        <v/>
      </c>
      <c r="BS105" s="497" t="str">
        <f>IF($X$49="WEEKS","",IF($Z105="Manual Entry hrs/wk","",IF($X$49&gt;'FORMULA REFS'!AM$1,$Z105,"")))</f>
        <v/>
      </c>
      <c r="BT105" s="497" t="str">
        <f>IF($X$49="WEEKS","",IF($Z105="Manual Entry hrs/wk","",IF($X$49&gt;'FORMULA REFS'!AN$1,$Z105,"")))</f>
        <v/>
      </c>
      <c r="BU105" s="497" t="str">
        <f>IF($X$49="WEEKS","",IF($Z105="Manual Entry hrs/wk","",IF($X$49&gt;'FORMULA REFS'!AO$1,$Z105,"")))</f>
        <v/>
      </c>
      <c r="BV105" s="497" t="str">
        <f>IF($X$49="WEEKS","",IF($Z105="Manual Entry hrs/wk","",IF($X$49&gt;'FORMULA REFS'!AP$1,$Z105,"")))</f>
        <v/>
      </c>
      <c r="BW105" s="497" t="str">
        <f>IF($X$49="WEEKS","",IF($Z105="Manual Entry hrs/wk","",IF($X$49&gt;'FORMULA REFS'!AQ$1,$Z105,"")))</f>
        <v/>
      </c>
      <c r="BX105" s="497" t="str">
        <f>IF($X$49="WEEKS","",IF($Z105="Manual Entry hrs/wk","",IF($X$49&gt;'FORMULA REFS'!AR$1,$Z105,"")))</f>
        <v/>
      </c>
      <c r="BY105" s="497" t="str">
        <f>IF($X$49="WEEKS","",IF($Z105="Manual Entry hrs/wk","",IF($X$49&gt;'FORMULA REFS'!AS$1,$Z105,"")))</f>
        <v/>
      </c>
      <c r="BZ105" s="497" t="str">
        <f>IF($X$49="WEEKS","",IF($Z105="Manual Entry hrs/wk","",IF($X$49&gt;'FORMULA REFS'!AT$1,$Z105,"")))</f>
        <v/>
      </c>
      <c r="CA105" s="497" t="str">
        <f>IF($X$49="WEEKS","",IF($Z105="Manual Entry hrs/wk","",IF($X$49&gt;'FORMULA REFS'!AU$1,$Z105,"")))</f>
        <v/>
      </c>
      <c r="CB105" s="497" t="str">
        <f>IF($X$49="WEEKS","",IF($Z105="Manual Entry hrs/wk","",IF($X$49&gt;'FORMULA REFS'!AV$1,$Z105,"")))</f>
        <v/>
      </c>
      <c r="CC105" s="497" t="str">
        <f>IF($X$49="WEEKS","",IF($Z105="Manual Entry hrs/wk","",IF($X$49&gt;'FORMULA REFS'!AW$1,$Z105,"")))</f>
        <v/>
      </c>
      <c r="CD105" s="497" t="str">
        <f>IF($X$49="WEEKS","",IF($Z105="Manual Entry hrs/wk","",IF($X$49&gt;'FORMULA REFS'!AX$1,$Z105,"")))</f>
        <v/>
      </c>
      <c r="CE105" s="497" t="str">
        <f>IF($X$49="WEEKS","",IF($Z105="Manual Entry hrs/wk","",IF($X$49&gt;'FORMULA REFS'!AY$1,$Z105,"")))</f>
        <v/>
      </c>
      <c r="CF105" s="497" t="str">
        <f>IF($X$49="WEEKS","",IF($Z105="Manual Entry hrs/wk","",IF($X$49&gt;'FORMULA REFS'!AZ$1,$Z105,"")))</f>
        <v/>
      </c>
      <c r="CG105" s="113"/>
      <c r="CH105" s="349" t="str">
        <f t="shared" si="19"/>
        <v/>
      </c>
      <c r="CI105" s="349"/>
      <c r="CJ105" s="349"/>
      <c r="CK105" s="349"/>
      <c r="CL105" s="350"/>
    </row>
    <row r="106" spans="2:90" hidden="1" outlineLevel="2" x14ac:dyDescent="0.3">
      <c r="B106">
        <v>57</v>
      </c>
      <c r="C106" s="346"/>
      <c r="D106" s="495"/>
      <c r="E106" s="346"/>
      <c r="F106" s="346" t="str">
        <f>IFERROR(_xlfn.XLOOKUP(E106,'Standard Rate Cards'!$BB$11:$BB$23,'Standard Rate Cards'!$BA$11:$BA$23),"")</f>
        <v/>
      </c>
      <c r="G106" s="346"/>
      <c r="H106" s="346" t="str">
        <f>IFERROR(_xlfn.XLOOKUP(G106,'Standard Rate Cards'!$AP$8:$AP$142,'Standard Rate Cards'!$AQ$8:$AQ$142),"")</f>
        <v/>
      </c>
      <c r="I106" s="346"/>
      <c r="J106" s="346"/>
      <c r="K106" s="496"/>
      <c r="L106" s="496">
        <f t="shared" si="13"/>
        <v>0</v>
      </c>
      <c r="M106" s="496" t="str" cm="1">
        <f t="array" ref="M106">IF(ISBLANK(D106),"",IF(D106&lt;&gt;"CrederaUS",INDEX('Standard Rate Cards'!$D$9:$D$433,MATCH(1,('Standard Rate Cards'!$B$9:$B$433='2. Pricing &amp; Import'!D106)*('Standard Rate Cards'!$C$9:$C$433='2. Pricing &amp; Import'!K106),0)),INDEX('Standard Rate Cards'!$D$9:$D$433,MATCH(1,('Standard Rate Cards'!$B$9:$B$433='2. Pricing &amp; Import'!D106)*('Standard Rate Cards'!$C$9:$C$433='2. Pricing &amp; Import'!K106)*('Standard Rate Cards'!$H$9:$H$433=L106),0))))</f>
        <v/>
      </c>
      <c r="N106" s="347"/>
      <c r="O106" s="110"/>
      <c r="P106" s="246"/>
      <c r="Q106" s="348"/>
      <c r="R106" s="250"/>
      <c r="S106" s="250"/>
      <c r="T106" s="614"/>
      <c r="U106" s="1637"/>
      <c r="V106" s="1638"/>
      <c r="W106" s="614"/>
      <c r="X106" s="681" t="str">
        <f t="shared" si="17"/>
        <v/>
      </c>
      <c r="Y106" s="682" t="str">
        <f t="shared" si="18"/>
        <v/>
      </c>
      <c r="Z106" s="1630" t="s">
        <v>309</v>
      </c>
      <c r="AA106" s="1631"/>
      <c r="AB106" s="94"/>
      <c r="AC106" s="94"/>
      <c r="AD106" s="94"/>
      <c r="AE106" s="94"/>
      <c r="AF106" s="94"/>
      <c r="AG106" s="497" t="str">
        <f>IF($X$49="WEEKS","",IF($Z106="Manual Entry hrs/wk","",IF($X$49&gt;'FORMULA REFS'!A$1,$Z106,"")))</f>
        <v/>
      </c>
      <c r="AH106" s="497" t="str">
        <f>IF($X$49="WEEKS","",IF($Z106="Manual Entry hrs/wk","",IF($X$49&gt;'FORMULA REFS'!B$1,$Z106,"")))</f>
        <v/>
      </c>
      <c r="AI106" s="497" t="str">
        <f>IF($X$49="WEEKS","",IF($Z106="Manual Entry hrs/wk","",IF($X$49&gt;'FORMULA REFS'!C$1,$Z106,"")))</f>
        <v/>
      </c>
      <c r="AJ106" s="497" t="str">
        <f>IF($X$49="WEEKS","",IF($Z106="Manual Entry hrs/wk","",IF($X$49&gt;'FORMULA REFS'!D$1,$Z106,"")))</f>
        <v/>
      </c>
      <c r="AK106" s="497" t="str">
        <f>IF($X$49="WEEKS","",IF($Z106="Manual Entry hrs/wk","",IF($X$49&gt;'FORMULA REFS'!E$1,$Z106,"")))</f>
        <v/>
      </c>
      <c r="AL106" s="497" t="str">
        <f>IF($X$49="WEEKS","",IF($Z106="Manual Entry hrs/wk","",IF($X$49&gt;'FORMULA REFS'!F$1,$Z106,"")))</f>
        <v/>
      </c>
      <c r="AM106" s="497" t="str">
        <f>IF($X$49="WEEKS","",IF($Z106="Manual Entry hrs/wk","",IF($X$49&gt;'FORMULA REFS'!G$1,$Z106,"")))</f>
        <v/>
      </c>
      <c r="AN106" s="497" t="str">
        <f>IF($X$49="WEEKS","",IF($Z106="Manual Entry hrs/wk","",IF($X$49&gt;'FORMULA REFS'!H$1,$Z106,"")))</f>
        <v/>
      </c>
      <c r="AO106" s="497" t="str">
        <f>IF($X$49="WEEKS","",IF($Z106="Manual Entry hrs/wk","",IF($X$49&gt;'FORMULA REFS'!I$1,$Z106,"")))</f>
        <v/>
      </c>
      <c r="AP106" s="497" t="str">
        <f>IF($X$49="WEEKS","",IF($Z106="Manual Entry hrs/wk","",IF($X$49&gt;'FORMULA REFS'!J$1,$Z106,"")))</f>
        <v/>
      </c>
      <c r="AQ106" s="497" t="str">
        <f>IF($X$49="WEEKS","",IF($Z106="Manual Entry hrs/wk","",IF($X$49&gt;'FORMULA REFS'!K$1,$Z106,"")))</f>
        <v/>
      </c>
      <c r="AR106" s="497" t="str">
        <f>IF($X$49="WEEKS","",IF($Z106="Manual Entry hrs/wk","",IF($X$49&gt;'FORMULA REFS'!L$1,$Z106,"")))</f>
        <v/>
      </c>
      <c r="AS106" s="497" t="str">
        <f>IF($X$49="WEEKS","",IF($Z106="Manual Entry hrs/wk","",IF($X$49&gt;'FORMULA REFS'!M$1,$Z106,"")))</f>
        <v/>
      </c>
      <c r="AT106" s="497" t="str">
        <f>IF($X$49="WEEKS","",IF($Z106="Manual Entry hrs/wk","",IF($X$49&gt;'FORMULA REFS'!N$1,$Z106,"")))</f>
        <v/>
      </c>
      <c r="AU106" s="497" t="str">
        <f>IF($X$49="WEEKS","",IF($Z106="Manual Entry hrs/wk","",IF($X$49&gt;'FORMULA REFS'!O$1,$Z106,"")))</f>
        <v/>
      </c>
      <c r="AV106" s="497" t="str">
        <f>IF($X$49="WEEKS","",IF($Z106="Manual Entry hrs/wk","",IF($X$49&gt;'FORMULA REFS'!P$1,$Z106,"")))</f>
        <v/>
      </c>
      <c r="AW106" s="497" t="str">
        <f>IF($X$49="WEEKS","",IF($Z106="Manual Entry hrs/wk","",IF($X$49&gt;'FORMULA REFS'!Q$1,$Z106,"")))</f>
        <v/>
      </c>
      <c r="AX106" s="497" t="str">
        <f>IF($X$49="WEEKS","",IF($Z106="Manual Entry hrs/wk","",IF($X$49&gt;'FORMULA REFS'!R$1,$Z106,"")))</f>
        <v/>
      </c>
      <c r="AY106" s="497" t="str">
        <f>IF($X$49="WEEKS","",IF($Z106="Manual Entry hrs/wk","",IF($X$49&gt;'FORMULA REFS'!S$1,$Z106,"")))</f>
        <v/>
      </c>
      <c r="AZ106" s="497" t="str">
        <f>IF($X$49="WEEKS","",IF($Z106="Manual Entry hrs/wk","",IF($X$49&gt;'FORMULA REFS'!T$1,$Z106,"")))</f>
        <v/>
      </c>
      <c r="BA106" s="497" t="str">
        <f>IF($X$49="WEEKS","",IF($Z106="Manual Entry hrs/wk","",IF($X$49&gt;'FORMULA REFS'!U$1,$Z106,"")))</f>
        <v/>
      </c>
      <c r="BB106" s="497" t="str">
        <f>IF($X$49="WEEKS","",IF($Z106="Manual Entry hrs/wk","",IF($X$49&gt;'FORMULA REFS'!V$1,$Z106,"")))</f>
        <v/>
      </c>
      <c r="BC106" s="497" t="str">
        <f>IF($X$49="WEEKS","",IF($Z106="Manual Entry hrs/wk","",IF($X$49&gt;'FORMULA REFS'!W$1,$Z106,"")))</f>
        <v/>
      </c>
      <c r="BD106" s="497" t="str">
        <f>IF($X$49="WEEKS","",IF($Z106="Manual Entry hrs/wk","",IF($X$49&gt;'FORMULA REFS'!X$1,$Z106,"")))</f>
        <v/>
      </c>
      <c r="BE106" s="497" t="str">
        <f>IF($X$49="WEEKS","",IF($Z106="Manual Entry hrs/wk","",IF($X$49&gt;'FORMULA REFS'!Y$1,$Z106,"")))</f>
        <v/>
      </c>
      <c r="BF106" s="497" t="str">
        <f>IF($X$49="WEEKS","",IF($Z106="Manual Entry hrs/wk","",IF($X$49&gt;'FORMULA REFS'!Z$1,$Z106,"")))</f>
        <v/>
      </c>
      <c r="BG106" s="497" t="str">
        <f>IF($X$49="WEEKS","",IF($Z106="Manual Entry hrs/wk","",IF($X$49&gt;'FORMULA REFS'!AA$1,$Z106,"")))</f>
        <v/>
      </c>
      <c r="BH106" s="497" t="str">
        <f>IF($X$49="WEEKS","",IF($Z106="Manual Entry hrs/wk","",IF($X$49&gt;'FORMULA REFS'!AB$1,$Z106,"")))</f>
        <v/>
      </c>
      <c r="BI106" s="497" t="str">
        <f>IF($X$49="WEEKS","",IF($Z106="Manual Entry hrs/wk","",IF($X$49&gt;'FORMULA REFS'!AC$1,$Z106,"")))</f>
        <v/>
      </c>
      <c r="BJ106" s="497" t="str">
        <f>IF($X$49="WEEKS","",IF($Z106="Manual Entry hrs/wk","",IF($X$49&gt;'FORMULA REFS'!AD$1,$Z106,"")))</f>
        <v/>
      </c>
      <c r="BK106" s="497" t="str">
        <f>IF($X$49="WEEKS","",IF($Z106="Manual Entry hrs/wk","",IF($X$49&gt;'FORMULA REFS'!AE$1,$Z106,"")))</f>
        <v/>
      </c>
      <c r="BL106" s="497" t="str">
        <f>IF($X$49="WEEKS","",IF($Z106="Manual Entry hrs/wk","",IF($X$49&gt;'FORMULA REFS'!AF$1,$Z106,"")))</f>
        <v/>
      </c>
      <c r="BM106" s="497" t="str">
        <f>IF($X$49="WEEKS","",IF($Z106="Manual Entry hrs/wk","",IF($X$49&gt;'FORMULA REFS'!AG$1,$Z106,"")))</f>
        <v/>
      </c>
      <c r="BN106" s="497" t="str">
        <f>IF($X$49="WEEKS","",IF($Z106="Manual Entry hrs/wk","",IF($X$49&gt;'FORMULA REFS'!AH$1,$Z106,"")))</f>
        <v/>
      </c>
      <c r="BO106" s="497" t="str">
        <f>IF($X$49="WEEKS","",IF($Z106="Manual Entry hrs/wk","",IF($X$49&gt;'FORMULA REFS'!AI$1,$Z106,"")))</f>
        <v/>
      </c>
      <c r="BP106" s="497" t="str">
        <f>IF($X$49="WEEKS","",IF($Z106="Manual Entry hrs/wk","",IF($X$49&gt;'FORMULA REFS'!AJ$1,$Z106,"")))</f>
        <v/>
      </c>
      <c r="BQ106" s="497" t="str">
        <f>IF($X$49="WEEKS","",IF($Z106="Manual Entry hrs/wk","",IF($X$49&gt;'FORMULA REFS'!AK$1,$Z106,"")))</f>
        <v/>
      </c>
      <c r="BR106" s="497" t="str">
        <f>IF($X$49="WEEKS","",IF($Z106="Manual Entry hrs/wk","",IF($X$49&gt;'FORMULA REFS'!AL$1,$Z106,"")))</f>
        <v/>
      </c>
      <c r="BS106" s="497" t="str">
        <f>IF($X$49="WEEKS","",IF($Z106="Manual Entry hrs/wk","",IF($X$49&gt;'FORMULA REFS'!AM$1,$Z106,"")))</f>
        <v/>
      </c>
      <c r="BT106" s="497" t="str">
        <f>IF($X$49="WEEKS","",IF($Z106="Manual Entry hrs/wk","",IF($X$49&gt;'FORMULA REFS'!AN$1,$Z106,"")))</f>
        <v/>
      </c>
      <c r="BU106" s="497" t="str">
        <f>IF($X$49="WEEKS","",IF($Z106="Manual Entry hrs/wk","",IF($X$49&gt;'FORMULA REFS'!AO$1,$Z106,"")))</f>
        <v/>
      </c>
      <c r="BV106" s="497" t="str">
        <f>IF($X$49="WEEKS","",IF($Z106="Manual Entry hrs/wk","",IF($X$49&gt;'FORMULA REFS'!AP$1,$Z106,"")))</f>
        <v/>
      </c>
      <c r="BW106" s="497" t="str">
        <f>IF($X$49="WEEKS","",IF($Z106="Manual Entry hrs/wk","",IF($X$49&gt;'FORMULA REFS'!AQ$1,$Z106,"")))</f>
        <v/>
      </c>
      <c r="BX106" s="497" t="str">
        <f>IF($X$49="WEEKS","",IF($Z106="Manual Entry hrs/wk","",IF($X$49&gt;'FORMULA REFS'!AR$1,$Z106,"")))</f>
        <v/>
      </c>
      <c r="BY106" s="497" t="str">
        <f>IF($X$49="WEEKS","",IF($Z106="Manual Entry hrs/wk","",IF($X$49&gt;'FORMULA REFS'!AS$1,$Z106,"")))</f>
        <v/>
      </c>
      <c r="BZ106" s="497" t="str">
        <f>IF($X$49="WEEKS","",IF($Z106="Manual Entry hrs/wk","",IF($X$49&gt;'FORMULA REFS'!AT$1,$Z106,"")))</f>
        <v/>
      </c>
      <c r="CA106" s="497" t="str">
        <f>IF($X$49="WEEKS","",IF($Z106="Manual Entry hrs/wk","",IF($X$49&gt;'FORMULA REFS'!AU$1,$Z106,"")))</f>
        <v/>
      </c>
      <c r="CB106" s="497" t="str">
        <f>IF($X$49="WEEKS","",IF($Z106="Manual Entry hrs/wk","",IF($X$49&gt;'FORMULA REFS'!AV$1,$Z106,"")))</f>
        <v/>
      </c>
      <c r="CC106" s="497" t="str">
        <f>IF($X$49="WEEKS","",IF($Z106="Manual Entry hrs/wk","",IF($X$49&gt;'FORMULA REFS'!AW$1,$Z106,"")))</f>
        <v/>
      </c>
      <c r="CD106" s="497" t="str">
        <f>IF($X$49="WEEKS","",IF($Z106="Manual Entry hrs/wk","",IF($X$49&gt;'FORMULA REFS'!AX$1,$Z106,"")))</f>
        <v/>
      </c>
      <c r="CE106" s="497" t="str">
        <f>IF($X$49="WEEKS","",IF($Z106="Manual Entry hrs/wk","",IF($X$49&gt;'FORMULA REFS'!AY$1,$Z106,"")))</f>
        <v/>
      </c>
      <c r="CF106" s="497" t="str">
        <f>IF($X$49="WEEKS","",IF($Z106="Manual Entry hrs/wk","",IF($X$49&gt;'FORMULA REFS'!AZ$1,$Z106,"")))</f>
        <v/>
      </c>
      <c r="CG106" s="113"/>
      <c r="CH106" s="349" t="str">
        <f t="shared" si="19"/>
        <v/>
      </c>
      <c r="CI106" s="349"/>
      <c r="CJ106" s="349"/>
      <c r="CK106" s="349"/>
      <c r="CL106" s="350"/>
    </row>
    <row r="107" spans="2:90" hidden="1" outlineLevel="2" x14ac:dyDescent="0.3">
      <c r="B107">
        <v>58</v>
      </c>
      <c r="C107" s="346"/>
      <c r="D107" s="495"/>
      <c r="E107" s="346"/>
      <c r="F107" s="346" t="str">
        <f>IFERROR(_xlfn.XLOOKUP(E107,'Standard Rate Cards'!$BB$11:$BB$23,'Standard Rate Cards'!$BA$11:$BA$23),"")</f>
        <v/>
      </c>
      <c r="G107" s="346"/>
      <c r="H107" s="346" t="str">
        <f>IFERROR(_xlfn.XLOOKUP(G107,'Standard Rate Cards'!$AP$8:$AP$142,'Standard Rate Cards'!$AQ$8:$AQ$142),"")</f>
        <v/>
      </c>
      <c r="I107" s="346"/>
      <c r="J107" s="346"/>
      <c r="K107" s="496"/>
      <c r="L107" s="496">
        <f t="shared" si="13"/>
        <v>0</v>
      </c>
      <c r="M107" s="496" t="str" cm="1">
        <f t="array" ref="M107">IF(ISBLANK(D107),"",IF(D107&lt;&gt;"CrederaUS",INDEX('Standard Rate Cards'!$D$9:$D$433,MATCH(1,('Standard Rate Cards'!$B$9:$B$433='2. Pricing &amp; Import'!D107)*('Standard Rate Cards'!$C$9:$C$433='2. Pricing &amp; Import'!K107),0)),INDEX('Standard Rate Cards'!$D$9:$D$433,MATCH(1,('Standard Rate Cards'!$B$9:$B$433='2. Pricing &amp; Import'!D107)*('Standard Rate Cards'!$C$9:$C$433='2. Pricing &amp; Import'!K107)*('Standard Rate Cards'!$H$9:$H$433=L107),0))))</f>
        <v/>
      </c>
      <c r="N107" s="347"/>
      <c r="O107" s="110"/>
      <c r="P107" s="246"/>
      <c r="Q107" s="348"/>
      <c r="R107" s="250"/>
      <c r="S107" s="250"/>
      <c r="T107" s="614"/>
      <c r="U107" s="1637"/>
      <c r="V107" s="1638"/>
      <c r="W107" s="614"/>
      <c r="X107" s="681" t="str">
        <f t="shared" si="17"/>
        <v/>
      </c>
      <c r="Y107" s="682" t="str">
        <f t="shared" si="18"/>
        <v/>
      </c>
      <c r="Z107" s="1630" t="s">
        <v>309</v>
      </c>
      <c r="AA107" s="1631"/>
      <c r="AB107" s="94"/>
      <c r="AC107" s="94"/>
      <c r="AD107" s="94"/>
      <c r="AE107" s="94"/>
      <c r="AF107" s="94"/>
      <c r="AG107" s="497" t="str">
        <f>IF($X$49="WEEKS","",IF($Z107="Manual Entry hrs/wk","",IF($X$49&gt;'FORMULA REFS'!A$1,$Z107,"")))</f>
        <v/>
      </c>
      <c r="AH107" s="497" t="str">
        <f>IF($X$49="WEEKS","",IF($Z107="Manual Entry hrs/wk","",IF($X$49&gt;'FORMULA REFS'!B$1,$Z107,"")))</f>
        <v/>
      </c>
      <c r="AI107" s="497" t="str">
        <f>IF($X$49="WEEKS","",IF($Z107="Manual Entry hrs/wk","",IF($X$49&gt;'FORMULA REFS'!C$1,$Z107,"")))</f>
        <v/>
      </c>
      <c r="AJ107" s="497" t="str">
        <f>IF($X$49="WEEKS","",IF($Z107="Manual Entry hrs/wk","",IF($X$49&gt;'FORMULA REFS'!D$1,$Z107,"")))</f>
        <v/>
      </c>
      <c r="AK107" s="497" t="str">
        <f>IF($X$49="WEEKS","",IF($Z107="Manual Entry hrs/wk","",IF($X$49&gt;'FORMULA REFS'!E$1,$Z107,"")))</f>
        <v/>
      </c>
      <c r="AL107" s="497" t="str">
        <f>IF($X$49="WEEKS","",IF($Z107="Manual Entry hrs/wk","",IF($X$49&gt;'FORMULA REFS'!F$1,$Z107,"")))</f>
        <v/>
      </c>
      <c r="AM107" s="497" t="str">
        <f>IF($X$49="WEEKS","",IF($Z107="Manual Entry hrs/wk","",IF($X$49&gt;'FORMULA REFS'!G$1,$Z107,"")))</f>
        <v/>
      </c>
      <c r="AN107" s="497" t="str">
        <f>IF($X$49="WEEKS","",IF($Z107="Manual Entry hrs/wk","",IF($X$49&gt;'FORMULA REFS'!H$1,$Z107,"")))</f>
        <v/>
      </c>
      <c r="AO107" s="497" t="str">
        <f>IF($X$49="WEEKS","",IF($Z107="Manual Entry hrs/wk","",IF($X$49&gt;'FORMULA REFS'!I$1,$Z107,"")))</f>
        <v/>
      </c>
      <c r="AP107" s="497" t="str">
        <f>IF($X$49="WEEKS","",IF($Z107="Manual Entry hrs/wk","",IF($X$49&gt;'FORMULA REFS'!J$1,$Z107,"")))</f>
        <v/>
      </c>
      <c r="AQ107" s="497" t="str">
        <f>IF($X$49="WEEKS","",IF($Z107="Manual Entry hrs/wk","",IF($X$49&gt;'FORMULA REFS'!K$1,$Z107,"")))</f>
        <v/>
      </c>
      <c r="AR107" s="497" t="str">
        <f>IF($X$49="WEEKS","",IF($Z107="Manual Entry hrs/wk","",IF($X$49&gt;'FORMULA REFS'!L$1,$Z107,"")))</f>
        <v/>
      </c>
      <c r="AS107" s="497" t="str">
        <f>IF($X$49="WEEKS","",IF($Z107="Manual Entry hrs/wk","",IF($X$49&gt;'FORMULA REFS'!M$1,$Z107,"")))</f>
        <v/>
      </c>
      <c r="AT107" s="497" t="str">
        <f>IF($X$49="WEEKS","",IF($Z107="Manual Entry hrs/wk","",IF($X$49&gt;'FORMULA REFS'!N$1,$Z107,"")))</f>
        <v/>
      </c>
      <c r="AU107" s="497" t="str">
        <f>IF($X$49="WEEKS","",IF($Z107="Manual Entry hrs/wk","",IF($X$49&gt;'FORMULA REFS'!O$1,$Z107,"")))</f>
        <v/>
      </c>
      <c r="AV107" s="497" t="str">
        <f>IF($X$49="WEEKS","",IF($Z107="Manual Entry hrs/wk","",IF($X$49&gt;'FORMULA REFS'!P$1,$Z107,"")))</f>
        <v/>
      </c>
      <c r="AW107" s="497" t="str">
        <f>IF($X$49="WEEKS","",IF($Z107="Manual Entry hrs/wk","",IF($X$49&gt;'FORMULA REFS'!Q$1,$Z107,"")))</f>
        <v/>
      </c>
      <c r="AX107" s="497" t="str">
        <f>IF($X$49="WEEKS","",IF($Z107="Manual Entry hrs/wk","",IF($X$49&gt;'FORMULA REFS'!R$1,$Z107,"")))</f>
        <v/>
      </c>
      <c r="AY107" s="497" t="str">
        <f>IF($X$49="WEEKS","",IF($Z107="Manual Entry hrs/wk","",IF($X$49&gt;'FORMULA REFS'!S$1,$Z107,"")))</f>
        <v/>
      </c>
      <c r="AZ107" s="497" t="str">
        <f>IF($X$49="WEEKS","",IF($Z107="Manual Entry hrs/wk","",IF($X$49&gt;'FORMULA REFS'!T$1,$Z107,"")))</f>
        <v/>
      </c>
      <c r="BA107" s="497" t="str">
        <f>IF($X$49="WEEKS","",IF($Z107="Manual Entry hrs/wk","",IF($X$49&gt;'FORMULA REFS'!U$1,$Z107,"")))</f>
        <v/>
      </c>
      <c r="BB107" s="497" t="str">
        <f>IF($X$49="WEEKS","",IF($Z107="Manual Entry hrs/wk","",IF($X$49&gt;'FORMULA REFS'!V$1,$Z107,"")))</f>
        <v/>
      </c>
      <c r="BC107" s="497" t="str">
        <f>IF($X$49="WEEKS","",IF($Z107="Manual Entry hrs/wk","",IF($X$49&gt;'FORMULA REFS'!W$1,$Z107,"")))</f>
        <v/>
      </c>
      <c r="BD107" s="497" t="str">
        <f>IF($X$49="WEEKS","",IF($Z107="Manual Entry hrs/wk","",IF($X$49&gt;'FORMULA REFS'!X$1,$Z107,"")))</f>
        <v/>
      </c>
      <c r="BE107" s="497" t="str">
        <f>IF($X$49="WEEKS","",IF($Z107="Manual Entry hrs/wk","",IF($X$49&gt;'FORMULA REFS'!Y$1,$Z107,"")))</f>
        <v/>
      </c>
      <c r="BF107" s="497" t="str">
        <f>IF($X$49="WEEKS","",IF($Z107="Manual Entry hrs/wk","",IF($X$49&gt;'FORMULA REFS'!Z$1,$Z107,"")))</f>
        <v/>
      </c>
      <c r="BG107" s="497" t="str">
        <f>IF($X$49="WEEKS","",IF($Z107="Manual Entry hrs/wk","",IF($X$49&gt;'FORMULA REFS'!AA$1,$Z107,"")))</f>
        <v/>
      </c>
      <c r="BH107" s="497" t="str">
        <f>IF($X$49="WEEKS","",IF($Z107="Manual Entry hrs/wk","",IF($X$49&gt;'FORMULA REFS'!AB$1,$Z107,"")))</f>
        <v/>
      </c>
      <c r="BI107" s="497" t="str">
        <f>IF($X$49="WEEKS","",IF($Z107="Manual Entry hrs/wk","",IF($X$49&gt;'FORMULA REFS'!AC$1,$Z107,"")))</f>
        <v/>
      </c>
      <c r="BJ107" s="497" t="str">
        <f>IF($X$49="WEEKS","",IF($Z107="Manual Entry hrs/wk","",IF($X$49&gt;'FORMULA REFS'!AD$1,$Z107,"")))</f>
        <v/>
      </c>
      <c r="BK107" s="497" t="str">
        <f>IF($X$49="WEEKS","",IF($Z107="Manual Entry hrs/wk","",IF($X$49&gt;'FORMULA REFS'!AE$1,$Z107,"")))</f>
        <v/>
      </c>
      <c r="BL107" s="497" t="str">
        <f>IF($X$49="WEEKS","",IF($Z107="Manual Entry hrs/wk","",IF($X$49&gt;'FORMULA REFS'!AF$1,$Z107,"")))</f>
        <v/>
      </c>
      <c r="BM107" s="497" t="str">
        <f>IF($X$49="WEEKS","",IF($Z107="Manual Entry hrs/wk","",IF($X$49&gt;'FORMULA REFS'!AG$1,$Z107,"")))</f>
        <v/>
      </c>
      <c r="BN107" s="497" t="str">
        <f>IF($X$49="WEEKS","",IF($Z107="Manual Entry hrs/wk","",IF($X$49&gt;'FORMULA REFS'!AH$1,$Z107,"")))</f>
        <v/>
      </c>
      <c r="BO107" s="497" t="str">
        <f>IF($X$49="WEEKS","",IF($Z107="Manual Entry hrs/wk","",IF($X$49&gt;'FORMULA REFS'!AI$1,$Z107,"")))</f>
        <v/>
      </c>
      <c r="BP107" s="497" t="str">
        <f>IF($X$49="WEEKS","",IF($Z107="Manual Entry hrs/wk","",IF($X$49&gt;'FORMULA REFS'!AJ$1,$Z107,"")))</f>
        <v/>
      </c>
      <c r="BQ107" s="497" t="str">
        <f>IF($X$49="WEEKS","",IF($Z107="Manual Entry hrs/wk","",IF($X$49&gt;'FORMULA REFS'!AK$1,$Z107,"")))</f>
        <v/>
      </c>
      <c r="BR107" s="497" t="str">
        <f>IF($X$49="WEEKS","",IF($Z107="Manual Entry hrs/wk","",IF($X$49&gt;'FORMULA REFS'!AL$1,$Z107,"")))</f>
        <v/>
      </c>
      <c r="BS107" s="497" t="str">
        <f>IF($X$49="WEEKS","",IF($Z107="Manual Entry hrs/wk","",IF($X$49&gt;'FORMULA REFS'!AM$1,$Z107,"")))</f>
        <v/>
      </c>
      <c r="BT107" s="497" t="str">
        <f>IF($X$49="WEEKS","",IF($Z107="Manual Entry hrs/wk","",IF($X$49&gt;'FORMULA REFS'!AN$1,$Z107,"")))</f>
        <v/>
      </c>
      <c r="BU107" s="497" t="str">
        <f>IF($X$49="WEEKS","",IF($Z107="Manual Entry hrs/wk","",IF($X$49&gt;'FORMULA REFS'!AO$1,$Z107,"")))</f>
        <v/>
      </c>
      <c r="BV107" s="497" t="str">
        <f>IF($X$49="WEEKS","",IF($Z107="Manual Entry hrs/wk","",IF($X$49&gt;'FORMULA REFS'!AP$1,$Z107,"")))</f>
        <v/>
      </c>
      <c r="BW107" s="497" t="str">
        <f>IF($X$49="WEEKS","",IF($Z107="Manual Entry hrs/wk","",IF($X$49&gt;'FORMULA REFS'!AQ$1,$Z107,"")))</f>
        <v/>
      </c>
      <c r="BX107" s="497" t="str">
        <f>IF($X$49="WEEKS","",IF($Z107="Manual Entry hrs/wk","",IF($X$49&gt;'FORMULA REFS'!AR$1,$Z107,"")))</f>
        <v/>
      </c>
      <c r="BY107" s="497" t="str">
        <f>IF($X$49="WEEKS","",IF($Z107="Manual Entry hrs/wk","",IF($X$49&gt;'FORMULA REFS'!AS$1,$Z107,"")))</f>
        <v/>
      </c>
      <c r="BZ107" s="497" t="str">
        <f>IF($X$49="WEEKS","",IF($Z107="Manual Entry hrs/wk","",IF($X$49&gt;'FORMULA REFS'!AT$1,$Z107,"")))</f>
        <v/>
      </c>
      <c r="CA107" s="497" t="str">
        <f>IF($X$49="WEEKS","",IF($Z107="Manual Entry hrs/wk","",IF($X$49&gt;'FORMULA REFS'!AU$1,$Z107,"")))</f>
        <v/>
      </c>
      <c r="CB107" s="497" t="str">
        <f>IF($X$49="WEEKS","",IF($Z107="Manual Entry hrs/wk","",IF($X$49&gt;'FORMULA REFS'!AV$1,$Z107,"")))</f>
        <v/>
      </c>
      <c r="CC107" s="497" t="str">
        <f>IF($X$49="WEEKS","",IF($Z107="Manual Entry hrs/wk","",IF($X$49&gt;'FORMULA REFS'!AW$1,$Z107,"")))</f>
        <v/>
      </c>
      <c r="CD107" s="497" t="str">
        <f>IF($X$49="WEEKS","",IF($Z107="Manual Entry hrs/wk","",IF($X$49&gt;'FORMULA REFS'!AX$1,$Z107,"")))</f>
        <v/>
      </c>
      <c r="CE107" s="497" t="str">
        <f>IF($X$49="WEEKS","",IF($Z107="Manual Entry hrs/wk","",IF($X$49&gt;'FORMULA REFS'!AY$1,$Z107,"")))</f>
        <v/>
      </c>
      <c r="CF107" s="497" t="str">
        <f>IF($X$49="WEEKS","",IF($Z107="Manual Entry hrs/wk","",IF($X$49&gt;'FORMULA REFS'!AZ$1,$Z107,"")))</f>
        <v/>
      </c>
      <c r="CG107" s="113"/>
      <c r="CH107" s="349" t="str">
        <f t="shared" si="19"/>
        <v/>
      </c>
      <c r="CI107" s="349"/>
      <c r="CJ107" s="349"/>
      <c r="CK107" s="349"/>
      <c r="CL107" s="350"/>
    </row>
    <row r="108" spans="2:90" hidden="1" outlineLevel="2" x14ac:dyDescent="0.3">
      <c r="B108">
        <v>59</v>
      </c>
      <c r="C108" s="346"/>
      <c r="D108" s="495"/>
      <c r="E108" s="346"/>
      <c r="F108" s="346" t="str">
        <f>IFERROR(_xlfn.XLOOKUP(E108,'Standard Rate Cards'!$BB$11:$BB$23,'Standard Rate Cards'!$BA$11:$BA$23),"")</f>
        <v/>
      </c>
      <c r="G108" s="346"/>
      <c r="H108" s="346" t="str">
        <f>IFERROR(_xlfn.XLOOKUP(G108,'Standard Rate Cards'!$AP$8:$AP$142,'Standard Rate Cards'!$AQ$8:$AQ$142),"")</f>
        <v/>
      </c>
      <c r="I108" s="346"/>
      <c r="J108" s="346"/>
      <c r="K108" s="496"/>
      <c r="L108" s="496">
        <f t="shared" si="13"/>
        <v>0</v>
      </c>
      <c r="M108" s="496" t="str" cm="1">
        <f t="array" ref="M108">IF(ISBLANK(D108),"",IF(D108&lt;&gt;"CrederaUS",INDEX('Standard Rate Cards'!$D$9:$D$433,MATCH(1,('Standard Rate Cards'!$B$9:$B$433='2. Pricing &amp; Import'!D108)*('Standard Rate Cards'!$C$9:$C$433='2. Pricing &amp; Import'!K108),0)),INDEX('Standard Rate Cards'!$D$9:$D$433,MATCH(1,('Standard Rate Cards'!$B$9:$B$433='2. Pricing &amp; Import'!D108)*('Standard Rate Cards'!$C$9:$C$433='2. Pricing &amp; Import'!K108)*('Standard Rate Cards'!$H$9:$H$433=L108),0))))</f>
        <v/>
      </c>
      <c r="N108" s="347"/>
      <c r="O108" s="110"/>
      <c r="P108" s="246"/>
      <c r="Q108" s="348"/>
      <c r="R108" s="250"/>
      <c r="S108" s="250"/>
      <c r="T108" s="614"/>
      <c r="U108" s="1637"/>
      <c r="V108" s="1638"/>
      <c r="W108" s="614"/>
      <c r="X108" s="681" t="str">
        <f t="shared" si="17"/>
        <v/>
      </c>
      <c r="Y108" s="682" t="str">
        <f t="shared" si="18"/>
        <v/>
      </c>
      <c r="Z108" s="1630" t="s">
        <v>309</v>
      </c>
      <c r="AA108" s="1631"/>
      <c r="AB108" s="94"/>
      <c r="AC108" s="94"/>
      <c r="AD108" s="94"/>
      <c r="AE108" s="94"/>
      <c r="AF108" s="94"/>
      <c r="AG108" s="497" t="str">
        <f>IF($X$49="WEEKS","",IF($Z108="Manual Entry hrs/wk","",IF($X$49&gt;'FORMULA REFS'!A$1,$Z108,"")))</f>
        <v/>
      </c>
      <c r="AH108" s="497" t="str">
        <f>IF($X$49="WEEKS","",IF($Z108="Manual Entry hrs/wk","",IF($X$49&gt;'FORMULA REFS'!B$1,$Z108,"")))</f>
        <v/>
      </c>
      <c r="AI108" s="497" t="str">
        <f>IF($X$49="WEEKS","",IF($Z108="Manual Entry hrs/wk","",IF($X$49&gt;'FORMULA REFS'!C$1,$Z108,"")))</f>
        <v/>
      </c>
      <c r="AJ108" s="497" t="str">
        <f>IF($X$49="WEEKS","",IF($Z108="Manual Entry hrs/wk","",IF($X$49&gt;'FORMULA REFS'!D$1,$Z108,"")))</f>
        <v/>
      </c>
      <c r="AK108" s="497" t="str">
        <f>IF($X$49="WEEKS","",IF($Z108="Manual Entry hrs/wk","",IF($X$49&gt;'FORMULA REFS'!E$1,$Z108,"")))</f>
        <v/>
      </c>
      <c r="AL108" s="497" t="str">
        <f>IF($X$49="WEEKS","",IF($Z108="Manual Entry hrs/wk","",IF($X$49&gt;'FORMULA REFS'!F$1,$Z108,"")))</f>
        <v/>
      </c>
      <c r="AM108" s="497" t="str">
        <f>IF($X$49="WEEKS","",IF($Z108="Manual Entry hrs/wk","",IF($X$49&gt;'FORMULA REFS'!G$1,$Z108,"")))</f>
        <v/>
      </c>
      <c r="AN108" s="497" t="str">
        <f>IF($X$49="WEEKS","",IF($Z108="Manual Entry hrs/wk","",IF($X$49&gt;'FORMULA REFS'!H$1,$Z108,"")))</f>
        <v/>
      </c>
      <c r="AO108" s="497" t="str">
        <f>IF($X$49="WEEKS","",IF($Z108="Manual Entry hrs/wk","",IF($X$49&gt;'FORMULA REFS'!I$1,$Z108,"")))</f>
        <v/>
      </c>
      <c r="AP108" s="497" t="str">
        <f>IF($X$49="WEEKS","",IF($Z108="Manual Entry hrs/wk","",IF($X$49&gt;'FORMULA REFS'!J$1,$Z108,"")))</f>
        <v/>
      </c>
      <c r="AQ108" s="497" t="str">
        <f>IF($X$49="WEEKS","",IF($Z108="Manual Entry hrs/wk","",IF($X$49&gt;'FORMULA REFS'!K$1,$Z108,"")))</f>
        <v/>
      </c>
      <c r="AR108" s="497" t="str">
        <f>IF($X$49="WEEKS","",IF($Z108="Manual Entry hrs/wk","",IF($X$49&gt;'FORMULA REFS'!L$1,$Z108,"")))</f>
        <v/>
      </c>
      <c r="AS108" s="497" t="str">
        <f>IF($X$49="WEEKS","",IF($Z108="Manual Entry hrs/wk","",IF($X$49&gt;'FORMULA REFS'!M$1,$Z108,"")))</f>
        <v/>
      </c>
      <c r="AT108" s="497" t="str">
        <f>IF($X$49="WEEKS","",IF($Z108="Manual Entry hrs/wk","",IF($X$49&gt;'FORMULA REFS'!N$1,$Z108,"")))</f>
        <v/>
      </c>
      <c r="AU108" s="497" t="str">
        <f>IF($X$49="WEEKS","",IF($Z108="Manual Entry hrs/wk","",IF($X$49&gt;'FORMULA REFS'!O$1,$Z108,"")))</f>
        <v/>
      </c>
      <c r="AV108" s="497" t="str">
        <f>IF($X$49="WEEKS","",IF($Z108="Manual Entry hrs/wk","",IF($X$49&gt;'FORMULA REFS'!P$1,$Z108,"")))</f>
        <v/>
      </c>
      <c r="AW108" s="497" t="str">
        <f>IF($X$49="WEEKS","",IF($Z108="Manual Entry hrs/wk","",IF($X$49&gt;'FORMULA REFS'!Q$1,$Z108,"")))</f>
        <v/>
      </c>
      <c r="AX108" s="497" t="str">
        <f>IF($X$49="WEEKS","",IF($Z108="Manual Entry hrs/wk","",IF($X$49&gt;'FORMULA REFS'!R$1,$Z108,"")))</f>
        <v/>
      </c>
      <c r="AY108" s="497" t="str">
        <f>IF($X$49="WEEKS","",IF($Z108="Manual Entry hrs/wk","",IF($X$49&gt;'FORMULA REFS'!S$1,$Z108,"")))</f>
        <v/>
      </c>
      <c r="AZ108" s="497" t="str">
        <f>IF($X$49="WEEKS","",IF($Z108="Manual Entry hrs/wk","",IF($X$49&gt;'FORMULA REFS'!T$1,$Z108,"")))</f>
        <v/>
      </c>
      <c r="BA108" s="497" t="str">
        <f>IF($X$49="WEEKS","",IF($Z108="Manual Entry hrs/wk","",IF($X$49&gt;'FORMULA REFS'!U$1,$Z108,"")))</f>
        <v/>
      </c>
      <c r="BB108" s="497" t="str">
        <f>IF($X$49="WEEKS","",IF($Z108="Manual Entry hrs/wk","",IF($X$49&gt;'FORMULA REFS'!V$1,$Z108,"")))</f>
        <v/>
      </c>
      <c r="BC108" s="497" t="str">
        <f>IF($X$49="WEEKS","",IF($Z108="Manual Entry hrs/wk","",IF($X$49&gt;'FORMULA REFS'!W$1,$Z108,"")))</f>
        <v/>
      </c>
      <c r="BD108" s="497" t="str">
        <f>IF($X$49="WEEKS","",IF($Z108="Manual Entry hrs/wk","",IF($X$49&gt;'FORMULA REFS'!X$1,$Z108,"")))</f>
        <v/>
      </c>
      <c r="BE108" s="497" t="str">
        <f>IF($X$49="WEEKS","",IF($Z108="Manual Entry hrs/wk","",IF($X$49&gt;'FORMULA REFS'!Y$1,$Z108,"")))</f>
        <v/>
      </c>
      <c r="BF108" s="497" t="str">
        <f>IF($X$49="WEEKS","",IF($Z108="Manual Entry hrs/wk","",IF($X$49&gt;'FORMULA REFS'!Z$1,$Z108,"")))</f>
        <v/>
      </c>
      <c r="BG108" s="497" t="str">
        <f>IF($X$49="WEEKS","",IF($Z108="Manual Entry hrs/wk","",IF($X$49&gt;'FORMULA REFS'!AA$1,$Z108,"")))</f>
        <v/>
      </c>
      <c r="BH108" s="497" t="str">
        <f>IF($X$49="WEEKS","",IF($Z108="Manual Entry hrs/wk","",IF($X$49&gt;'FORMULA REFS'!AB$1,$Z108,"")))</f>
        <v/>
      </c>
      <c r="BI108" s="497" t="str">
        <f>IF($X$49="WEEKS","",IF($Z108="Manual Entry hrs/wk","",IF($X$49&gt;'FORMULA REFS'!AC$1,$Z108,"")))</f>
        <v/>
      </c>
      <c r="BJ108" s="497" t="str">
        <f>IF($X$49="WEEKS","",IF($Z108="Manual Entry hrs/wk","",IF($X$49&gt;'FORMULA REFS'!AD$1,$Z108,"")))</f>
        <v/>
      </c>
      <c r="BK108" s="497" t="str">
        <f>IF($X$49="WEEKS","",IF($Z108="Manual Entry hrs/wk","",IF($X$49&gt;'FORMULA REFS'!AE$1,$Z108,"")))</f>
        <v/>
      </c>
      <c r="BL108" s="497" t="str">
        <f>IF($X$49="WEEKS","",IF($Z108="Manual Entry hrs/wk","",IF($X$49&gt;'FORMULA REFS'!AF$1,$Z108,"")))</f>
        <v/>
      </c>
      <c r="BM108" s="497" t="str">
        <f>IF($X$49="WEEKS","",IF($Z108="Manual Entry hrs/wk","",IF($X$49&gt;'FORMULA REFS'!AG$1,$Z108,"")))</f>
        <v/>
      </c>
      <c r="BN108" s="497" t="str">
        <f>IF($X$49="WEEKS","",IF($Z108="Manual Entry hrs/wk","",IF($X$49&gt;'FORMULA REFS'!AH$1,$Z108,"")))</f>
        <v/>
      </c>
      <c r="BO108" s="497" t="str">
        <f>IF($X$49="WEEKS","",IF($Z108="Manual Entry hrs/wk","",IF($X$49&gt;'FORMULA REFS'!AI$1,$Z108,"")))</f>
        <v/>
      </c>
      <c r="BP108" s="497" t="str">
        <f>IF($X$49="WEEKS","",IF($Z108="Manual Entry hrs/wk","",IF($X$49&gt;'FORMULA REFS'!AJ$1,$Z108,"")))</f>
        <v/>
      </c>
      <c r="BQ108" s="497" t="str">
        <f>IF($X$49="WEEKS","",IF($Z108="Manual Entry hrs/wk","",IF($X$49&gt;'FORMULA REFS'!AK$1,$Z108,"")))</f>
        <v/>
      </c>
      <c r="BR108" s="497" t="str">
        <f>IF($X$49="WEEKS","",IF($Z108="Manual Entry hrs/wk","",IF($X$49&gt;'FORMULA REFS'!AL$1,$Z108,"")))</f>
        <v/>
      </c>
      <c r="BS108" s="497" t="str">
        <f>IF($X$49="WEEKS","",IF($Z108="Manual Entry hrs/wk","",IF($X$49&gt;'FORMULA REFS'!AM$1,$Z108,"")))</f>
        <v/>
      </c>
      <c r="BT108" s="497" t="str">
        <f>IF($X$49="WEEKS","",IF($Z108="Manual Entry hrs/wk","",IF($X$49&gt;'FORMULA REFS'!AN$1,$Z108,"")))</f>
        <v/>
      </c>
      <c r="BU108" s="497" t="str">
        <f>IF($X$49="WEEKS","",IF($Z108="Manual Entry hrs/wk","",IF($X$49&gt;'FORMULA REFS'!AO$1,$Z108,"")))</f>
        <v/>
      </c>
      <c r="BV108" s="497" t="str">
        <f>IF($X$49="WEEKS","",IF($Z108="Manual Entry hrs/wk","",IF($X$49&gt;'FORMULA REFS'!AP$1,$Z108,"")))</f>
        <v/>
      </c>
      <c r="BW108" s="497" t="str">
        <f>IF($X$49="WEEKS","",IF($Z108="Manual Entry hrs/wk","",IF($X$49&gt;'FORMULA REFS'!AQ$1,$Z108,"")))</f>
        <v/>
      </c>
      <c r="BX108" s="497" t="str">
        <f>IF($X$49="WEEKS","",IF($Z108="Manual Entry hrs/wk","",IF($X$49&gt;'FORMULA REFS'!AR$1,$Z108,"")))</f>
        <v/>
      </c>
      <c r="BY108" s="497" t="str">
        <f>IF($X$49="WEEKS","",IF($Z108="Manual Entry hrs/wk","",IF($X$49&gt;'FORMULA REFS'!AS$1,$Z108,"")))</f>
        <v/>
      </c>
      <c r="BZ108" s="497" t="str">
        <f>IF($X$49="WEEKS","",IF($Z108="Manual Entry hrs/wk","",IF($X$49&gt;'FORMULA REFS'!AT$1,$Z108,"")))</f>
        <v/>
      </c>
      <c r="CA108" s="497" t="str">
        <f>IF($X$49="WEEKS","",IF($Z108="Manual Entry hrs/wk","",IF($X$49&gt;'FORMULA REFS'!AU$1,$Z108,"")))</f>
        <v/>
      </c>
      <c r="CB108" s="497" t="str">
        <f>IF($X$49="WEEKS","",IF($Z108="Manual Entry hrs/wk","",IF($X$49&gt;'FORMULA REFS'!AV$1,$Z108,"")))</f>
        <v/>
      </c>
      <c r="CC108" s="497" t="str">
        <f>IF($X$49="WEEKS","",IF($Z108="Manual Entry hrs/wk","",IF($X$49&gt;'FORMULA REFS'!AW$1,$Z108,"")))</f>
        <v/>
      </c>
      <c r="CD108" s="497" t="str">
        <f>IF($X$49="WEEKS","",IF($Z108="Manual Entry hrs/wk","",IF($X$49&gt;'FORMULA REFS'!AX$1,$Z108,"")))</f>
        <v/>
      </c>
      <c r="CE108" s="497" t="str">
        <f>IF($X$49="WEEKS","",IF($Z108="Manual Entry hrs/wk","",IF($X$49&gt;'FORMULA REFS'!AY$1,$Z108,"")))</f>
        <v/>
      </c>
      <c r="CF108" s="497" t="str">
        <f>IF($X$49="WEEKS","",IF($Z108="Manual Entry hrs/wk","",IF($X$49&gt;'FORMULA REFS'!AZ$1,$Z108,"")))</f>
        <v/>
      </c>
      <c r="CG108" s="113"/>
      <c r="CH108" s="349" t="str">
        <f t="shared" si="19"/>
        <v/>
      </c>
      <c r="CI108" s="349"/>
      <c r="CJ108" s="349"/>
      <c r="CK108" s="349"/>
      <c r="CL108" s="350"/>
    </row>
    <row r="109" spans="2:90" hidden="1" outlineLevel="2" x14ac:dyDescent="0.3">
      <c r="B109">
        <v>60</v>
      </c>
      <c r="C109" s="346"/>
      <c r="D109" s="495"/>
      <c r="E109" s="346"/>
      <c r="F109" s="346" t="str">
        <f>IFERROR(_xlfn.XLOOKUP(E109,'Standard Rate Cards'!$BB$11:$BB$23,'Standard Rate Cards'!$BA$11:$BA$23),"")</f>
        <v/>
      </c>
      <c r="G109" s="346"/>
      <c r="H109" s="346" t="str">
        <f>IFERROR(_xlfn.XLOOKUP(G109,'Standard Rate Cards'!$AP$8:$AP$142,'Standard Rate Cards'!$AQ$8:$AQ$142),"")</f>
        <v/>
      </c>
      <c r="I109" s="346"/>
      <c r="J109" s="346"/>
      <c r="K109" s="496"/>
      <c r="L109" s="496">
        <f t="shared" si="13"/>
        <v>0</v>
      </c>
      <c r="M109" s="496" t="str" cm="1">
        <f t="array" ref="M109">IF(ISBLANK(D109),"",IF(D109&lt;&gt;"CrederaUS",INDEX('Standard Rate Cards'!$D$9:$D$433,MATCH(1,('Standard Rate Cards'!$B$9:$B$433='2. Pricing &amp; Import'!D109)*('Standard Rate Cards'!$C$9:$C$433='2. Pricing &amp; Import'!K109),0)),INDEX('Standard Rate Cards'!$D$9:$D$433,MATCH(1,('Standard Rate Cards'!$B$9:$B$433='2. Pricing &amp; Import'!D109)*('Standard Rate Cards'!$C$9:$C$433='2. Pricing &amp; Import'!K109)*('Standard Rate Cards'!$H$9:$H$433=L109),0))))</f>
        <v/>
      </c>
      <c r="N109" s="347"/>
      <c r="O109" s="110"/>
      <c r="P109" s="246"/>
      <c r="Q109" s="348"/>
      <c r="R109" s="250"/>
      <c r="S109" s="250"/>
      <c r="T109" s="614"/>
      <c r="U109" s="1637"/>
      <c r="V109" s="1638"/>
      <c r="W109" s="614"/>
      <c r="X109" s="681" t="str">
        <f t="shared" si="17"/>
        <v/>
      </c>
      <c r="Y109" s="682" t="str">
        <f t="shared" si="18"/>
        <v/>
      </c>
      <c r="Z109" s="1630" t="s">
        <v>309</v>
      </c>
      <c r="AA109" s="1631"/>
      <c r="AB109" s="94"/>
      <c r="AC109" s="94"/>
      <c r="AD109" s="94"/>
      <c r="AE109" s="94"/>
      <c r="AF109" s="94"/>
      <c r="AG109" s="497" t="str">
        <f>IF($X$49="WEEKS","",IF($Z109="Manual Entry hrs/wk","",IF($X$49&gt;'FORMULA REFS'!A$1,$Z109,"")))</f>
        <v/>
      </c>
      <c r="AH109" s="497" t="str">
        <f>IF($X$49="WEEKS","",IF($Z109="Manual Entry hrs/wk","",IF($X$49&gt;'FORMULA REFS'!B$1,$Z109,"")))</f>
        <v/>
      </c>
      <c r="AI109" s="497" t="str">
        <f>IF($X$49="WEEKS","",IF($Z109="Manual Entry hrs/wk","",IF($X$49&gt;'FORMULA REFS'!C$1,$Z109,"")))</f>
        <v/>
      </c>
      <c r="AJ109" s="497" t="str">
        <f>IF($X$49="WEEKS","",IF($Z109="Manual Entry hrs/wk","",IF($X$49&gt;'FORMULA REFS'!D$1,$Z109,"")))</f>
        <v/>
      </c>
      <c r="AK109" s="497" t="str">
        <f>IF($X$49="WEEKS","",IF($Z109="Manual Entry hrs/wk","",IF($X$49&gt;'FORMULA REFS'!E$1,$Z109,"")))</f>
        <v/>
      </c>
      <c r="AL109" s="497" t="str">
        <f>IF($X$49="WEEKS","",IF($Z109="Manual Entry hrs/wk","",IF($X$49&gt;'FORMULA REFS'!F$1,$Z109,"")))</f>
        <v/>
      </c>
      <c r="AM109" s="497" t="str">
        <f>IF($X$49="WEEKS","",IF($Z109="Manual Entry hrs/wk","",IF($X$49&gt;'FORMULA REFS'!G$1,$Z109,"")))</f>
        <v/>
      </c>
      <c r="AN109" s="497" t="str">
        <f>IF($X$49="WEEKS","",IF($Z109="Manual Entry hrs/wk","",IF($X$49&gt;'FORMULA REFS'!H$1,$Z109,"")))</f>
        <v/>
      </c>
      <c r="AO109" s="497" t="str">
        <f>IF($X$49="WEEKS","",IF($Z109="Manual Entry hrs/wk","",IF($X$49&gt;'FORMULA REFS'!I$1,$Z109,"")))</f>
        <v/>
      </c>
      <c r="AP109" s="497" t="str">
        <f>IF($X$49="WEEKS","",IF($Z109="Manual Entry hrs/wk","",IF($X$49&gt;'FORMULA REFS'!J$1,$Z109,"")))</f>
        <v/>
      </c>
      <c r="AQ109" s="497" t="str">
        <f>IF($X$49="WEEKS","",IF($Z109="Manual Entry hrs/wk","",IF($X$49&gt;'FORMULA REFS'!K$1,$Z109,"")))</f>
        <v/>
      </c>
      <c r="AR109" s="497" t="str">
        <f>IF($X$49="WEEKS","",IF($Z109="Manual Entry hrs/wk","",IF($X$49&gt;'FORMULA REFS'!L$1,$Z109,"")))</f>
        <v/>
      </c>
      <c r="AS109" s="497" t="str">
        <f>IF($X$49="WEEKS","",IF($Z109="Manual Entry hrs/wk","",IF($X$49&gt;'FORMULA REFS'!M$1,$Z109,"")))</f>
        <v/>
      </c>
      <c r="AT109" s="497" t="str">
        <f>IF($X$49="WEEKS","",IF($Z109="Manual Entry hrs/wk","",IF($X$49&gt;'FORMULA REFS'!N$1,$Z109,"")))</f>
        <v/>
      </c>
      <c r="AU109" s="497" t="str">
        <f>IF($X$49="WEEKS","",IF($Z109="Manual Entry hrs/wk","",IF($X$49&gt;'FORMULA REFS'!O$1,$Z109,"")))</f>
        <v/>
      </c>
      <c r="AV109" s="497" t="str">
        <f>IF($X$49="WEEKS","",IF($Z109="Manual Entry hrs/wk","",IF($X$49&gt;'FORMULA REFS'!P$1,$Z109,"")))</f>
        <v/>
      </c>
      <c r="AW109" s="497" t="str">
        <f>IF($X$49="WEEKS","",IF($Z109="Manual Entry hrs/wk","",IF($X$49&gt;'FORMULA REFS'!Q$1,$Z109,"")))</f>
        <v/>
      </c>
      <c r="AX109" s="497" t="str">
        <f>IF($X$49="WEEKS","",IF($Z109="Manual Entry hrs/wk","",IF($X$49&gt;'FORMULA REFS'!R$1,$Z109,"")))</f>
        <v/>
      </c>
      <c r="AY109" s="497" t="str">
        <f>IF($X$49="WEEKS","",IF($Z109="Manual Entry hrs/wk","",IF($X$49&gt;'FORMULA REFS'!S$1,$Z109,"")))</f>
        <v/>
      </c>
      <c r="AZ109" s="497" t="str">
        <f>IF($X$49="WEEKS","",IF($Z109="Manual Entry hrs/wk","",IF($X$49&gt;'FORMULA REFS'!T$1,$Z109,"")))</f>
        <v/>
      </c>
      <c r="BA109" s="497" t="str">
        <f>IF($X$49="WEEKS","",IF($Z109="Manual Entry hrs/wk","",IF($X$49&gt;'FORMULA REFS'!U$1,$Z109,"")))</f>
        <v/>
      </c>
      <c r="BB109" s="497" t="str">
        <f>IF($X$49="WEEKS","",IF($Z109="Manual Entry hrs/wk","",IF($X$49&gt;'FORMULA REFS'!V$1,$Z109,"")))</f>
        <v/>
      </c>
      <c r="BC109" s="497" t="str">
        <f>IF($X$49="WEEKS","",IF($Z109="Manual Entry hrs/wk","",IF($X$49&gt;'FORMULA REFS'!W$1,$Z109,"")))</f>
        <v/>
      </c>
      <c r="BD109" s="497" t="str">
        <f>IF($X$49="WEEKS","",IF($Z109="Manual Entry hrs/wk","",IF($X$49&gt;'FORMULA REFS'!X$1,$Z109,"")))</f>
        <v/>
      </c>
      <c r="BE109" s="497" t="str">
        <f>IF($X$49="WEEKS","",IF($Z109="Manual Entry hrs/wk","",IF($X$49&gt;'FORMULA REFS'!Y$1,$Z109,"")))</f>
        <v/>
      </c>
      <c r="BF109" s="497" t="str">
        <f>IF($X$49="WEEKS","",IF($Z109="Manual Entry hrs/wk","",IF($X$49&gt;'FORMULA REFS'!Z$1,$Z109,"")))</f>
        <v/>
      </c>
      <c r="BG109" s="497" t="str">
        <f>IF($X$49="WEEKS","",IF($Z109="Manual Entry hrs/wk","",IF($X$49&gt;'FORMULA REFS'!AA$1,$Z109,"")))</f>
        <v/>
      </c>
      <c r="BH109" s="497" t="str">
        <f>IF($X$49="WEEKS","",IF($Z109="Manual Entry hrs/wk","",IF($X$49&gt;'FORMULA REFS'!AB$1,$Z109,"")))</f>
        <v/>
      </c>
      <c r="BI109" s="497" t="str">
        <f>IF($X$49="WEEKS","",IF($Z109="Manual Entry hrs/wk","",IF($X$49&gt;'FORMULA REFS'!AC$1,$Z109,"")))</f>
        <v/>
      </c>
      <c r="BJ109" s="497" t="str">
        <f>IF($X$49="WEEKS","",IF($Z109="Manual Entry hrs/wk","",IF($X$49&gt;'FORMULA REFS'!AD$1,$Z109,"")))</f>
        <v/>
      </c>
      <c r="BK109" s="497" t="str">
        <f>IF($X$49="WEEKS","",IF($Z109="Manual Entry hrs/wk","",IF($X$49&gt;'FORMULA REFS'!AE$1,$Z109,"")))</f>
        <v/>
      </c>
      <c r="BL109" s="497" t="str">
        <f>IF($X$49="WEEKS","",IF($Z109="Manual Entry hrs/wk","",IF($X$49&gt;'FORMULA REFS'!AF$1,$Z109,"")))</f>
        <v/>
      </c>
      <c r="BM109" s="497" t="str">
        <f>IF($X$49="WEEKS","",IF($Z109="Manual Entry hrs/wk","",IF($X$49&gt;'FORMULA REFS'!AG$1,$Z109,"")))</f>
        <v/>
      </c>
      <c r="BN109" s="497" t="str">
        <f>IF($X$49="WEEKS","",IF($Z109="Manual Entry hrs/wk","",IF($X$49&gt;'FORMULA REFS'!AH$1,$Z109,"")))</f>
        <v/>
      </c>
      <c r="BO109" s="497" t="str">
        <f>IF($X$49="WEEKS","",IF($Z109="Manual Entry hrs/wk","",IF($X$49&gt;'FORMULA REFS'!AI$1,$Z109,"")))</f>
        <v/>
      </c>
      <c r="BP109" s="497" t="str">
        <f>IF($X$49="WEEKS","",IF($Z109="Manual Entry hrs/wk","",IF($X$49&gt;'FORMULA REFS'!AJ$1,$Z109,"")))</f>
        <v/>
      </c>
      <c r="BQ109" s="497" t="str">
        <f>IF($X$49="WEEKS","",IF($Z109="Manual Entry hrs/wk","",IF($X$49&gt;'FORMULA REFS'!AK$1,$Z109,"")))</f>
        <v/>
      </c>
      <c r="BR109" s="497" t="str">
        <f>IF($X$49="WEEKS","",IF($Z109="Manual Entry hrs/wk","",IF($X$49&gt;'FORMULA REFS'!AL$1,$Z109,"")))</f>
        <v/>
      </c>
      <c r="BS109" s="497" t="str">
        <f>IF($X$49="WEEKS","",IF($Z109="Manual Entry hrs/wk","",IF($X$49&gt;'FORMULA REFS'!AM$1,$Z109,"")))</f>
        <v/>
      </c>
      <c r="BT109" s="497" t="str">
        <f>IF($X$49="WEEKS","",IF($Z109="Manual Entry hrs/wk","",IF($X$49&gt;'FORMULA REFS'!AN$1,$Z109,"")))</f>
        <v/>
      </c>
      <c r="BU109" s="497" t="str">
        <f>IF($X$49="WEEKS","",IF($Z109="Manual Entry hrs/wk","",IF($X$49&gt;'FORMULA REFS'!AO$1,$Z109,"")))</f>
        <v/>
      </c>
      <c r="BV109" s="497" t="str">
        <f>IF($X$49="WEEKS","",IF($Z109="Manual Entry hrs/wk","",IF($X$49&gt;'FORMULA REFS'!AP$1,$Z109,"")))</f>
        <v/>
      </c>
      <c r="BW109" s="497" t="str">
        <f>IF($X$49="WEEKS","",IF($Z109="Manual Entry hrs/wk","",IF($X$49&gt;'FORMULA REFS'!AQ$1,$Z109,"")))</f>
        <v/>
      </c>
      <c r="BX109" s="497" t="str">
        <f>IF($X$49="WEEKS","",IF($Z109="Manual Entry hrs/wk","",IF($X$49&gt;'FORMULA REFS'!AR$1,$Z109,"")))</f>
        <v/>
      </c>
      <c r="BY109" s="497" t="str">
        <f>IF($X$49="WEEKS","",IF($Z109="Manual Entry hrs/wk","",IF($X$49&gt;'FORMULA REFS'!AS$1,$Z109,"")))</f>
        <v/>
      </c>
      <c r="BZ109" s="497" t="str">
        <f>IF($X$49="WEEKS","",IF($Z109="Manual Entry hrs/wk","",IF($X$49&gt;'FORMULA REFS'!AT$1,$Z109,"")))</f>
        <v/>
      </c>
      <c r="CA109" s="497" t="str">
        <f>IF($X$49="WEEKS","",IF($Z109="Manual Entry hrs/wk","",IF($X$49&gt;'FORMULA REFS'!AU$1,$Z109,"")))</f>
        <v/>
      </c>
      <c r="CB109" s="497" t="str">
        <f>IF($X$49="WEEKS","",IF($Z109="Manual Entry hrs/wk","",IF($X$49&gt;'FORMULA REFS'!AV$1,$Z109,"")))</f>
        <v/>
      </c>
      <c r="CC109" s="497" t="str">
        <f>IF($X$49="WEEKS","",IF($Z109="Manual Entry hrs/wk","",IF($X$49&gt;'FORMULA REFS'!AW$1,$Z109,"")))</f>
        <v/>
      </c>
      <c r="CD109" s="497" t="str">
        <f>IF($X$49="WEEKS","",IF($Z109="Manual Entry hrs/wk","",IF($X$49&gt;'FORMULA REFS'!AX$1,$Z109,"")))</f>
        <v/>
      </c>
      <c r="CE109" s="497" t="str">
        <f>IF($X$49="WEEKS","",IF($Z109="Manual Entry hrs/wk","",IF($X$49&gt;'FORMULA REFS'!AY$1,$Z109,"")))</f>
        <v/>
      </c>
      <c r="CF109" s="497" t="str">
        <f>IF($X$49="WEEKS","",IF($Z109="Manual Entry hrs/wk","",IF($X$49&gt;'FORMULA REFS'!AZ$1,$Z109,"")))</f>
        <v/>
      </c>
      <c r="CG109" s="113"/>
      <c r="CH109" s="349" t="str">
        <f t="shared" si="19"/>
        <v/>
      </c>
      <c r="CI109" s="349"/>
      <c r="CJ109" s="349"/>
      <c r="CK109" s="349"/>
      <c r="CL109" s="350"/>
    </row>
    <row r="110" spans="2:90" hidden="1" outlineLevel="2" x14ac:dyDescent="0.3">
      <c r="B110">
        <v>61</v>
      </c>
      <c r="C110" s="346"/>
      <c r="D110" s="495"/>
      <c r="E110" s="346"/>
      <c r="F110" s="346" t="str">
        <f>IFERROR(_xlfn.XLOOKUP(E110,'Standard Rate Cards'!$BB$11:$BB$23,'Standard Rate Cards'!$BA$11:$BA$23),"")</f>
        <v/>
      </c>
      <c r="G110" s="346"/>
      <c r="H110" s="346" t="str">
        <f>IFERROR(_xlfn.XLOOKUP(G110,'Standard Rate Cards'!$AP$8:$AP$142,'Standard Rate Cards'!$AQ$8:$AQ$142),"")</f>
        <v/>
      </c>
      <c r="I110" s="346"/>
      <c r="J110" s="346"/>
      <c r="K110" s="496"/>
      <c r="L110" s="496">
        <f t="shared" si="13"/>
        <v>0</v>
      </c>
      <c r="M110" s="496" t="str" cm="1">
        <f t="array" ref="M110">IF(ISBLANK(D110),"",IF(D110&lt;&gt;"CrederaUS",INDEX('Standard Rate Cards'!$D$9:$D$433,MATCH(1,('Standard Rate Cards'!$B$9:$B$433='2. Pricing &amp; Import'!D110)*('Standard Rate Cards'!$C$9:$C$433='2. Pricing &amp; Import'!K110),0)),INDEX('Standard Rate Cards'!$D$9:$D$433,MATCH(1,('Standard Rate Cards'!$B$9:$B$433='2. Pricing &amp; Import'!D110)*('Standard Rate Cards'!$C$9:$C$433='2. Pricing &amp; Import'!K110)*('Standard Rate Cards'!$H$9:$H$433=L110),0))))</f>
        <v/>
      </c>
      <c r="N110" s="347"/>
      <c r="O110" s="110"/>
      <c r="P110" s="246"/>
      <c r="Q110" s="348"/>
      <c r="R110" s="250"/>
      <c r="S110" s="250"/>
      <c r="T110" s="614"/>
      <c r="U110" s="1637"/>
      <c r="V110" s="1638"/>
      <c r="W110" s="614"/>
      <c r="X110" s="681" t="str">
        <f t="shared" si="17"/>
        <v/>
      </c>
      <c r="Y110" s="682" t="str">
        <f t="shared" si="18"/>
        <v/>
      </c>
      <c r="Z110" s="1630" t="s">
        <v>309</v>
      </c>
      <c r="AA110" s="1631"/>
      <c r="AB110" s="94"/>
      <c r="AC110" s="94"/>
      <c r="AD110" s="94"/>
      <c r="AE110" s="94"/>
      <c r="AF110" s="94"/>
      <c r="AG110" s="497" t="str">
        <f>IF($X$49="WEEKS","",IF($Z110="Manual Entry hrs/wk","",IF($X$49&gt;'FORMULA REFS'!A$1,$Z110,"")))</f>
        <v/>
      </c>
      <c r="AH110" s="497" t="str">
        <f>IF($X$49="WEEKS","",IF($Z110="Manual Entry hrs/wk","",IF($X$49&gt;'FORMULA REFS'!B$1,$Z110,"")))</f>
        <v/>
      </c>
      <c r="AI110" s="497" t="str">
        <f>IF($X$49="WEEKS","",IF($Z110="Manual Entry hrs/wk","",IF($X$49&gt;'FORMULA REFS'!C$1,$Z110,"")))</f>
        <v/>
      </c>
      <c r="AJ110" s="497" t="str">
        <f>IF($X$49="WEEKS","",IF($Z110="Manual Entry hrs/wk","",IF($X$49&gt;'FORMULA REFS'!D$1,$Z110,"")))</f>
        <v/>
      </c>
      <c r="AK110" s="497" t="str">
        <f>IF($X$49="WEEKS","",IF($Z110="Manual Entry hrs/wk","",IF($X$49&gt;'FORMULA REFS'!E$1,$Z110,"")))</f>
        <v/>
      </c>
      <c r="AL110" s="497" t="str">
        <f>IF($X$49="WEEKS","",IF($Z110="Manual Entry hrs/wk","",IF($X$49&gt;'FORMULA REFS'!F$1,$Z110,"")))</f>
        <v/>
      </c>
      <c r="AM110" s="497" t="str">
        <f>IF($X$49="WEEKS","",IF($Z110="Manual Entry hrs/wk","",IF($X$49&gt;'FORMULA REFS'!G$1,$Z110,"")))</f>
        <v/>
      </c>
      <c r="AN110" s="497" t="str">
        <f>IF($X$49="WEEKS","",IF($Z110="Manual Entry hrs/wk","",IF($X$49&gt;'FORMULA REFS'!H$1,$Z110,"")))</f>
        <v/>
      </c>
      <c r="AO110" s="497" t="str">
        <f>IF($X$49="WEEKS","",IF($Z110="Manual Entry hrs/wk","",IF($X$49&gt;'FORMULA REFS'!I$1,$Z110,"")))</f>
        <v/>
      </c>
      <c r="AP110" s="497" t="str">
        <f>IF($X$49="WEEKS","",IF($Z110="Manual Entry hrs/wk","",IF($X$49&gt;'FORMULA REFS'!J$1,$Z110,"")))</f>
        <v/>
      </c>
      <c r="AQ110" s="497" t="str">
        <f>IF($X$49="WEEKS","",IF($Z110="Manual Entry hrs/wk","",IF($X$49&gt;'FORMULA REFS'!K$1,$Z110,"")))</f>
        <v/>
      </c>
      <c r="AR110" s="497" t="str">
        <f>IF($X$49="WEEKS","",IF($Z110="Manual Entry hrs/wk","",IF($X$49&gt;'FORMULA REFS'!L$1,$Z110,"")))</f>
        <v/>
      </c>
      <c r="AS110" s="497" t="str">
        <f>IF($X$49="WEEKS","",IF($Z110="Manual Entry hrs/wk","",IF($X$49&gt;'FORMULA REFS'!M$1,$Z110,"")))</f>
        <v/>
      </c>
      <c r="AT110" s="497" t="str">
        <f>IF($X$49="WEEKS","",IF($Z110="Manual Entry hrs/wk","",IF($X$49&gt;'FORMULA REFS'!N$1,$Z110,"")))</f>
        <v/>
      </c>
      <c r="AU110" s="497" t="str">
        <f>IF($X$49="WEEKS","",IF($Z110="Manual Entry hrs/wk","",IF($X$49&gt;'FORMULA REFS'!O$1,$Z110,"")))</f>
        <v/>
      </c>
      <c r="AV110" s="497" t="str">
        <f>IF($X$49="WEEKS","",IF($Z110="Manual Entry hrs/wk","",IF($X$49&gt;'FORMULA REFS'!P$1,$Z110,"")))</f>
        <v/>
      </c>
      <c r="AW110" s="497" t="str">
        <f>IF($X$49="WEEKS","",IF($Z110="Manual Entry hrs/wk","",IF($X$49&gt;'FORMULA REFS'!Q$1,$Z110,"")))</f>
        <v/>
      </c>
      <c r="AX110" s="497" t="str">
        <f>IF($X$49="WEEKS","",IF($Z110="Manual Entry hrs/wk","",IF($X$49&gt;'FORMULA REFS'!R$1,$Z110,"")))</f>
        <v/>
      </c>
      <c r="AY110" s="497" t="str">
        <f>IF($X$49="WEEKS","",IF($Z110="Manual Entry hrs/wk","",IF($X$49&gt;'FORMULA REFS'!S$1,$Z110,"")))</f>
        <v/>
      </c>
      <c r="AZ110" s="497" t="str">
        <f>IF($X$49="WEEKS","",IF($Z110="Manual Entry hrs/wk","",IF($X$49&gt;'FORMULA REFS'!T$1,$Z110,"")))</f>
        <v/>
      </c>
      <c r="BA110" s="497" t="str">
        <f>IF($X$49="WEEKS","",IF($Z110="Manual Entry hrs/wk","",IF($X$49&gt;'FORMULA REFS'!U$1,$Z110,"")))</f>
        <v/>
      </c>
      <c r="BB110" s="497" t="str">
        <f>IF($X$49="WEEKS","",IF($Z110="Manual Entry hrs/wk","",IF($X$49&gt;'FORMULA REFS'!V$1,$Z110,"")))</f>
        <v/>
      </c>
      <c r="BC110" s="497" t="str">
        <f>IF($X$49="WEEKS","",IF($Z110="Manual Entry hrs/wk","",IF($X$49&gt;'FORMULA REFS'!W$1,$Z110,"")))</f>
        <v/>
      </c>
      <c r="BD110" s="497" t="str">
        <f>IF($X$49="WEEKS","",IF($Z110="Manual Entry hrs/wk","",IF($X$49&gt;'FORMULA REFS'!X$1,$Z110,"")))</f>
        <v/>
      </c>
      <c r="BE110" s="497" t="str">
        <f>IF($X$49="WEEKS","",IF($Z110="Manual Entry hrs/wk","",IF($X$49&gt;'FORMULA REFS'!Y$1,$Z110,"")))</f>
        <v/>
      </c>
      <c r="BF110" s="497" t="str">
        <f>IF($X$49="WEEKS","",IF($Z110="Manual Entry hrs/wk","",IF($X$49&gt;'FORMULA REFS'!Z$1,$Z110,"")))</f>
        <v/>
      </c>
      <c r="BG110" s="497" t="str">
        <f>IF($X$49="WEEKS","",IF($Z110="Manual Entry hrs/wk","",IF($X$49&gt;'FORMULA REFS'!AA$1,$Z110,"")))</f>
        <v/>
      </c>
      <c r="BH110" s="497" t="str">
        <f>IF($X$49="WEEKS","",IF($Z110="Manual Entry hrs/wk","",IF($X$49&gt;'FORMULA REFS'!AB$1,$Z110,"")))</f>
        <v/>
      </c>
      <c r="BI110" s="497" t="str">
        <f>IF($X$49="WEEKS","",IF($Z110="Manual Entry hrs/wk","",IF($X$49&gt;'FORMULA REFS'!AC$1,$Z110,"")))</f>
        <v/>
      </c>
      <c r="BJ110" s="497" t="str">
        <f>IF($X$49="WEEKS","",IF($Z110="Manual Entry hrs/wk","",IF($X$49&gt;'FORMULA REFS'!AD$1,$Z110,"")))</f>
        <v/>
      </c>
      <c r="BK110" s="497" t="str">
        <f>IF($X$49="WEEKS","",IF($Z110="Manual Entry hrs/wk","",IF($X$49&gt;'FORMULA REFS'!AE$1,$Z110,"")))</f>
        <v/>
      </c>
      <c r="BL110" s="497" t="str">
        <f>IF($X$49="WEEKS","",IF($Z110="Manual Entry hrs/wk","",IF($X$49&gt;'FORMULA REFS'!AF$1,$Z110,"")))</f>
        <v/>
      </c>
      <c r="BM110" s="497" t="str">
        <f>IF($X$49="WEEKS","",IF($Z110="Manual Entry hrs/wk","",IF($X$49&gt;'FORMULA REFS'!AG$1,$Z110,"")))</f>
        <v/>
      </c>
      <c r="BN110" s="497" t="str">
        <f>IF($X$49="WEEKS","",IF($Z110="Manual Entry hrs/wk","",IF($X$49&gt;'FORMULA REFS'!AH$1,$Z110,"")))</f>
        <v/>
      </c>
      <c r="BO110" s="497" t="str">
        <f>IF($X$49="WEEKS","",IF($Z110="Manual Entry hrs/wk","",IF($X$49&gt;'FORMULA REFS'!AI$1,$Z110,"")))</f>
        <v/>
      </c>
      <c r="BP110" s="497" t="str">
        <f>IF($X$49="WEEKS","",IF($Z110="Manual Entry hrs/wk","",IF($X$49&gt;'FORMULA REFS'!AJ$1,$Z110,"")))</f>
        <v/>
      </c>
      <c r="BQ110" s="497" t="str">
        <f>IF($X$49="WEEKS","",IF($Z110="Manual Entry hrs/wk","",IF($X$49&gt;'FORMULA REFS'!AK$1,$Z110,"")))</f>
        <v/>
      </c>
      <c r="BR110" s="497" t="str">
        <f>IF($X$49="WEEKS","",IF($Z110="Manual Entry hrs/wk","",IF($X$49&gt;'FORMULA REFS'!AL$1,$Z110,"")))</f>
        <v/>
      </c>
      <c r="BS110" s="497" t="str">
        <f>IF($X$49="WEEKS","",IF($Z110="Manual Entry hrs/wk","",IF($X$49&gt;'FORMULA REFS'!AM$1,$Z110,"")))</f>
        <v/>
      </c>
      <c r="BT110" s="497" t="str">
        <f>IF($X$49="WEEKS","",IF($Z110="Manual Entry hrs/wk","",IF($X$49&gt;'FORMULA REFS'!AN$1,$Z110,"")))</f>
        <v/>
      </c>
      <c r="BU110" s="497" t="str">
        <f>IF($X$49="WEEKS","",IF($Z110="Manual Entry hrs/wk","",IF($X$49&gt;'FORMULA REFS'!AO$1,$Z110,"")))</f>
        <v/>
      </c>
      <c r="BV110" s="497" t="str">
        <f>IF($X$49="WEEKS","",IF($Z110="Manual Entry hrs/wk","",IF($X$49&gt;'FORMULA REFS'!AP$1,$Z110,"")))</f>
        <v/>
      </c>
      <c r="BW110" s="497" t="str">
        <f>IF($X$49="WEEKS","",IF($Z110="Manual Entry hrs/wk","",IF($X$49&gt;'FORMULA REFS'!AQ$1,$Z110,"")))</f>
        <v/>
      </c>
      <c r="BX110" s="497" t="str">
        <f>IF($X$49="WEEKS","",IF($Z110="Manual Entry hrs/wk","",IF($X$49&gt;'FORMULA REFS'!AR$1,$Z110,"")))</f>
        <v/>
      </c>
      <c r="BY110" s="497" t="str">
        <f>IF($X$49="WEEKS","",IF($Z110="Manual Entry hrs/wk","",IF($X$49&gt;'FORMULA REFS'!AS$1,$Z110,"")))</f>
        <v/>
      </c>
      <c r="BZ110" s="497" t="str">
        <f>IF($X$49="WEEKS","",IF($Z110="Manual Entry hrs/wk","",IF($X$49&gt;'FORMULA REFS'!AT$1,$Z110,"")))</f>
        <v/>
      </c>
      <c r="CA110" s="497" t="str">
        <f>IF($X$49="WEEKS","",IF($Z110="Manual Entry hrs/wk","",IF($X$49&gt;'FORMULA REFS'!AU$1,$Z110,"")))</f>
        <v/>
      </c>
      <c r="CB110" s="497" t="str">
        <f>IF($X$49="WEEKS","",IF($Z110="Manual Entry hrs/wk","",IF($X$49&gt;'FORMULA REFS'!AV$1,$Z110,"")))</f>
        <v/>
      </c>
      <c r="CC110" s="497" t="str">
        <f>IF($X$49="WEEKS","",IF($Z110="Manual Entry hrs/wk","",IF($X$49&gt;'FORMULA REFS'!AW$1,$Z110,"")))</f>
        <v/>
      </c>
      <c r="CD110" s="497" t="str">
        <f>IF($X$49="WEEKS","",IF($Z110="Manual Entry hrs/wk","",IF($X$49&gt;'FORMULA REFS'!AX$1,$Z110,"")))</f>
        <v/>
      </c>
      <c r="CE110" s="497" t="str">
        <f>IF($X$49="WEEKS","",IF($Z110="Manual Entry hrs/wk","",IF($X$49&gt;'FORMULA REFS'!AY$1,$Z110,"")))</f>
        <v/>
      </c>
      <c r="CF110" s="497" t="str">
        <f>IF($X$49="WEEKS","",IF($Z110="Manual Entry hrs/wk","",IF($X$49&gt;'FORMULA REFS'!AZ$1,$Z110,"")))</f>
        <v/>
      </c>
      <c r="CG110" s="113"/>
      <c r="CH110" s="349" t="str">
        <f t="shared" si="19"/>
        <v/>
      </c>
      <c r="CI110" s="349"/>
      <c r="CJ110" s="349"/>
      <c r="CK110" s="349"/>
      <c r="CL110" s="350"/>
    </row>
    <row r="111" spans="2:90" hidden="1" outlineLevel="2" x14ac:dyDescent="0.3">
      <c r="B111">
        <v>62</v>
      </c>
      <c r="C111" s="346"/>
      <c r="D111" s="495"/>
      <c r="E111" s="346"/>
      <c r="F111" s="346" t="str">
        <f>IFERROR(_xlfn.XLOOKUP(E111,'Standard Rate Cards'!$BB$11:$BB$23,'Standard Rate Cards'!$BA$11:$BA$23),"")</f>
        <v/>
      </c>
      <c r="G111" s="346"/>
      <c r="H111" s="346" t="str">
        <f>IFERROR(_xlfn.XLOOKUP(G111,'Standard Rate Cards'!$AP$8:$AP$142,'Standard Rate Cards'!$AQ$8:$AQ$142),"")</f>
        <v/>
      </c>
      <c r="I111" s="346"/>
      <c r="J111" s="346"/>
      <c r="K111" s="496"/>
      <c r="L111" s="496">
        <f t="shared" si="13"/>
        <v>0</v>
      </c>
      <c r="M111" s="496" t="str" cm="1">
        <f t="array" ref="M111">IF(ISBLANK(D111),"",IF(D111&lt;&gt;"CrederaUS",INDEX('Standard Rate Cards'!$D$9:$D$433,MATCH(1,('Standard Rate Cards'!$B$9:$B$433='2. Pricing &amp; Import'!D111)*('Standard Rate Cards'!$C$9:$C$433='2. Pricing &amp; Import'!K111),0)),INDEX('Standard Rate Cards'!$D$9:$D$433,MATCH(1,('Standard Rate Cards'!$B$9:$B$433='2. Pricing &amp; Import'!D111)*('Standard Rate Cards'!$C$9:$C$433='2. Pricing &amp; Import'!K111)*('Standard Rate Cards'!$H$9:$H$433=L111),0))))</f>
        <v/>
      </c>
      <c r="N111" s="347"/>
      <c r="O111" s="110"/>
      <c r="P111" s="246"/>
      <c r="Q111" s="348"/>
      <c r="R111" s="250"/>
      <c r="S111" s="250"/>
      <c r="T111" s="614"/>
      <c r="U111" s="1637"/>
      <c r="V111" s="1638"/>
      <c r="W111" s="614"/>
      <c r="X111" s="681" t="str">
        <f t="shared" si="17"/>
        <v/>
      </c>
      <c r="Y111" s="682" t="str">
        <f t="shared" si="18"/>
        <v/>
      </c>
      <c r="Z111" s="1630" t="s">
        <v>309</v>
      </c>
      <c r="AA111" s="1631"/>
      <c r="AB111" s="94"/>
      <c r="AC111" s="94"/>
      <c r="AD111" s="94"/>
      <c r="AE111" s="94"/>
      <c r="AF111" s="94"/>
      <c r="AG111" s="497" t="str">
        <f>IF($X$49="WEEKS","",IF($Z111="Manual Entry hrs/wk","",IF($X$49&gt;'FORMULA REFS'!A$1,$Z111,"")))</f>
        <v/>
      </c>
      <c r="AH111" s="497" t="str">
        <f>IF($X$49="WEEKS","",IF($Z111="Manual Entry hrs/wk","",IF($X$49&gt;'FORMULA REFS'!B$1,$Z111,"")))</f>
        <v/>
      </c>
      <c r="AI111" s="497" t="str">
        <f>IF($X$49="WEEKS","",IF($Z111="Manual Entry hrs/wk","",IF($X$49&gt;'FORMULA REFS'!C$1,$Z111,"")))</f>
        <v/>
      </c>
      <c r="AJ111" s="497" t="str">
        <f>IF($X$49="WEEKS","",IF($Z111="Manual Entry hrs/wk","",IF($X$49&gt;'FORMULA REFS'!D$1,$Z111,"")))</f>
        <v/>
      </c>
      <c r="AK111" s="497" t="str">
        <f>IF($X$49="WEEKS","",IF($Z111="Manual Entry hrs/wk","",IF($X$49&gt;'FORMULA REFS'!E$1,$Z111,"")))</f>
        <v/>
      </c>
      <c r="AL111" s="497" t="str">
        <f>IF($X$49="WEEKS","",IF($Z111="Manual Entry hrs/wk","",IF($X$49&gt;'FORMULA REFS'!F$1,$Z111,"")))</f>
        <v/>
      </c>
      <c r="AM111" s="497" t="str">
        <f>IF($X$49="WEEKS","",IF($Z111="Manual Entry hrs/wk","",IF($X$49&gt;'FORMULA REFS'!G$1,$Z111,"")))</f>
        <v/>
      </c>
      <c r="AN111" s="497" t="str">
        <f>IF($X$49="WEEKS","",IF($Z111="Manual Entry hrs/wk","",IF($X$49&gt;'FORMULA REFS'!H$1,$Z111,"")))</f>
        <v/>
      </c>
      <c r="AO111" s="497" t="str">
        <f>IF($X$49="WEEKS","",IF($Z111="Manual Entry hrs/wk","",IF($X$49&gt;'FORMULA REFS'!I$1,$Z111,"")))</f>
        <v/>
      </c>
      <c r="AP111" s="497" t="str">
        <f>IF($X$49="WEEKS","",IF($Z111="Manual Entry hrs/wk","",IF($X$49&gt;'FORMULA REFS'!J$1,$Z111,"")))</f>
        <v/>
      </c>
      <c r="AQ111" s="497" t="str">
        <f>IF($X$49="WEEKS","",IF($Z111="Manual Entry hrs/wk","",IF($X$49&gt;'FORMULA REFS'!K$1,$Z111,"")))</f>
        <v/>
      </c>
      <c r="AR111" s="497" t="str">
        <f>IF($X$49="WEEKS","",IF($Z111="Manual Entry hrs/wk","",IF($X$49&gt;'FORMULA REFS'!L$1,$Z111,"")))</f>
        <v/>
      </c>
      <c r="AS111" s="497" t="str">
        <f>IF($X$49="WEEKS","",IF($Z111="Manual Entry hrs/wk","",IF($X$49&gt;'FORMULA REFS'!M$1,$Z111,"")))</f>
        <v/>
      </c>
      <c r="AT111" s="497" t="str">
        <f>IF($X$49="WEEKS","",IF($Z111="Manual Entry hrs/wk","",IF($X$49&gt;'FORMULA REFS'!N$1,$Z111,"")))</f>
        <v/>
      </c>
      <c r="AU111" s="497" t="str">
        <f>IF($X$49="WEEKS","",IF($Z111="Manual Entry hrs/wk","",IF($X$49&gt;'FORMULA REFS'!O$1,$Z111,"")))</f>
        <v/>
      </c>
      <c r="AV111" s="497" t="str">
        <f>IF($X$49="WEEKS","",IF($Z111="Manual Entry hrs/wk","",IF($X$49&gt;'FORMULA REFS'!P$1,$Z111,"")))</f>
        <v/>
      </c>
      <c r="AW111" s="497" t="str">
        <f>IF($X$49="WEEKS","",IF($Z111="Manual Entry hrs/wk","",IF($X$49&gt;'FORMULA REFS'!Q$1,$Z111,"")))</f>
        <v/>
      </c>
      <c r="AX111" s="497" t="str">
        <f>IF($X$49="WEEKS","",IF($Z111="Manual Entry hrs/wk","",IF($X$49&gt;'FORMULA REFS'!R$1,$Z111,"")))</f>
        <v/>
      </c>
      <c r="AY111" s="497" t="str">
        <f>IF($X$49="WEEKS","",IF($Z111="Manual Entry hrs/wk","",IF($X$49&gt;'FORMULA REFS'!S$1,$Z111,"")))</f>
        <v/>
      </c>
      <c r="AZ111" s="497" t="str">
        <f>IF($X$49="WEEKS","",IF($Z111="Manual Entry hrs/wk","",IF($X$49&gt;'FORMULA REFS'!T$1,$Z111,"")))</f>
        <v/>
      </c>
      <c r="BA111" s="497" t="str">
        <f>IF($X$49="WEEKS","",IF($Z111="Manual Entry hrs/wk","",IF($X$49&gt;'FORMULA REFS'!U$1,$Z111,"")))</f>
        <v/>
      </c>
      <c r="BB111" s="497" t="str">
        <f>IF($X$49="WEEKS","",IF($Z111="Manual Entry hrs/wk","",IF($X$49&gt;'FORMULA REFS'!V$1,$Z111,"")))</f>
        <v/>
      </c>
      <c r="BC111" s="497" t="str">
        <f>IF($X$49="WEEKS","",IF($Z111="Manual Entry hrs/wk","",IF($X$49&gt;'FORMULA REFS'!W$1,$Z111,"")))</f>
        <v/>
      </c>
      <c r="BD111" s="497" t="str">
        <f>IF($X$49="WEEKS","",IF($Z111="Manual Entry hrs/wk","",IF($X$49&gt;'FORMULA REFS'!X$1,$Z111,"")))</f>
        <v/>
      </c>
      <c r="BE111" s="497" t="str">
        <f>IF($X$49="WEEKS","",IF($Z111="Manual Entry hrs/wk","",IF($X$49&gt;'FORMULA REFS'!Y$1,$Z111,"")))</f>
        <v/>
      </c>
      <c r="BF111" s="497" t="str">
        <f>IF($X$49="WEEKS","",IF($Z111="Manual Entry hrs/wk","",IF($X$49&gt;'FORMULA REFS'!Z$1,$Z111,"")))</f>
        <v/>
      </c>
      <c r="BG111" s="497" t="str">
        <f>IF($X$49="WEEKS","",IF($Z111="Manual Entry hrs/wk","",IF($X$49&gt;'FORMULA REFS'!AA$1,$Z111,"")))</f>
        <v/>
      </c>
      <c r="BH111" s="497" t="str">
        <f>IF($X$49="WEEKS","",IF($Z111="Manual Entry hrs/wk","",IF($X$49&gt;'FORMULA REFS'!AB$1,$Z111,"")))</f>
        <v/>
      </c>
      <c r="BI111" s="497" t="str">
        <f>IF($X$49="WEEKS","",IF($Z111="Manual Entry hrs/wk","",IF($X$49&gt;'FORMULA REFS'!AC$1,$Z111,"")))</f>
        <v/>
      </c>
      <c r="BJ111" s="497" t="str">
        <f>IF($X$49="WEEKS","",IF($Z111="Manual Entry hrs/wk","",IF($X$49&gt;'FORMULA REFS'!AD$1,$Z111,"")))</f>
        <v/>
      </c>
      <c r="BK111" s="497" t="str">
        <f>IF($X$49="WEEKS","",IF($Z111="Manual Entry hrs/wk","",IF($X$49&gt;'FORMULA REFS'!AE$1,$Z111,"")))</f>
        <v/>
      </c>
      <c r="BL111" s="497" t="str">
        <f>IF($X$49="WEEKS","",IF($Z111="Manual Entry hrs/wk","",IF($X$49&gt;'FORMULA REFS'!AF$1,$Z111,"")))</f>
        <v/>
      </c>
      <c r="BM111" s="497" t="str">
        <f>IF($X$49="WEEKS","",IF($Z111="Manual Entry hrs/wk","",IF($X$49&gt;'FORMULA REFS'!AG$1,$Z111,"")))</f>
        <v/>
      </c>
      <c r="BN111" s="497" t="str">
        <f>IF($X$49="WEEKS","",IF($Z111="Manual Entry hrs/wk","",IF($X$49&gt;'FORMULA REFS'!AH$1,$Z111,"")))</f>
        <v/>
      </c>
      <c r="BO111" s="497" t="str">
        <f>IF($X$49="WEEKS","",IF($Z111="Manual Entry hrs/wk","",IF($X$49&gt;'FORMULA REFS'!AI$1,$Z111,"")))</f>
        <v/>
      </c>
      <c r="BP111" s="497" t="str">
        <f>IF($X$49="WEEKS","",IF($Z111="Manual Entry hrs/wk","",IF($X$49&gt;'FORMULA REFS'!AJ$1,$Z111,"")))</f>
        <v/>
      </c>
      <c r="BQ111" s="497" t="str">
        <f>IF($X$49="WEEKS","",IF($Z111="Manual Entry hrs/wk","",IF($X$49&gt;'FORMULA REFS'!AK$1,$Z111,"")))</f>
        <v/>
      </c>
      <c r="BR111" s="497" t="str">
        <f>IF($X$49="WEEKS","",IF($Z111="Manual Entry hrs/wk","",IF($X$49&gt;'FORMULA REFS'!AL$1,$Z111,"")))</f>
        <v/>
      </c>
      <c r="BS111" s="497" t="str">
        <f>IF($X$49="WEEKS","",IF($Z111="Manual Entry hrs/wk","",IF($X$49&gt;'FORMULA REFS'!AM$1,$Z111,"")))</f>
        <v/>
      </c>
      <c r="BT111" s="497" t="str">
        <f>IF($X$49="WEEKS","",IF($Z111="Manual Entry hrs/wk","",IF($X$49&gt;'FORMULA REFS'!AN$1,$Z111,"")))</f>
        <v/>
      </c>
      <c r="BU111" s="497" t="str">
        <f>IF($X$49="WEEKS","",IF($Z111="Manual Entry hrs/wk","",IF($X$49&gt;'FORMULA REFS'!AO$1,$Z111,"")))</f>
        <v/>
      </c>
      <c r="BV111" s="497" t="str">
        <f>IF($X$49="WEEKS","",IF($Z111="Manual Entry hrs/wk","",IF($X$49&gt;'FORMULA REFS'!AP$1,$Z111,"")))</f>
        <v/>
      </c>
      <c r="BW111" s="497" t="str">
        <f>IF($X$49="WEEKS","",IF($Z111="Manual Entry hrs/wk","",IF($X$49&gt;'FORMULA REFS'!AQ$1,$Z111,"")))</f>
        <v/>
      </c>
      <c r="BX111" s="497" t="str">
        <f>IF($X$49="WEEKS","",IF($Z111="Manual Entry hrs/wk","",IF($X$49&gt;'FORMULA REFS'!AR$1,$Z111,"")))</f>
        <v/>
      </c>
      <c r="BY111" s="497" t="str">
        <f>IF($X$49="WEEKS","",IF($Z111="Manual Entry hrs/wk","",IF($X$49&gt;'FORMULA REFS'!AS$1,$Z111,"")))</f>
        <v/>
      </c>
      <c r="BZ111" s="497" t="str">
        <f>IF($X$49="WEEKS","",IF($Z111="Manual Entry hrs/wk","",IF($X$49&gt;'FORMULA REFS'!AT$1,$Z111,"")))</f>
        <v/>
      </c>
      <c r="CA111" s="497" t="str">
        <f>IF($X$49="WEEKS","",IF($Z111="Manual Entry hrs/wk","",IF($X$49&gt;'FORMULA REFS'!AU$1,$Z111,"")))</f>
        <v/>
      </c>
      <c r="CB111" s="497" t="str">
        <f>IF($X$49="WEEKS","",IF($Z111="Manual Entry hrs/wk","",IF($X$49&gt;'FORMULA REFS'!AV$1,$Z111,"")))</f>
        <v/>
      </c>
      <c r="CC111" s="497" t="str">
        <f>IF($X$49="WEEKS","",IF($Z111="Manual Entry hrs/wk","",IF($X$49&gt;'FORMULA REFS'!AW$1,$Z111,"")))</f>
        <v/>
      </c>
      <c r="CD111" s="497" t="str">
        <f>IF($X$49="WEEKS","",IF($Z111="Manual Entry hrs/wk","",IF($X$49&gt;'FORMULA REFS'!AX$1,$Z111,"")))</f>
        <v/>
      </c>
      <c r="CE111" s="497" t="str">
        <f>IF($X$49="WEEKS","",IF($Z111="Manual Entry hrs/wk","",IF($X$49&gt;'FORMULA REFS'!AY$1,$Z111,"")))</f>
        <v/>
      </c>
      <c r="CF111" s="497" t="str">
        <f>IF($X$49="WEEKS","",IF($Z111="Manual Entry hrs/wk","",IF($X$49&gt;'FORMULA REFS'!AZ$1,$Z111,"")))</f>
        <v/>
      </c>
      <c r="CG111" s="113"/>
      <c r="CH111" s="349" t="str">
        <f t="shared" si="19"/>
        <v/>
      </c>
      <c r="CI111" s="349"/>
      <c r="CJ111" s="349"/>
      <c r="CK111" s="349"/>
      <c r="CL111" s="350"/>
    </row>
    <row r="112" spans="2:90" hidden="1" outlineLevel="2" x14ac:dyDescent="0.3">
      <c r="B112">
        <v>63</v>
      </c>
      <c r="C112" s="346"/>
      <c r="D112" s="495"/>
      <c r="E112" s="346"/>
      <c r="F112" s="346" t="str">
        <f>IFERROR(_xlfn.XLOOKUP(E112,'Standard Rate Cards'!$BB$11:$BB$23,'Standard Rate Cards'!$BA$11:$BA$23),"")</f>
        <v/>
      </c>
      <c r="G112" s="346"/>
      <c r="H112" s="346" t="str">
        <f>IFERROR(_xlfn.XLOOKUP(G112,'Standard Rate Cards'!$AP$8:$AP$142,'Standard Rate Cards'!$AQ$8:$AQ$142),"")</f>
        <v/>
      </c>
      <c r="I112" s="346"/>
      <c r="J112" s="346"/>
      <c r="K112" s="496"/>
      <c r="L112" s="496">
        <f t="shared" si="13"/>
        <v>0</v>
      </c>
      <c r="M112" s="496" t="str" cm="1">
        <f t="array" ref="M112">IF(ISBLANK(D112),"",IF(D112&lt;&gt;"CrederaUS",INDEX('Standard Rate Cards'!$D$9:$D$433,MATCH(1,('Standard Rate Cards'!$B$9:$B$433='2. Pricing &amp; Import'!D112)*('Standard Rate Cards'!$C$9:$C$433='2. Pricing &amp; Import'!K112),0)),INDEX('Standard Rate Cards'!$D$9:$D$433,MATCH(1,('Standard Rate Cards'!$B$9:$B$433='2. Pricing &amp; Import'!D112)*('Standard Rate Cards'!$C$9:$C$433='2. Pricing &amp; Import'!K112)*('Standard Rate Cards'!$H$9:$H$433=L112),0))))</f>
        <v/>
      </c>
      <c r="N112" s="347"/>
      <c r="O112" s="110"/>
      <c r="P112" s="246"/>
      <c r="Q112" s="348"/>
      <c r="R112" s="250"/>
      <c r="S112" s="250"/>
      <c r="T112" s="614"/>
      <c r="U112" s="1637"/>
      <c r="V112" s="1638"/>
      <c r="W112" s="614"/>
      <c r="X112" s="681" t="str">
        <f t="shared" si="17"/>
        <v/>
      </c>
      <c r="Y112" s="682" t="str">
        <f t="shared" si="18"/>
        <v/>
      </c>
      <c r="Z112" s="1630" t="s">
        <v>309</v>
      </c>
      <c r="AA112" s="1631"/>
      <c r="AB112" s="94"/>
      <c r="AC112" s="94"/>
      <c r="AD112" s="94"/>
      <c r="AE112" s="94"/>
      <c r="AF112" s="94"/>
      <c r="AG112" s="497" t="str">
        <f>IF($X$49="WEEKS","",IF($Z112="Manual Entry hrs/wk","",IF($X$49&gt;'FORMULA REFS'!A$1,$Z112,"")))</f>
        <v/>
      </c>
      <c r="AH112" s="497" t="str">
        <f>IF($X$49="WEEKS","",IF($Z112="Manual Entry hrs/wk","",IF($X$49&gt;'FORMULA REFS'!B$1,$Z112,"")))</f>
        <v/>
      </c>
      <c r="AI112" s="497" t="str">
        <f>IF($X$49="WEEKS","",IF($Z112="Manual Entry hrs/wk","",IF($X$49&gt;'FORMULA REFS'!C$1,$Z112,"")))</f>
        <v/>
      </c>
      <c r="AJ112" s="497" t="str">
        <f>IF($X$49="WEEKS","",IF($Z112="Manual Entry hrs/wk","",IF($X$49&gt;'FORMULA REFS'!D$1,$Z112,"")))</f>
        <v/>
      </c>
      <c r="AK112" s="497" t="str">
        <f>IF($X$49="WEEKS","",IF($Z112="Manual Entry hrs/wk","",IF($X$49&gt;'FORMULA REFS'!E$1,$Z112,"")))</f>
        <v/>
      </c>
      <c r="AL112" s="497" t="str">
        <f>IF($X$49="WEEKS","",IF($Z112="Manual Entry hrs/wk","",IF($X$49&gt;'FORMULA REFS'!F$1,$Z112,"")))</f>
        <v/>
      </c>
      <c r="AM112" s="497" t="str">
        <f>IF($X$49="WEEKS","",IF($Z112="Manual Entry hrs/wk","",IF($X$49&gt;'FORMULA REFS'!G$1,$Z112,"")))</f>
        <v/>
      </c>
      <c r="AN112" s="497" t="str">
        <f>IF($X$49="WEEKS","",IF($Z112="Manual Entry hrs/wk","",IF($X$49&gt;'FORMULA REFS'!H$1,$Z112,"")))</f>
        <v/>
      </c>
      <c r="AO112" s="497" t="str">
        <f>IF($X$49="WEEKS","",IF($Z112="Manual Entry hrs/wk","",IF($X$49&gt;'FORMULA REFS'!I$1,$Z112,"")))</f>
        <v/>
      </c>
      <c r="AP112" s="497" t="str">
        <f>IF($X$49="WEEKS","",IF($Z112="Manual Entry hrs/wk","",IF($X$49&gt;'FORMULA REFS'!J$1,$Z112,"")))</f>
        <v/>
      </c>
      <c r="AQ112" s="497" t="str">
        <f>IF($X$49="WEEKS","",IF($Z112="Manual Entry hrs/wk","",IF($X$49&gt;'FORMULA REFS'!K$1,$Z112,"")))</f>
        <v/>
      </c>
      <c r="AR112" s="497" t="str">
        <f>IF($X$49="WEEKS","",IF($Z112="Manual Entry hrs/wk","",IF($X$49&gt;'FORMULA REFS'!L$1,$Z112,"")))</f>
        <v/>
      </c>
      <c r="AS112" s="497" t="str">
        <f>IF($X$49="WEEKS","",IF($Z112="Manual Entry hrs/wk","",IF($X$49&gt;'FORMULA REFS'!M$1,$Z112,"")))</f>
        <v/>
      </c>
      <c r="AT112" s="497" t="str">
        <f>IF($X$49="WEEKS","",IF($Z112="Manual Entry hrs/wk","",IF($X$49&gt;'FORMULA REFS'!N$1,$Z112,"")))</f>
        <v/>
      </c>
      <c r="AU112" s="497" t="str">
        <f>IF($X$49="WEEKS","",IF($Z112="Manual Entry hrs/wk","",IF($X$49&gt;'FORMULA REFS'!O$1,$Z112,"")))</f>
        <v/>
      </c>
      <c r="AV112" s="497" t="str">
        <f>IF($X$49="WEEKS","",IF($Z112="Manual Entry hrs/wk","",IF($X$49&gt;'FORMULA REFS'!P$1,$Z112,"")))</f>
        <v/>
      </c>
      <c r="AW112" s="497" t="str">
        <f>IF($X$49="WEEKS","",IF($Z112="Manual Entry hrs/wk","",IF($X$49&gt;'FORMULA REFS'!Q$1,$Z112,"")))</f>
        <v/>
      </c>
      <c r="AX112" s="497" t="str">
        <f>IF($X$49="WEEKS","",IF($Z112="Manual Entry hrs/wk","",IF($X$49&gt;'FORMULA REFS'!R$1,$Z112,"")))</f>
        <v/>
      </c>
      <c r="AY112" s="497" t="str">
        <f>IF($X$49="WEEKS","",IF($Z112="Manual Entry hrs/wk","",IF($X$49&gt;'FORMULA REFS'!S$1,$Z112,"")))</f>
        <v/>
      </c>
      <c r="AZ112" s="497" t="str">
        <f>IF($X$49="WEEKS","",IF($Z112="Manual Entry hrs/wk","",IF($X$49&gt;'FORMULA REFS'!T$1,$Z112,"")))</f>
        <v/>
      </c>
      <c r="BA112" s="497" t="str">
        <f>IF($X$49="WEEKS","",IF($Z112="Manual Entry hrs/wk","",IF($X$49&gt;'FORMULA REFS'!U$1,$Z112,"")))</f>
        <v/>
      </c>
      <c r="BB112" s="497" t="str">
        <f>IF($X$49="WEEKS","",IF($Z112="Manual Entry hrs/wk","",IF($X$49&gt;'FORMULA REFS'!V$1,$Z112,"")))</f>
        <v/>
      </c>
      <c r="BC112" s="497" t="str">
        <f>IF($X$49="WEEKS","",IF($Z112="Manual Entry hrs/wk","",IF($X$49&gt;'FORMULA REFS'!W$1,$Z112,"")))</f>
        <v/>
      </c>
      <c r="BD112" s="497" t="str">
        <f>IF($X$49="WEEKS","",IF($Z112="Manual Entry hrs/wk","",IF($X$49&gt;'FORMULA REFS'!X$1,$Z112,"")))</f>
        <v/>
      </c>
      <c r="BE112" s="497" t="str">
        <f>IF($X$49="WEEKS","",IF($Z112="Manual Entry hrs/wk","",IF($X$49&gt;'FORMULA REFS'!Y$1,$Z112,"")))</f>
        <v/>
      </c>
      <c r="BF112" s="497" t="str">
        <f>IF($X$49="WEEKS","",IF($Z112="Manual Entry hrs/wk","",IF($X$49&gt;'FORMULA REFS'!Z$1,$Z112,"")))</f>
        <v/>
      </c>
      <c r="BG112" s="497" t="str">
        <f>IF($X$49="WEEKS","",IF($Z112="Manual Entry hrs/wk","",IF($X$49&gt;'FORMULA REFS'!AA$1,$Z112,"")))</f>
        <v/>
      </c>
      <c r="BH112" s="497" t="str">
        <f>IF($X$49="WEEKS","",IF($Z112="Manual Entry hrs/wk","",IF($X$49&gt;'FORMULA REFS'!AB$1,$Z112,"")))</f>
        <v/>
      </c>
      <c r="BI112" s="497" t="str">
        <f>IF($X$49="WEEKS","",IF($Z112="Manual Entry hrs/wk","",IF($X$49&gt;'FORMULA REFS'!AC$1,$Z112,"")))</f>
        <v/>
      </c>
      <c r="BJ112" s="497" t="str">
        <f>IF($X$49="WEEKS","",IF($Z112="Manual Entry hrs/wk","",IF($X$49&gt;'FORMULA REFS'!AD$1,$Z112,"")))</f>
        <v/>
      </c>
      <c r="BK112" s="497" t="str">
        <f>IF($X$49="WEEKS","",IF($Z112="Manual Entry hrs/wk","",IF($X$49&gt;'FORMULA REFS'!AE$1,$Z112,"")))</f>
        <v/>
      </c>
      <c r="BL112" s="497" t="str">
        <f>IF($X$49="WEEKS","",IF($Z112="Manual Entry hrs/wk","",IF($X$49&gt;'FORMULA REFS'!AF$1,$Z112,"")))</f>
        <v/>
      </c>
      <c r="BM112" s="497" t="str">
        <f>IF($X$49="WEEKS","",IF($Z112="Manual Entry hrs/wk","",IF($X$49&gt;'FORMULA REFS'!AG$1,$Z112,"")))</f>
        <v/>
      </c>
      <c r="BN112" s="497" t="str">
        <f>IF($X$49="WEEKS","",IF($Z112="Manual Entry hrs/wk","",IF($X$49&gt;'FORMULA REFS'!AH$1,$Z112,"")))</f>
        <v/>
      </c>
      <c r="BO112" s="497" t="str">
        <f>IF($X$49="WEEKS","",IF($Z112="Manual Entry hrs/wk","",IF($X$49&gt;'FORMULA REFS'!AI$1,$Z112,"")))</f>
        <v/>
      </c>
      <c r="BP112" s="497" t="str">
        <f>IF($X$49="WEEKS","",IF($Z112="Manual Entry hrs/wk","",IF($X$49&gt;'FORMULA REFS'!AJ$1,$Z112,"")))</f>
        <v/>
      </c>
      <c r="BQ112" s="497" t="str">
        <f>IF($X$49="WEEKS","",IF($Z112="Manual Entry hrs/wk","",IF($X$49&gt;'FORMULA REFS'!AK$1,$Z112,"")))</f>
        <v/>
      </c>
      <c r="BR112" s="497" t="str">
        <f>IF($X$49="WEEKS","",IF($Z112="Manual Entry hrs/wk","",IF($X$49&gt;'FORMULA REFS'!AL$1,$Z112,"")))</f>
        <v/>
      </c>
      <c r="BS112" s="497" t="str">
        <f>IF($X$49="WEEKS","",IF($Z112="Manual Entry hrs/wk","",IF($X$49&gt;'FORMULA REFS'!AM$1,$Z112,"")))</f>
        <v/>
      </c>
      <c r="BT112" s="497" t="str">
        <f>IF($X$49="WEEKS","",IF($Z112="Manual Entry hrs/wk","",IF($X$49&gt;'FORMULA REFS'!AN$1,$Z112,"")))</f>
        <v/>
      </c>
      <c r="BU112" s="497" t="str">
        <f>IF($X$49="WEEKS","",IF($Z112="Manual Entry hrs/wk","",IF($X$49&gt;'FORMULA REFS'!AO$1,$Z112,"")))</f>
        <v/>
      </c>
      <c r="BV112" s="497" t="str">
        <f>IF($X$49="WEEKS","",IF($Z112="Manual Entry hrs/wk","",IF($X$49&gt;'FORMULA REFS'!AP$1,$Z112,"")))</f>
        <v/>
      </c>
      <c r="BW112" s="497" t="str">
        <f>IF($X$49="WEEKS","",IF($Z112="Manual Entry hrs/wk","",IF($X$49&gt;'FORMULA REFS'!AQ$1,$Z112,"")))</f>
        <v/>
      </c>
      <c r="BX112" s="497" t="str">
        <f>IF($X$49="WEEKS","",IF($Z112="Manual Entry hrs/wk","",IF($X$49&gt;'FORMULA REFS'!AR$1,$Z112,"")))</f>
        <v/>
      </c>
      <c r="BY112" s="497" t="str">
        <f>IF($X$49="WEEKS","",IF($Z112="Manual Entry hrs/wk","",IF($X$49&gt;'FORMULA REFS'!AS$1,$Z112,"")))</f>
        <v/>
      </c>
      <c r="BZ112" s="497" t="str">
        <f>IF($X$49="WEEKS","",IF($Z112="Manual Entry hrs/wk","",IF($X$49&gt;'FORMULA REFS'!AT$1,$Z112,"")))</f>
        <v/>
      </c>
      <c r="CA112" s="497" t="str">
        <f>IF($X$49="WEEKS","",IF($Z112="Manual Entry hrs/wk","",IF($X$49&gt;'FORMULA REFS'!AU$1,$Z112,"")))</f>
        <v/>
      </c>
      <c r="CB112" s="497" t="str">
        <f>IF($X$49="WEEKS","",IF($Z112="Manual Entry hrs/wk","",IF($X$49&gt;'FORMULA REFS'!AV$1,$Z112,"")))</f>
        <v/>
      </c>
      <c r="CC112" s="497" t="str">
        <f>IF($X$49="WEEKS","",IF($Z112="Manual Entry hrs/wk","",IF($X$49&gt;'FORMULA REFS'!AW$1,$Z112,"")))</f>
        <v/>
      </c>
      <c r="CD112" s="497" t="str">
        <f>IF($X$49="WEEKS","",IF($Z112="Manual Entry hrs/wk","",IF($X$49&gt;'FORMULA REFS'!AX$1,$Z112,"")))</f>
        <v/>
      </c>
      <c r="CE112" s="497" t="str">
        <f>IF($X$49="WEEKS","",IF($Z112="Manual Entry hrs/wk","",IF($X$49&gt;'FORMULA REFS'!AY$1,$Z112,"")))</f>
        <v/>
      </c>
      <c r="CF112" s="497" t="str">
        <f>IF($X$49="WEEKS","",IF($Z112="Manual Entry hrs/wk","",IF($X$49&gt;'FORMULA REFS'!AZ$1,$Z112,"")))</f>
        <v/>
      </c>
      <c r="CG112" s="113"/>
      <c r="CH112" s="349" t="str">
        <f t="shared" si="19"/>
        <v/>
      </c>
      <c r="CI112" s="349"/>
      <c r="CJ112" s="349"/>
      <c r="CK112" s="349"/>
      <c r="CL112" s="350"/>
    </row>
    <row r="113" spans="2:90" hidden="1" outlineLevel="2" x14ac:dyDescent="0.3">
      <c r="B113">
        <v>64</v>
      </c>
      <c r="C113" s="346"/>
      <c r="D113" s="495"/>
      <c r="E113" s="346"/>
      <c r="F113" s="346" t="str">
        <f>IFERROR(_xlfn.XLOOKUP(E113,'Standard Rate Cards'!$BB$11:$BB$23,'Standard Rate Cards'!$BA$11:$BA$23),"")</f>
        <v/>
      </c>
      <c r="G113" s="346"/>
      <c r="H113" s="346" t="str">
        <f>IFERROR(_xlfn.XLOOKUP(G113,'Standard Rate Cards'!$AP$8:$AP$142,'Standard Rate Cards'!$AQ$8:$AQ$142),"")</f>
        <v/>
      </c>
      <c r="I113" s="346"/>
      <c r="J113" s="346"/>
      <c r="K113" s="496"/>
      <c r="L113" s="496">
        <f t="shared" si="13"/>
        <v>0</v>
      </c>
      <c r="M113" s="496" t="str" cm="1">
        <f t="array" ref="M113">IF(ISBLANK(D113),"",IF(D113&lt;&gt;"CrederaUS",INDEX('Standard Rate Cards'!$D$9:$D$433,MATCH(1,('Standard Rate Cards'!$B$9:$B$433='2. Pricing &amp; Import'!D113)*('Standard Rate Cards'!$C$9:$C$433='2. Pricing &amp; Import'!K113),0)),INDEX('Standard Rate Cards'!$D$9:$D$433,MATCH(1,('Standard Rate Cards'!$B$9:$B$433='2. Pricing &amp; Import'!D113)*('Standard Rate Cards'!$C$9:$C$433='2. Pricing &amp; Import'!K113)*('Standard Rate Cards'!$H$9:$H$433=L113),0))))</f>
        <v/>
      </c>
      <c r="N113" s="347"/>
      <c r="O113" s="110"/>
      <c r="P113" s="246"/>
      <c r="Q113" s="348"/>
      <c r="R113" s="250"/>
      <c r="S113" s="250"/>
      <c r="T113" s="614"/>
      <c r="U113" s="1637"/>
      <c r="V113" s="1638"/>
      <c r="W113" s="614"/>
      <c r="X113" s="681" t="str">
        <f t="shared" si="17"/>
        <v/>
      </c>
      <c r="Y113" s="682" t="str">
        <f t="shared" si="18"/>
        <v/>
      </c>
      <c r="Z113" s="1630" t="s">
        <v>309</v>
      </c>
      <c r="AA113" s="1631"/>
      <c r="AB113" s="94"/>
      <c r="AC113" s="94"/>
      <c r="AD113" s="94"/>
      <c r="AE113" s="94"/>
      <c r="AF113" s="94"/>
      <c r="AG113" s="497" t="str">
        <f>IF($X$49="WEEKS","",IF($Z113="Manual Entry hrs/wk","",IF($X$49&gt;'FORMULA REFS'!A$1,$Z113,"")))</f>
        <v/>
      </c>
      <c r="AH113" s="497" t="str">
        <f>IF($X$49="WEEKS","",IF($Z113="Manual Entry hrs/wk","",IF($X$49&gt;'FORMULA REFS'!B$1,$Z113,"")))</f>
        <v/>
      </c>
      <c r="AI113" s="497" t="str">
        <f>IF($X$49="WEEKS","",IF($Z113="Manual Entry hrs/wk","",IF($X$49&gt;'FORMULA REFS'!C$1,$Z113,"")))</f>
        <v/>
      </c>
      <c r="AJ113" s="497" t="str">
        <f>IF($X$49="WEEKS","",IF($Z113="Manual Entry hrs/wk","",IF($X$49&gt;'FORMULA REFS'!D$1,$Z113,"")))</f>
        <v/>
      </c>
      <c r="AK113" s="497" t="str">
        <f>IF($X$49="WEEKS","",IF($Z113="Manual Entry hrs/wk","",IF($X$49&gt;'FORMULA REFS'!E$1,$Z113,"")))</f>
        <v/>
      </c>
      <c r="AL113" s="497" t="str">
        <f>IF($X$49="WEEKS","",IF($Z113="Manual Entry hrs/wk","",IF($X$49&gt;'FORMULA REFS'!F$1,$Z113,"")))</f>
        <v/>
      </c>
      <c r="AM113" s="497" t="str">
        <f>IF($X$49="WEEKS","",IF($Z113="Manual Entry hrs/wk","",IF($X$49&gt;'FORMULA REFS'!G$1,$Z113,"")))</f>
        <v/>
      </c>
      <c r="AN113" s="497" t="str">
        <f>IF($X$49="WEEKS","",IF($Z113="Manual Entry hrs/wk","",IF($X$49&gt;'FORMULA REFS'!H$1,$Z113,"")))</f>
        <v/>
      </c>
      <c r="AO113" s="497" t="str">
        <f>IF($X$49="WEEKS","",IF($Z113="Manual Entry hrs/wk","",IF($X$49&gt;'FORMULA REFS'!I$1,$Z113,"")))</f>
        <v/>
      </c>
      <c r="AP113" s="497" t="str">
        <f>IF($X$49="WEEKS","",IF($Z113="Manual Entry hrs/wk","",IF($X$49&gt;'FORMULA REFS'!J$1,$Z113,"")))</f>
        <v/>
      </c>
      <c r="AQ113" s="497" t="str">
        <f>IF($X$49="WEEKS","",IF($Z113="Manual Entry hrs/wk","",IF($X$49&gt;'FORMULA REFS'!K$1,$Z113,"")))</f>
        <v/>
      </c>
      <c r="AR113" s="497" t="str">
        <f>IF($X$49="WEEKS","",IF($Z113="Manual Entry hrs/wk","",IF($X$49&gt;'FORMULA REFS'!L$1,$Z113,"")))</f>
        <v/>
      </c>
      <c r="AS113" s="497" t="str">
        <f>IF($X$49="WEEKS","",IF($Z113="Manual Entry hrs/wk","",IF($X$49&gt;'FORMULA REFS'!M$1,$Z113,"")))</f>
        <v/>
      </c>
      <c r="AT113" s="497" t="str">
        <f>IF($X$49="WEEKS","",IF($Z113="Manual Entry hrs/wk","",IF($X$49&gt;'FORMULA REFS'!N$1,$Z113,"")))</f>
        <v/>
      </c>
      <c r="AU113" s="497" t="str">
        <f>IF($X$49="WEEKS","",IF($Z113="Manual Entry hrs/wk","",IF($X$49&gt;'FORMULA REFS'!O$1,$Z113,"")))</f>
        <v/>
      </c>
      <c r="AV113" s="497" t="str">
        <f>IF($X$49="WEEKS","",IF($Z113="Manual Entry hrs/wk","",IF($X$49&gt;'FORMULA REFS'!P$1,$Z113,"")))</f>
        <v/>
      </c>
      <c r="AW113" s="497" t="str">
        <f>IF($X$49="WEEKS","",IF($Z113="Manual Entry hrs/wk","",IF($X$49&gt;'FORMULA REFS'!Q$1,$Z113,"")))</f>
        <v/>
      </c>
      <c r="AX113" s="497" t="str">
        <f>IF($X$49="WEEKS","",IF($Z113="Manual Entry hrs/wk","",IF($X$49&gt;'FORMULA REFS'!R$1,$Z113,"")))</f>
        <v/>
      </c>
      <c r="AY113" s="497" t="str">
        <f>IF($X$49="WEEKS","",IF($Z113="Manual Entry hrs/wk","",IF($X$49&gt;'FORMULA REFS'!S$1,$Z113,"")))</f>
        <v/>
      </c>
      <c r="AZ113" s="497" t="str">
        <f>IF($X$49="WEEKS","",IF($Z113="Manual Entry hrs/wk","",IF($X$49&gt;'FORMULA REFS'!T$1,$Z113,"")))</f>
        <v/>
      </c>
      <c r="BA113" s="497" t="str">
        <f>IF($X$49="WEEKS","",IF($Z113="Manual Entry hrs/wk","",IF($X$49&gt;'FORMULA REFS'!U$1,$Z113,"")))</f>
        <v/>
      </c>
      <c r="BB113" s="497" t="str">
        <f>IF($X$49="WEEKS","",IF($Z113="Manual Entry hrs/wk","",IF($X$49&gt;'FORMULA REFS'!V$1,$Z113,"")))</f>
        <v/>
      </c>
      <c r="BC113" s="497" t="str">
        <f>IF($X$49="WEEKS","",IF($Z113="Manual Entry hrs/wk","",IF($X$49&gt;'FORMULA REFS'!W$1,$Z113,"")))</f>
        <v/>
      </c>
      <c r="BD113" s="497" t="str">
        <f>IF($X$49="WEEKS","",IF($Z113="Manual Entry hrs/wk","",IF($X$49&gt;'FORMULA REFS'!X$1,$Z113,"")))</f>
        <v/>
      </c>
      <c r="BE113" s="497" t="str">
        <f>IF($X$49="WEEKS","",IF($Z113="Manual Entry hrs/wk","",IF($X$49&gt;'FORMULA REFS'!Y$1,$Z113,"")))</f>
        <v/>
      </c>
      <c r="BF113" s="497" t="str">
        <f>IF($X$49="WEEKS","",IF($Z113="Manual Entry hrs/wk","",IF($X$49&gt;'FORMULA REFS'!Z$1,$Z113,"")))</f>
        <v/>
      </c>
      <c r="BG113" s="497" t="str">
        <f>IF($X$49="WEEKS","",IF($Z113="Manual Entry hrs/wk","",IF($X$49&gt;'FORMULA REFS'!AA$1,$Z113,"")))</f>
        <v/>
      </c>
      <c r="BH113" s="497" t="str">
        <f>IF($X$49="WEEKS","",IF($Z113="Manual Entry hrs/wk","",IF($X$49&gt;'FORMULA REFS'!AB$1,$Z113,"")))</f>
        <v/>
      </c>
      <c r="BI113" s="497" t="str">
        <f>IF($X$49="WEEKS","",IF($Z113="Manual Entry hrs/wk","",IF($X$49&gt;'FORMULA REFS'!AC$1,$Z113,"")))</f>
        <v/>
      </c>
      <c r="BJ113" s="497" t="str">
        <f>IF($X$49="WEEKS","",IF($Z113="Manual Entry hrs/wk","",IF($X$49&gt;'FORMULA REFS'!AD$1,$Z113,"")))</f>
        <v/>
      </c>
      <c r="BK113" s="497" t="str">
        <f>IF($X$49="WEEKS","",IF($Z113="Manual Entry hrs/wk","",IF($X$49&gt;'FORMULA REFS'!AE$1,$Z113,"")))</f>
        <v/>
      </c>
      <c r="BL113" s="497" t="str">
        <f>IF($X$49="WEEKS","",IF($Z113="Manual Entry hrs/wk","",IF($X$49&gt;'FORMULA REFS'!AF$1,$Z113,"")))</f>
        <v/>
      </c>
      <c r="BM113" s="497" t="str">
        <f>IF($X$49="WEEKS","",IF($Z113="Manual Entry hrs/wk","",IF($X$49&gt;'FORMULA REFS'!AG$1,$Z113,"")))</f>
        <v/>
      </c>
      <c r="BN113" s="497" t="str">
        <f>IF($X$49="WEEKS","",IF($Z113="Manual Entry hrs/wk","",IF($X$49&gt;'FORMULA REFS'!AH$1,$Z113,"")))</f>
        <v/>
      </c>
      <c r="BO113" s="497" t="str">
        <f>IF($X$49="WEEKS","",IF($Z113="Manual Entry hrs/wk","",IF($X$49&gt;'FORMULA REFS'!AI$1,$Z113,"")))</f>
        <v/>
      </c>
      <c r="BP113" s="497" t="str">
        <f>IF($X$49="WEEKS","",IF($Z113="Manual Entry hrs/wk","",IF($X$49&gt;'FORMULA REFS'!AJ$1,$Z113,"")))</f>
        <v/>
      </c>
      <c r="BQ113" s="497" t="str">
        <f>IF($X$49="WEEKS","",IF($Z113="Manual Entry hrs/wk","",IF($X$49&gt;'FORMULA REFS'!AK$1,$Z113,"")))</f>
        <v/>
      </c>
      <c r="BR113" s="497" t="str">
        <f>IF($X$49="WEEKS","",IF($Z113="Manual Entry hrs/wk","",IF($X$49&gt;'FORMULA REFS'!AL$1,$Z113,"")))</f>
        <v/>
      </c>
      <c r="BS113" s="497" t="str">
        <f>IF($X$49="WEEKS","",IF($Z113="Manual Entry hrs/wk","",IF($X$49&gt;'FORMULA REFS'!AM$1,$Z113,"")))</f>
        <v/>
      </c>
      <c r="BT113" s="497" t="str">
        <f>IF($X$49="WEEKS","",IF($Z113="Manual Entry hrs/wk","",IF($X$49&gt;'FORMULA REFS'!AN$1,$Z113,"")))</f>
        <v/>
      </c>
      <c r="BU113" s="497" t="str">
        <f>IF($X$49="WEEKS","",IF($Z113="Manual Entry hrs/wk","",IF($X$49&gt;'FORMULA REFS'!AO$1,$Z113,"")))</f>
        <v/>
      </c>
      <c r="BV113" s="497" t="str">
        <f>IF($X$49="WEEKS","",IF($Z113="Manual Entry hrs/wk","",IF($X$49&gt;'FORMULA REFS'!AP$1,$Z113,"")))</f>
        <v/>
      </c>
      <c r="BW113" s="497" t="str">
        <f>IF($X$49="WEEKS","",IF($Z113="Manual Entry hrs/wk","",IF($X$49&gt;'FORMULA REFS'!AQ$1,$Z113,"")))</f>
        <v/>
      </c>
      <c r="BX113" s="497" t="str">
        <f>IF($X$49="WEEKS","",IF($Z113="Manual Entry hrs/wk","",IF($X$49&gt;'FORMULA REFS'!AR$1,$Z113,"")))</f>
        <v/>
      </c>
      <c r="BY113" s="497" t="str">
        <f>IF($X$49="WEEKS","",IF($Z113="Manual Entry hrs/wk","",IF($X$49&gt;'FORMULA REFS'!AS$1,$Z113,"")))</f>
        <v/>
      </c>
      <c r="BZ113" s="497" t="str">
        <f>IF($X$49="WEEKS","",IF($Z113="Manual Entry hrs/wk","",IF($X$49&gt;'FORMULA REFS'!AT$1,$Z113,"")))</f>
        <v/>
      </c>
      <c r="CA113" s="497" t="str">
        <f>IF($X$49="WEEKS","",IF($Z113="Manual Entry hrs/wk","",IF($X$49&gt;'FORMULA REFS'!AU$1,$Z113,"")))</f>
        <v/>
      </c>
      <c r="CB113" s="497" t="str">
        <f>IF($X$49="WEEKS","",IF($Z113="Manual Entry hrs/wk","",IF($X$49&gt;'FORMULA REFS'!AV$1,$Z113,"")))</f>
        <v/>
      </c>
      <c r="CC113" s="497" t="str">
        <f>IF($X$49="WEEKS","",IF($Z113="Manual Entry hrs/wk","",IF($X$49&gt;'FORMULA REFS'!AW$1,$Z113,"")))</f>
        <v/>
      </c>
      <c r="CD113" s="497" t="str">
        <f>IF($X$49="WEEKS","",IF($Z113="Manual Entry hrs/wk","",IF($X$49&gt;'FORMULA REFS'!AX$1,$Z113,"")))</f>
        <v/>
      </c>
      <c r="CE113" s="497" t="str">
        <f>IF($X$49="WEEKS","",IF($Z113="Manual Entry hrs/wk","",IF($X$49&gt;'FORMULA REFS'!AY$1,$Z113,"")))</f>
        <v/>
      </c>
      <c r="CF113" s="497" t="str">
        <f>IF($X$49="WEEKS","",IF($Z113="Manual Entry hrs/wk","",IF($X$49&gt;'FORMULA REFS'!AZ$1,$Z113,"")))</f>
        <v/>
      </c>
      <c r="CG113" s="113"/>
      <c r="CH113" s="349" t="str">
        <f t="shared" si="19"/>
        <v/>
      </c>
      <c r="CI113" s="349"/>
      <c r="CJ113" s="349"/>
      <c r="CK113" s="349"/>
      <c r="CL113" s="350"/>
    </row>
    <row r="114" spans="2:90" hidden="1" outlineLevel="2" x14ac:dyDescent="0.3">
      <c r="B114">
        <v>65</v>
      </c>
      <c r="C114" s="346"/>
      <c r="D114" s="495"/>
      <c r="E114" s="346"/>
      <c r="F114" s="346" t="str">
        <f>IFERROR(_xlfn.XLOOKUP(E114,'Standard Rate Cards'!$BB$11:$BB$23,'Standard Rate Cards'!$BA$11:$BA$23),"")</f>
        <v/>
      </c>
      <c r="G114" s="346"/>
      <c r="H114" s="346" t="str">
        <f>IFERROR(_xlfn.XLOOKUP(G114,'Standard Rate Cards'!$AP$8:$AP$142,'Standard Rate Cards'!$AQ$8:$AQ$142),"")</f>
        <v/>
      </c>
      <c r="I114" s="346"/>
      <c r="J114" s="346"/>
      <c r="K114" s="496"/>
      <c r="L114" s="496">
        <f t="shared" si="13"/>
        <v>0</v>
      </c>
      <c r="M114" s="496" t="str" cm="1">
        <f t="array" ref="M114">IF(ISBLANK(D114),"",IF(D114&lt;&gt;"CrederaUS",INDEX('Standard Rate Cards'!$D$9:$D$433,MATCH(1,('Standard Rate Cards'!$B$9:$B$433='2. Pricing &amp; Import'!D114)*('Standard Rate Cards'!$C$9:$C$433='2. Pricing &amp; Import'!K114),0)),INDEX('Standard Rate Cards'!$D$9:$D$433,MATCH(1,('Standard Rate Cards'!$B$9:$B$433='2. Pricing &amp; Import'!D114)*('Standard Rate Cards'!$C$9:$C$433='2. Pricing &amp; Import'!K114)*('Standard Rate Cards'!$H$9:$H$433=L114),0))))</f>
        <v/>
      </c>
      <c r="N114" s="347"/>
      <c r="O114" s="110"/>
      <c r="P114" s="246"/>
      <c r="Q114" s="348"/>
      <c r="R114" s="250"/>
      <c r="S114" s="250"/>
      <c r="T114" s="614"/>
      <c r="U114" s="1637"/>
      <c r="V114" s="1638"/>
      <c r="W114" s="614"/>
      <c r="X114" s="681" t="str">
        <f t="shared" si="17"/>
        <v/>
      </c>
      <c r="Y114" s="682" t="str">
        <f t="shared" si="18"/>
        <v/>
      </c>
      <c r="Z114" s="1630" t="s">
        <v>309</v>
      </c>
      <c r="AA114" s="1631"/>
      <c r="AB114" s="94"/>
      <c r="AC114" s="94"/>
      <c r="AD114" s="94"/>
      <c r="AE114" s="94"/>
      <c r="AF114" s="94"/>
      <c r="AG114" s="497" t="str">
        <f>IF($X$49="WEEKS","",IF($Z114="Manual Entry hrs/wk","",IF($X$49&gt;'FORMULA REFS'!A$1,$Z114,"")))</f>
        <v/>
      </c>
      <c r="AH114" s="497" t="str">
        <f>IF($X$49="WEEKS","",IF($Z114="Manual Entry hrs/wk","",IF($X$49&gt;'FORMULA REFS'!B$1,$Z114,"")))</f>
        <v/>
      </c>
      <c r="AI114" s="497" t="str">
        <f>IF($X$49="WEEKS","",IF($Z114="Manual Entry hrs/wk","",IF($X$49&gt;'FORMULA REFS'!C$1,$Z114,"")))</f>
        <v/>
      </c>
      <c r="AJ114" s="497" t="str">
        <f>IF($X$49="WEEKS","",IF($Z114="Manual Entry hrs/wk","",IF($X$49&gt;'FORMULA REFS'!D$1,$Z114,"")))</f>
        <v/>
      </c>
      <c r="AK114" s="497" t="str">
        <f>IF($X$49="WEEKS","",IF($Z114="Manual Entry hrs/wk","",IF($X$49&gt;'FORMULA REFS'!E$1,$Z114,"")))</f>
        <v/>
      </c>
      <c r="AL114" s="497" t="str">
        <f>IF($X$49="WEEKS","",IF($Z114="Manual Entry hrs/wk","",IF($X$49&gt;'FORMULA REFS'!F$1,$Z114,"")))</f>
        <v/>
      </c>
      <c r="AM114" s="497" t="str">
        <f>IF($X$49="WEEKS","",IF($Z114="Manual Entry hrs/wk","",IF($X$49&gt;'FORMULA REFS'!G$1,$Z114,"")))</f>
        <v/>
      </c>
      <c r="AN114" s="497" t="str">
        <f>IF($X$49="WEEKS","",IF($Z114="Manual Entry hrs/wk","",IF($X$49&gt;'FORMULA REFS'!H$1,$Z114,"")))</f>
        <v/>
      </c>
      <c r="AO114" s="497" t="str">
        <f>IF($X$49="WEEKS","",IF($Z114="Manual Entry hrs/wk","",IF($X$49&gt;'FORMULA REFS'!I$1,$Z114,"")))</f>
        <v/>
      </c>
      <c r="AP114" s="497" t="str">
        <f>IF($X$49="WEEKS","",IF($Z114="Manual Entry hrs/wk","",IF($X$49&gt;'FORMULA REFS'!J$1,$Z114,"")))</f>
        <v/>
      </c>
      <c r="AQ114" s="497" t="str">
        <f>IF($X$49="WEEKS","",IF($Z114="Manual Entry hrs/wk","",IF($X$49&gt;'FORMULA REFS'!K$1,$Z114,"")))</f>
        <v/>
      </c>
      <c r="AR114" s="497" t="str">
        <f>IF($X$49="WEEKS","",IF($Z114="Manual Entry hrs/wk","",IF($X$49&gt;'FORMULA REFS'!L$1,$Z114,"")))</f>
        <v/>
      </c>
      <c r="AS114" s="497" t="str">
        <f>IF($X$49="WEEKS","",IF($Z114="Manual Entry hrs/wk","",IF($X$49&gt;'FORMULA REFS'!M$1,$Z114,"")))</f>
        <v/>
      </c>
      <c r="AT114" s="497" t="str">
        <f>IF($X$49="WEEKS","",IF($Z114="Manual Entry hrs/wk","",IF($X$49&gt;'FORMULA REFS'!N$1,$Z114,"")))</f>
        <v/>
      </c>
      <c r="AU114" s="497" t="str">
        <f>IF($X$49="WEEKS","",IF($Z114="Manual Entry hrs/wk","",IF($X$49&gt;'FORMULA REFS'!O$1,$Z114,"")))</f>
        <v/>
      </c>
      <c r="AV114" s="497" t="str">
        <f>IF($X$49="WEEKS","",IF($Z114="Manual Entry hrs/wk","",IF($X$49&gt;'FORMULA REFS'!P$1,$Z114,"")))</f>
        <v/>
      </c>
      <c r="AW114" s="497" t="str">
        <f>IF($X$49="WEEKS","",IF($Z114="Manual Entry hrs/wk","",IF($X$49&gt;'FORMULA REFS'!Q$1,$Z114,"")))</f>
        <v/>
      </c>
      <c r="AX114" s="497" t="str">
        <f>IF($X$49="WEEKS","",IF($Z114="Manual Entry hrs/wk","",IF($X$49&gt;'FORMULA REFS'!R$1,$Z114,"")))</f>
        <v/>
      </c>
      <c r="AY114" s="497" t="str">
        <f>IF($X$49="WEEKS","",IF($Z114="Manual Entry hrs/wk","",IF($X$49&gt;'FORMULA REFS'!S$1,$Z114,"")))</f>
        <v/>
      </c>
      <c r="AZ114" s="497" t="str">
        <f>IF($X$49="WEEKS","",IF($Z114="Manual Entry hrs/wk","",IF($X$49&gt;'FORMULA REFS'!T$1,$Z114,"")))</f>
        <v/>
      </c>
      <c r="BA114" s="497" t="str">
        <f>IF($X$49="WEEKS","",IF($Z114="Manual Entry hrs/wk","",IF($X$49&gt;'FORMULA REFS'!U$1,$Z114,"")))</f>
        <v/>
      </c>
      <c r="BB114" s="497" t="str">
        <f>IF($X$49="WEEKS","",IF($Z114="Manual Entry hrs/wk","",IF($X$49&gt;'FORMULA REFS'!V$1,$Z114,"")))</f>
        <v/>
      </c>
      <c r="BC114" s="497" t="str">
        <f>IF($X$49="WEEKS","",IF($Z114="Manual Entry hrs/wk","",IF($X$49&gt;'FORMULA REFS'!W$1,$Z114,"")))</f>
        <v/>
      </c>
      <c r="BD114" s="497" t="str">
        <f>IF($X$49="WEEKS","",IF($Z114="Manual Entry hrs/wk","",IF($X$49&gt;'FORMULA REFS'!X$1,$Z114,"")))</f>
        <v/>
      </c>
      <c r="BE114" s="497" t="str">
        <f>IF($X$49="WEEKS","",IF($Z114="Manual Entry hrs/wk","",IF($X$49&gt;'FORMULA REFS'!Y$1,$Z114,"")))</f>
        <v/>
      </c>
      <c r="BF114" s="497" t="str">
        <f>IF($X$49="WEEKS","",IF($Z114="Manual Entry hrs/wk","",IF($X$49&gt;'FORMULA REFS'!Z$1,$Z114,"")))</f>
        <v/>
      </c>
      <c r="BG114" s="497" t="str">
        <f>IF($X$49="WEEKS","",IF($Z114="Manual Entry hrs/wk","",IF($X$49&gt;'FORMULA REFS'!AA$1,$Z114,"")))</f>
        <v/>
      </c>
      <c r="BH114" s="497" t="str">
        <f>IF($X$49="WEEKS","",IF($Z114="Manual Entry hrs/wk","",IF($X$49&gt;'FORMULA REFS'!AB$1,$Z114,"")))</f>
        <v/>
      </c>
      <c r="BI114" s="497" t="str">
        <f>IF($X$49="WEEKS","",IF($Z114="Manual Entry hrs/wk","",IF($X$49&gt;'FORMULA REFS'!AC$1,$Z114,"")))</f>
        <v/>
      </c>
      <c r="BJ114" s="497" t="str">
        <f>IF($X$49="WEEKS","",IF($Z114="Manual Entry hrs/wk","",IF($X$49&gt;'FORMULA REFS'!AD$1,$Z114,"")))</f>
        <v/>
      </c>
      <c r="BK114" s="497" t="str">
        <f>IF($X$49="WEEKS","",IF($Z114="Manual Entry hrs/wk","",IF($X$49&gt;'FORMULA REFS'!AE$1,$Z114,"")))</f>
        <v/>
      </c>
      <c r="BL114" s="497" t="str">
        <f>IF($X$49="WEEKS","",IF($Z114="Manual Entry hrs/wk","",IF($X$49&gt;'FORMULA REFS'!AF$1,$Z114,"")))</f>
        <v/>
      </c>
      <c r="BM114" s="497" t="str">
        <f>IF($X$49="WEEKS","",IF($Z114="Manual Entry hrs/wk","",IF($X$49&gt;'FORMULA REFS'!AG$1,$Z114,"")))</f>
        <v/>
      </c>
      <c r="BN114" s="497" t="str">
        <f>IF($X$49="WEEKS","",IF($Z114="Manual Entry hrs/wk","",IF($X$49&gt;'FORMULA REFS'!AH$1,$Z114,"")))</f>
        <v/>
      </c>
      <c r="BO114" s="497" t="str">
        <f>IF($X$49="WEEKS","",IF($Z114="Manual Entry hrs/wk","",IF($X$49&gt;'FORMULA REFS'!AI$1,$Z114,"")))</f>
        <v/>
      </c>
      <c r="BP114" s="497" t="str">
        <f>IF($X$49="WEEKS","",IF($Z114="Manual Entry hrs/wk","",IF($X$49&gt;'FORMULA REFS'!AJ$1,$Z114,"")))</f>
        <v/>
      </c>
      <c r="BQ114" s="497" t="str">
        <f>IF($X$49="WEEKS","",IF($Z114="Manual Entry hrs/wk","",IF($X$49&gt;'FORMULA REFS'!AK$1,$Z114,"")))</f>
        <v/>
      </c>
      <c r="BR114" s="497" t="str">
        <f>IF($X$49="WEEKS","",IF($Z114="Manual Entry hrs/wk","",IF($X$49&gt;'FORMULA REFS'!AL$1,$Z114,"")))</f>
        <v/>
      </c>
      <c r="BS114" s="497" t="str">
        <f>IF($X$49="WEEKS","",IF($Z114="Manual Entry hrs/wk","",IF($X$49&gt;'FORMULA REFS'!AM$1,$Z114,"")))</f>
        <v/>
      </c>
      <c r="BT114" s="497" t="str">
        <f>IF($X$49="WEEKS","",IF($Z114="Manual Entry hrs/wk","",IF($X$49&gt;'FORMULA REFS'!AN$1,$Z114,"")))</f>
        <v/>
      </c>
      <c r="BU114" s="497" t="str">
        <f>IF($X$49="WEEKS","",IF($Z114="Manual Entry hrs/wk","",IF($X$49&gt;'FORMULA REFS'!AO$1,$Z114,"")))</f>
        <v/>
      </c>
      <c r="BV114" s="497" t="str">
        <f>IF($X$49="WEEKS","",IF($Z114="Manual Entry hrs/wk","",IF($X$49&gt;'FORMULA REFS'!AP$1,$Z114,"")))</f>
        <v/>
      </c>
      <c r="BW114" s="497" t="str">
        <f>IF($X$49="WEEKS","",IF($Z114="Manual Entry hrs/wk","",IF($X$49&gt;'FORMULA REFS'!AQ$1,$Z114,"")))</f>
        <v/>
      </c>
      <c r="BX114" s="497" t="str">
        <f>IF($X$49="WEEKS","",IF($Z114="Manual Entry hrs/wk","",IF($X$49&gt;'FORMULA REFS'!AR$1,$Z114,"")))</f>
        <v/>
      </c>
      <c r="BY114" s="497" t="str">
        <f>IF($X$49="WEEKS","",IF($Z114="Manual Entry hrs/wk","",IF($X$49&gt;'FORMULA REFS'!AS$1,$Z114,"")))</f>
        <v/>
      </c>
      <c r="BZ114" s="497" t="str">
        <f>IF($X$49="WEEKS","",IF($Z114="Manual Entry hrs/wk","",IF($X$49&gt;'FORMULA REFS'!AT$1,$Z114,"")))</f>
        <v/>
      </c>
      <c r="CA114" s="497" t="str">
        <f>IF($X$49="WEEKS","",IF($Z114="Manual Entry hrs/wk","",IF($X$49&gt;'FORMULA REFS'!AU$1,$Z114,"")))</f>
        <v/>
      </c>
      <c r="CB114" s="497" t="str">
        <f>IF($X$49="WEEKS","",IF($Z114="Manual Entry hrs/wk","",IF($X$49&gt;'FORMULA REFS'!AV$1,$Z114,"")))</f>
        <v/>
      </c>
      <c r="CC114" s="497" t="str">
        <f>IF($X$49="WEEKS","",IF($Z114="Manual Entry hrs/wk","",IF($X$49&gt;'FORMULA REFS'!AW$1,$Z114,"")))</f>
        <v/>
      </c>
      <c r="CD114" s="497" t="str">
        <f>IF($X$49="WEEKS","",IF($Z114="Manual Entry hrs/wk","",IF($X$49&gt;'FORMULA REFS'!AX$1,$Z114,"")))</f>
        <v/>
      </c>
      <c r="CE114" s="497" t="str">
        <f>IF($X$49="WEEKS","",IF($Z114="Manual Entry hrs/wk","",IF($X$49&gt;'FORMULA REFS'!AY$1,$Z114,"")))</f>
        <v/>
      </c>
      <c r="CF114" s="497" t="str">
        <f>IF($X$49="WEEKS","",IF($Z114="Manual Entry hrs/wk","",IF($X$49&gt;'FORMULA REFS'!AZ$1,$Z114,"")))</f>
        <v/>
      </c>
      <c r="CG114" s="113"/>
      <c r="CH114" s="349" t="str">
        <f t="shared" ref="CH114:CH149" si="20">IFERROR(IF(ISBLANK($CL114),(IF($D$16="Select Type","Select Margin Class",IF($D$16="Standard Rates",CJ114*Y114,IF($D$16="Client Custom Rates",CK114*Y114)))),CL114*Y114),"")</f>
        <v/>
      </c>
      <c r="CI114" s="349"/>
      <c r="CJ114" s="349"/>
      <c r="CK114" s="349"/>
      <c r="CL114" s="350"/>
    </row>
    <row r="115" spans="2:90" hidden="1" outlineLevel="2" x14ac:dyDescent="0.3">
      <c r="B115">
        <v>66</v>
      </c>
      <c r="C115" s="346"/>
      <c r="D115" s="495"/>
      <c r="E115" s="346"/>
      <c r="F115" s="346" t="str">
        <f>IFERROR(_xlfn.XLOOKUP(E115,'Standard Rate Cards'!$BB$11:$BB$23,'Standard Rate Cards'!$BA$11:$BA$23),"")</f>
        <v/>
      </c>
      <c r="G115" s="346"/>
      <c r="H115" s="346" t="str">
        <f>IFERROR(_xlfn.XLOOKUP(G115,'Standard Rate Cards'!$AP$8:$AP$142,'Standard Rate Cards'!$AQ$8:$AQ$142),"")</f>
        <v/>
      </c>
      <c r="I115" s="346"/>
      <c r="J115" s="346"/>
      <c r="K115" s="496"/>
      <c r="L115" s="496">
        <f t="shared" ref="L115:L149" si="21">O115</f>
        <v>0</v>
      </c>
      <c r="M115" s="496" t="str" cm="1">
        <f t="array" ref="M115">IF(ISBLANK(D115),"",IF(D115&lt;&gt;"CrederaUS",INDEX('Standard Rate Cards'!$D$9:$D$433,MATCH(1,('Standard Rate Cards'!$B$9:$B$433='2. Pricing &amp; Import'!D115)*('Standard Rate Cards'!$C$9:$C$433='2. Pricing &amp; Import'!K115),0)),INDEX('Standard Rate Cards'!$D$9:$D$433,MATCH(1,('Standard Rate Cards'!$B$9:$B$433='2. Pricing &amp; Import'!D115)*('Standard Rate Cards'!$C$9:$C$433='2. Pricing &amp; Import'!K115)*('Standard Rate Cards'!$H$9:$H$433=L115),0))))</f>
        <v/>
      </c>
      <c r="N115" s="347"/>
      <c r="O115" s="110"/>
      <c r="P115" s="246"/>
      <c r="Q115" s="348"/>
      <c r="R115" s="250"/>
      <c r="S115" s="250"/>
      <c r="T115" s="614"/>
      <c r="U115" s="1637"/>
      <c r="V115" s="1638"/>
      <c r="W115" s="614"/>
      <c r="X115" s="681" t="str">
        <f t="shared" ref="X115:X149" si="22">IF(COUNTIF($AG115:$CF115,"&gt;0")=0,"",COUNTIF($AG115:$CF115,"&gt;0"))</f>
        <v/>
      </c>
      <c r="Y115" s="682" t="str">
        <f t="shared" ref="Y115:Y149" si="23">IFERROR(IF(SUM(AG115:CF115)=0,"",IF($AA$49&lt;&gt;"WEEKS",(Z115*$AA$49),SUM(AG115:CF115))),"")</f>
        <v/>
      </c>
      <c r="Z115" s="1630" t="s">
        <v>309</v>
      </c>
      <c r="AA115" s="1631"/>
      <c r="AB115" s="94"/>
      <c r="AC115" s="94"/>
      <c r="AD115" s="94"/>
      <c r="AE115" s="94"/>
      <c r="AF115" s="94"/>
      <c r="AG115" s="497" t="str">
        <f>IF($X$49="WEEKS","",IF($Z115="Manual Entry hrs/wk","",IF($X$49&gt;'FORMULA REFS'!A$1,$Z115,"")))</f>
        <v/>
      </c>
      <c r="AH115" s="497" t="str">
        <f>IF($X$49="WEEKS","",IF($Z115="Manual Entry hrs/wk","",IF($X$49&gt;'FORMULA REFS'!B$1,$Z115,"")))</f>
        <v/>
      </c>
      <c r="AI115" s="497" t="str">
        <f>IF($X$49="WEEKS","",IF($Z115="Manual Entry hrs/wk","",IF($X$49&gt;'FORMULA REFS'!C$1,$Z115,"")))</f>
        <v/>
      </c>
      <c r="AJ115" s="497" t="str">
        <f>IF($X$49="WEEKS","",IF($Z115="Manual Entry hrs/wk","",IF($X$49&gt;'FORMULA REFS'!D$1,$Z115,"")))</f>
        <v/>
      </c>
      <c r="AK115" s="497" t="str">
        <f>IF($X$49="WEEKS","",IF($Z115="Manual Entry hrs/wk","",IF($X$49&gt;'FORMULA REFS'!E$1,$Z115,"")))</f>
        <v/>
      </c>
      <c r="AL115" s="497" t="str">
        <f>IF($X$49="WEEKS","",IF($Z115="Manual Entry hrs/wk","",IF($X$49&gt;'FORMULA REFS'!F$1,$Z115,"")))</f>
        <v/>
      </c>
      <c r="AM115" s="497" t="str">
        <f>IF($X$49="WEEKS","",IF($Z115="Manual Entry hrs/wk","",IF($X$49&gt;'FORMULA REFS'!G$1,$Z115,"")))</f>
        <v/>
      </c>
      <c r="AN115" s="497" t="str">
        <f>IF($X$49="WEEKS","",IF($Z115="Manual Entry hrs/wk","",IF($X$49&gt;'FORMULA REFS'!H$1,$Z115,"")))</f>
        <v/>
      </c>
      <c r="AO115" s="497" t="str">
        <f>IF($X$49="WEEKS","",IF($Z115="Manual Entry hrs/wk","",IF($X$49&gt;'FORMULA REFS'!I$1,$Z115,"")))</f>
        <v/>
      </c>
      <c r="AP115" s="497" t="str">
        <f>IF($X$49="WEEKS","",IF($Z115="Manual Entry hrs/wk","",IF($X$49&gt;'FORMULA REFS'!J$1,$Z115,"")))</f>
        <v/>
      </c>
      <c r="AQ115" s="497" t="str">
        <f>IF($X$49="WEEKS","",IF($Z115="Manual Entry hrs/wk","",IF($X$49&gt;'FORMULA REFS'!K$1,$Z115,"")))</f>
        <v/>
      </c>
      <c r="AR115" s="497" t="str">
        <f>IF($X$49="WEEKS","",IF($Z115="Manual Entry hrs/wk","",IF($X$49&gt;'FORMULA REFS'!L$1,$Z115,"")))</f>
        <v/>
      </c>
      <c r="AS115" s="497" t="str">
        <f>IF($X$49="WEEKS","",IF($Z115="Manual Entry hrs/wk","",IF($X$49&gt;'FORMULA REFS'!M$1,$Z115,"")))</f>
        <v/>
      </c>
      <c r="AT115" s="497" t="str">
        <f>IF($X$49="WEEKS","",IF($Z115="Manual Entry hrs/wk","",IF($X$49&gt;'FORMULA REFS'!N$1,$Z115,"")))</f>
        <v/>
      </c>
      <c r="AU115" s="497" t="str">
        <f>IF($X$49="WEEKS","",IF($Z115="Manual Entry hrs/wk","",IF($X$49&gt;'FORMULA REFS'!O$1,$Z115,"")))</f>
        <v/>
      </c>
      <c r="AV115" s="497" t="str">
        <f>IF($X$49="WEEKS","",IF($Z115="Manual Entry hrs/wk","",IF($X$49&gt;'FORMULA REFS'!P$1,$Z115,"")))</f>
        <v/>
      </c>
      <c r="AW115" s="497" t="str">
        <f>IF($X$49="WEEKS","",IF($Z115="Manual Entry hrs/wk","",IF($X$49&gt;'FORMULA REFS'!Q$1,$Z115,"")))</f>
        <v/>
      </c>
      <c r="AX115" s="497" t="str">
        <f>IF($X$49="WEEKS","",IF($Z115="Manual Entry hrs/wk","",IF($X$49&gt;'FORMULA REFS'!R$1,$Z115,"")))</f>
        <v/>
      </c>
      <c r="AY115" s="497" t="str">
        <f>IF($X$49="WEEKS","",IF($Z115="Manual Entry hrs/wk","",IF($X$49&gt;'FORMULA REFS'!S$1,$Z115,"")))</f>
        <v/>
      </c>
      <c r="AZ115" s="497" t="str">
        <f>IF($X$49="WEEKS","",IF($Z115="Manual Entry hrs/wk","",IF($X$49&gt;'FORMULA REFS'!T$1,$Z115,"")))</f>
        <v/>
      </c>
      <c r="BA115" s="497" t="str">
        <f>IF($X$49="WEEKS","",IF($Z115="Manual Entry hrs/wk","",IF($X$49&gt;'FORMULA REFS'!U$1,$Z115,"")))</f>
        <v/>
      </c>
      <c r="BB115" s="497" t="str">
        <f>IF($X$49="WEEKS","",IF($Z115="Manual Entry hrs/wk","",IF($X$49&gt;'FORMULA REFS'!V$1,$Z115,"")))</f>
        <v/>
      </c>
      <c r="BC115" s="497" t="str">
        <f>IF($X$49="WEEKS","",IF($Z115="Manual Entry hrs/wk","",IF($X$49&gt;'FORMULA REFS'!W$1,$Z115,"")))</f>
        <v/>
      </c>
      <c r="BD115" s="497" t="str">
        <f>IF($X$49="WEEKS","",IF($Z115="Manual Entry hrs/wk","",IF($X$49&gt;'FORMULA REFS'!X$1,$Z115,"")))</f>
        <v/>
      </c>
      <c r="BE115" s="497" t="str">
        <f>IF($X$49="WEEKS","",IF($Z115="Manual Entry hrs/wk","",IF($X$49&gt;'FORMULA REFS'!Y$1,$Z115,"")))</f>
        <v/>
      </c>
      <c r="BF115" s="497" t="str">
        <f>IF($X$49="WEEKS","",IF($Z115="Manual Entry hrs/wk","",IF($X$49&gt;'FORMULA REFS'!Z$1,$Z115,"")))</f>
        <v/>
      </c>
      <c r="BG115" s="497" t="str">
        <f>IF($X$49="WEEKS","",IF($Z115="Manual Entry hrs/wk","",IF($X$49&gt;'FORMULA REFS'!AA$1,$Z115,"")))</f>
        <v/>
      </c>
      <c r="BH115" s="497" t="str">
        <f>IF($X$49="WEEKS","",IF($Z115="Manual Entry hrs/wk","",IF($X$49&gt;'FORMULA REFS'!AB$1,$Z115,"")))</f>
        <v/>
      </c>
      <c r="BI115" s="497" t="str">
        <f>IF($X$49="WEEKS","",IF($Z115="Manual Entry hrs/wk","",IF($X$49&gt;'FORMULA REFS'!AC$1,$Z115,"")))</f>
        <v/>
      </c>
      <c r="BJ115" s="497" t="str">
        <f>IF($X$49="WEEKS","",IF($Z115="Manual Entry hrs/wk","",IF($X$49&gt;'FORMULA REFS'!AD$1,$Z115,"")))</f>
        <v/>
      </c>
      <c r="BK115" s="497" t="str">
        <f>IF($X$49="WEEKS","",IF($Z115="Manual Entry hrs/wk","",IF($X$49&gt;'FORMULA REFS'!AE$1,$Z115,"")))</f>
        <v/>
      </c>
      <c r="BL115" s="497" t="str">
        <f>IF($X$49="WEEKS","",IF($Z115="Manual Entry hrs/wk","",IF($X$49&gt;'FORMULA REFS'!AF$1,$Z115,"")))</f>
        <v/>
      </c>
      <c r="BM115" s="497" t="str">
        <f>IF($X$49="WEEKS","",IF($Z115="Manual Entry hrs/wk","",IF($X$49&gt;'FORMULA REFS'!AG$1,$Z115,"")))</f>
        <v/>
      </c>
      <c r="BN115" s="497" t="str">
        <f>IF($X$49="WEEKS","",IF($Z115="Manual Entry hrs/wk","",IF($X$49&gt;'FORMULA REFS'!AH$1,$Z115,"")))</f>
        <v/>
      </c>
      <c r="BO115" s="497" t="str">
        <f>IF($X$49="WEEKS","",IF($Z115="Manual Entry hrs/wk","",IF($X$49&gt;'FORMULA REFS'!AI$1,$Z115,"")))</f>
        <v/>
      </c>
      <c r="BP115" s="497" t="str">
        <f>IF($X$49="WEEKS","",IF($Z115="Manual Entry hrs/wk","",IF($X$49&gt;'FORMULA REFS'!AJ$1,$Z115,"")))</f>
        <v/>
      </c>
      <c r="BQ115" s="497" t="str">
        <f>IF($X$49="WEEKS","",IF($Z115="Manual Entry hrs/wk","",IF($X$49&gt;'FORMULA REFS'!AK$1,$Z115,"")))</f>
        <v/>
      </c>
      <c r="BR115" s="497" t="str">
        <f>IF($X$49="WEEKS","",IF($Z115="Manual Entry hrs/wk","",IF($X$49&gt;'FORMULA REFS'!AL$1,$Z115,"")))</f>
        <v/>
      </c>
      <c r="BS115" s="497" t="str">
        <f>IF($X$49="WEEKS","",IF($Z115="Manual Entry hrs/wk","",IF($X$49&gt;'FORMULA REFS'!AM$1,$Z115,"")))</f>
        <v/>
      </c>
      <c r="BT115" s="497" t="str">
        <f>IF($X$49="WEEKS","",IF($Z115="Manual Entry hrs/wk","",IF($X$49&gt;'FORMULA REFS'!AN$1,$Z115,"")))</f>
        <v/>
      </c>
      <c r="BU115" s="497" t="str">
        <f>IF($X$49="WEEKS","",IF($Z115="Manual Entry hrs/wk","",IF($X$49&gt;'FORMULA REFS'!AO$1,$Z115,"")))</f>
        <v/>
      </c>
      <c r="BV115" s="497" t="str">
        <f>IF($X$49="WEEKS","",IF($Z115="Manual Entry hrs/wk","",IF($X$49&gt;'FORMULA REFS'!AP$1,$Z115,"")))</f>
        <v/>
      </c>
      <c r="BW115" s="497" t="str">
        <f>IF($X$49="WEEKS","",IF($Z115="Manual Entry hrs/wk","",IF($X$49&gt;'FORMULA REFS'!AQ$1,$Z115,"")))</f>
        <v/>
      </c>
      <c r="BX115" s="497" t="str">
        <f>IF($X$49="WEEKS","",IF($Z115="Manual Entry hrs/wk","",IF($X$49&gt;'FORMULA REFS'!AR$1,$Z115,"")))</f>
        <v/>
      </c>
      <c r="BY115" s="497" t="str">
        <f>IF($X$49="WEEKS","",IF($Z115="Manual Entry hrs/wk","",IF($X$49&gt;'FORMULA REFS'!AS$1,$Z115,"")))</f>
        <v/>
      </c>
      <c r="BZ115" s="497" t="str">
        <f>IF($X$49="WEEKS","",IF($Z115="Manual Entry hrs/wk","",IF($X$49&gt;'FORMULA REFS'!AT$1,$Z115,"")))</f>
        <v/>
      </c>
      <c r="CA115" s="497" t="str">
        <f>IF($X$49="WEEKS","",IF($Z115="Manual Entry hrs/wk","",IF($X$49&gt;'FORMULA REFS'!AU$1,$Z115,"")))</f>
        <v/>
      </c>
      <c r="CB115" s="497" t="str">
        <f>IF($X$49="WEEKS","",IF($Z115="Manual Entry hrs/wk","",IF($X$49&gt;'FORMULA REFS'!AV$1,$Z115,"")))</f>
        <v/>
      </c>
      <c r="CC115" s="497" t="str">
        <f>IF($X$49="WEEKS","",IF($Z115="Manual Entry hrs/wk","",IF($X$49&gt;'FORMULA REFS'!AW$1,$Z115,"")))</f>
        <v/>
      </c>
      <c r="CD115" s="497" t="str">
        <f>IF($X$49="WEEKS","",IF($Z115="Manual Entry hrs/wk","",IF($X$49&gt;'FORMULA REFS'!AX$1,$Z115,"")))</f>
        <v/>
      </c>
      <c r="CE115" s="497" t="str">
        <f>IF($X$49="WEEKS","",IF($Z115="Manual Entry hrs/wk","",IF($X$49&gt;'FORMULA REFS'!AY$1,$Z115,"")))</f>
        <v/>
      </c>
      <c r="CF115" s="497" t="str">
        <f>IF($X$49="WEEKS","",IF($Z115="Manual Entry hrs/wk","",IF($X$49&gt;'FORMULA REFS'!AZ$1,$Z115,"")))</f>
        <v/>
      </c>
      <c r="CG115" s="113"/>
      <c r="CH115" s="349" t="str">
        <f t="shared" si="20"/>
        <v/>
      </c>
      <c r="CI115" s="349"/>
      <c r="CJ115" s="349"/>
      <c r="CK115" s="349"/>
      <c r="CL115" s="350"/>
    </row>
    <row r="116" spans="2:90" hidden="1" outlineLevel="2" x14ac:dyDescent="0.3">
      <c r="B116">
        <v>67</v>
      </c>
      <c r="C116" s="346"/>
      <c r="D116" s="495"/>
      <c r="E116" s="346"/>
      <c r="F116" s="346" t="str">
        <f>IFERROR(_xlfn.XLOOKUP(E116,'Standard Rate Cards'!$BB$11:$BB$23,'Standard Rate Cards'!$BA$11:$BA$23),"")</f>
        <v/>
      </c>
      <c r="G116" s="346"/>
      <c r="H116" s="346" t="str">
        <f>IFERROR(_xlfn.XLOOKUP(G116,'Standard Rate Cards'!$AP$8:$AP$142,'Standard Rate Cards'!$AQ$8:$AQ$142),"")</f>
        <v/>
      </c>
      <c r="I116" s="346"/>
      <c r="J116" s="346"/>
      <c r="K116" s="496"/>
      <c r="L116" s="496">
        <f t="shared" si="21"/>
        <v>0</v>
      </c>
      <c r="M116" s="496" t="str" cm="1">
        <f t="array" ref="M116">IF(ISBLANK(D116),"",IF(D116&lt;&gt;"CrederaUS",INDEX('Standard Rate Cards'!$D$9:$D$433,MATCH(1,('Standard Rate Cards'!$B$9:$B$433='2. Pricing &amp; Import'!D116)*('Standard Rate Cards'!$C$9:$C$433='2. Pricing &amp; Import'!K116),0)),INDEX('Standard Rate Cards'!$D$9:$D$433,MATCH(1,('Standard Rate Cards'!$B$9:$B$433='2. Pricing &amp; Import'!D116)*('Standard Rate Cards'!$C$9:$C$433='2. Pricing &amp; Import'!K116)*('Standard Rate Cards'!$H$9:$H$433=L116),0))))</f>
        <v/>
      </c>
      <c r="N116" s="347"/>
      <c r="O116" s="110"/>
      <c r="P116" s="246"/>
      <c r="Q116" s="348"/>
      <c r="R116" s="250"/>
      <c r="S116" s="250"/>
      <c r="T116" s="614"/>
      <c r="U116" s="1637"/>
      <c r="V116" s="1638"/>
      <c r="W116" s="614"/>
      <c r="X116" s="681" t="str">
        <f t="shared" si="22"/>
        <v/>
      </c>
      <c r="Y116" s="682" t="str">
        <f t="shared" si="23"/>
        <v/>
      </c>
      <c r="Z116" s="1630" t="s">
        <v>309</v>
      </c>
      <c r="AA116" s="1631"/>
      <c r="AB116" s="94"/>
      <c r="AC116" s="94"/>
      <c r="AD116" s="94"/>
      <c r="AE116" s="94"/>
      <c r="AF116" s="94"/>
      <c r="AG116" s="497" t="str">
        <f>IF($X$49="WEEKS","",IF($Z116="Manual Entry hrs/wk","",IF($X$49&gt;'FORMULA REFS'!A$1,$Z116,"")))</f>
        <v/>
      </c>
      <c r="AH116" s="497" t="str">
        <f>IF($X$49="WEEKS","",IF($Z116="Manual Entry hrs/wk","",IF($X$49&gt;'FORMULA REFS'!B$1,$Z116,"")))</f>
        <v/>
      </c>
      <c r="AI116" s="497" t="str">
        <f>IF($X$49="WEEKS","",IF($Z116="Manual Entry hrs/wk","",IF($X$49&gt;'FORMULA REFS'!C$1,$Z116,"")))</f>
        <v/>
      </c>
      <c r="AJ116" s="497" t="str">
        <f>IF($X$49="WEEKS","",IF($Z116="Manual Entry hrs/wk","",IF($X$49&gt;'FORMULA REFS'!D$1,$Z116,"")))</f>
        <v/>
      </c>
      <c r="AK116" s="497" t="str">
        <f>IF($X$49="WEEKS","",IF($Z116="Manual Entry hrs/wk","",IF($X$49&gt;'FORMULA REFS'!E$1,$Z116,"")))</f>
        <v/>
      </c>
      <c r="AL116" s="497" t="str">
        <f>IF($X$49="WEEKS","",IF($Z116="Manual Entry hrs/wk","",IF($X$49&gt;'FORMULA REFS'!F$1,$Z116,"")))</f>
        <v/>
      </c>
      <c r="AM116" s="497" t="str">
        <f>IF($X$49="WEEKS","",IF($Z116="Manual Entry hrs/wk","",IF($X$49&gt;'FORMULA REFS'!G$1,$Z116,"")))</f>
        <v/>
      </c>
      <c r="AN116" s="497" t="str">
        <f>IF($X$49="WEEKS","",IF($Z116="Manual Entry hrs/wk","",IF($X$49&gt;'FORMULA REFS'!H$1,$Z116,"")))</f>
        <v/>
      </c>
      <c r="AO116" s="497" t="str">
        <f>IF($X$49="WEEKS","",IF($Z116="Manual Entry hrs/wk","",IF($X$49&gt;'FORMULA REFS'!I$1,$Z116,"")))</f>
        <v/>
      </c>
      <c r="AP116" s="497" t="str">
        <f>IF($X$49="WEEKS","",IF($Z116="Manual Entry hrs/wk","",IF($X$49&gt;'FORMULA REFS'!J$1,$Z116,"")))</f>
        <v/>
      </c>
      <c r="AQ116" s="497" t="str">
        <f>IF($X$49="WEEKS","",IF($Z116="Manual Entry hrs/wk","",IF($X$49&gt;'FORMULA REFS'!K$1,$Z116,"")))</f>
        <v/>
      </c>
      <c r="AR116" s="497" t="str">
        <f>IF($X$49="WEEKS","",IF($Z116="Manual Entry hrs/wk","",IF($X$49&gt;'FORMULA REFS'!L$1,$Z116,"")))</f>
        <v/>
      </c>
      <c r="AS116" s="497" t="str">
        <f>IF($X$49="WEEKS","",IF($Z116="Manual Entry hrs/wk","",IF($X$49&gt;'FORMULA REFS'!M$1,$Z116,"")))</f>
        <v/>
      </c>
      <c r="AT116" s="497" t="str">
        <f>IF($X$49="WEEKS","",IF($Z116="Manual Entry hrs/wk","",IF($X$49&gt;'FORMULA REFS'!N$1,$Z116,"")))</f>
        <v/>
      </c>
      <c r="AU116" s="497" t="str">
        <f>IF($X$49="WEEKS","",IF($Z116="Manual Entry hrs/wk","",IF($X$49&gt;'FORMULA REFS'!O$1,$Z116,"")))</f>
        <v/>
      </c>
      <c r="AV116" s="497" t="str">
        <f>IF($X$49="WEEKS","",IF($Z116="Manual Entry hrs/wk","",IF($X$49&gt;'FORMULA REFS'!P$1,$Z116,"")))</f>
        <v/>
      </c>
      <c r="AW116" s="497" t="str">
        <f>IF($X$49="WEEKS","",IF($Z116="Manual Entry hrs/wk","",IF($X$49&gt;'FORMULA REFS'!Q$1,$Z116,"")))</f>
        <v/>
      </c>
      <c r="AX116" s="497" t="str">
        <f>IF($X$49="WEEKS","",IF($Z116="Manual Entry hrs/wk","",IF($X$49&gt;'FORMULA REFS'!R$1,$Z116,"")))</f>
        <v/>
      </c>
      <c r="AY116" s="497" t="str">
        <f>IF($X$49="WEEKS","",IF($Z116="Manual Entry hrs/wk","",IF($X$49&gt;'FORMULA REFS'!S$1,$Z116,"")))</f>
        <v/>
      </c>
      <c r="AZ116" s="497" t="str">
        <f>IF($X$49="WEEKS","",IF($Z116="Manual Entry hrs/wk","",IF($X$49&gt;'FORMULA REFS'!T$1,$Z116,"")))</f>
        <v/>
      </c>
      <c r="BA116" s="497" t="str">
        <f>IF($X$49="WEEKS","",IF($Z116="Manual Entry hrs/wk","",IF($X$49&gt;'FORMULA REFS'!U$1,$Z116,"")))</f>
        <v/>
      </c>
      <c r="BB116" s="497" t="str">
        <f>IF($X$49="WEEKS","",IF($Z116="Manual Entry hrs/wk","",IF($X$49&gt;'FORMULA REFS'!V$1,$Z116,"")))</f>
        <v/>
      </c>
      <c r="BC116" s="497" t="str">
        <f>IF($X$49="WEEKS","",IF($Z116="Manual Entry hrs/wk","",IF($X$49&gt;'FORMULA REFS'!W$1,$Z116,"")))</f>
        <v/>
      </c>
      <c r="BD116" s="497" t="str">
        <f>IF($X$49="WEEKS","",IF($Z116="Manual Entry hrs/wk","",IF($X$49&gt;'FORMULA REFS'!X$1,$Z116,"")))</f>
        <v/>
      </c>
      <c r="BE116" s="497" t="str">
        <f>IF($X$49="WEEKS","",IF($Z116="Manual Entry hrs/wk","",IF($X$49&gt;'FORMULA REFS'!Y$1,$Z116,"")))</f>
        <v/>
      </c>
      <c r="BF116" s="497" t="str">
        <f>IF($X$49="WEEKS","",IF($Z116="Manual Entry hrs/wk","",IF($X$49&gt;'FORMULA REFS'!Z$1,$Z116,"")))</f>
        <v/>
      </c>
      <c r="BG116" s="497" t="str">
        <f>IF($X$49="WEEKS","",IF($Z116="Manual Entry hrs/wk","",IF($X$49&gt;'FORMULA REFS'!AA$1,$Z116,"")))</f>
        <v/>
      </c>
      <c r="BH116" s="497" t="str">
        <f>IF($X$49="WEEKS","",IF($Z116="Manual Entry hrs/wk","",IF($X$49&gt;'FORMULA REFS'!AB$1,$Z116,"")))</f>
        <v/>
      </c>
      <c r="BI116" s="497" t="str">
        <f>IF($X$49="WEEKS","",IF($Z116="Manual Entry hrs/wk","",IF($X$49&gt;'FORMULA REFS'!AC$1,$Z116,"")))</f>
        <v/>
      </c>
      <c r="BJ116" s="497" t="str">
        <f>IF($X$49="WEEKS","",IF($Z116="Manual Entry hrs/wk","",IF($X$49&gt;'FORMULA REFS'!AD$1,$Z116,"")))</f>
        <v/>
      </c>
      <c r="BK116" s="497" t="str">
        <f>IF($X$49="WEEKS","",IF($Z116="Manual Entry hrs/wk","",IF($X$49&gt;'FORMULA REFS'!AE$1,$Z116,"")))</f>
        <v/>
      </c>
      <c r="BL116" s="497" t="str">
        <f>IF($X$49="WEEKS","",IF($Z116="Manual Entry hrs/wk","",IF($X$49&gt;'FORMULA REFS'!AF$1,$Z116,"")))</f>
        <v/>
      </c>
      <c r="BM116" s="497" t="str">
        <f>IF($X$49="WEEKS","",IF($Z116="Manual Entry hrs/wk","",IF($X$49&gt;'FORMULA REFS'!AG$1,$Z116,"")))</f>
        <v/>
      </c>
      <c r="BN116" s="497" t="str">
        <f>IF($X$49="WEEKS","",IF($Z116="Manual Entry hrs/wk","",IF($X$49&gt;'FORMULA REFS'!AH$1,$Z116,"")))</f>
        <v/>
      </c>
      <c r="BO116" s="497" t="str">
        <f>IF($X$49="WEEKS","",IF($Z116="Manual Entry hrs/wk","",IF($X$49&gt;'FORMULA REFS'!AI$1,$Z116,"")))</f>
        <v/>
      </c>
      <c r="BP116" s="497" t="str">
        <f>IF($X$49="WEEKS","",IF($Z116="Manual Entry hrs/wk","",IF($X$49&gt;'FORMULA REFS'!AJ$1,$Z116,"")))</f>
        <v/>
      </c>
      <c r="BQ116" s="497" t="str">
        <f>IF($X$49="WEEKS","",IF($Z116="Manual Entry hrs/wk","",IF($X$49&gt;'FORMULA REFS'!AK$1,$Z116,"")))</f>
        <v/>
      </c>
      <c r="BR116" s="497" t="str">
        <f>IF($X$49="WEEKS","",IF($Z116="Manual Entry hrs/wk","",IF($X$49&gt;'FORMULA REFS'!AL$1,$Z116,"")))</f>
        <v/>
      </c>
      <c r="BS116" s="497" t="str">
        <f>IF($X$49="WEEKS","",IF($Z116="Manual Entry hrs/wk","",IF($X$49&gt;'FORMULA REFS'!AM$1,$Z116,"")))</f>
        <v/>
      </c>
      <c r="BT116" s="497" t="str">
        <f>IF($X$49="WEEKS","",IF($Z116="Manual Entry hrs/wk","",IF($X$49&gt;'FORMULA REFS'!AN$1,$Z116,"")))</f>
        <v/>
      </c>
      <c r="BU116" s="497" t="str">
        <f>IF($X$49="WEEKS","",IF($Z116="Manual Entry hrs/wk","",IF($X$49&gt;'FORMULA REFS'!AO$1,$Z116,"")))</f>
        <v/>
      </c>
      <c r="BV116" s="497" t="str">
        <f>IF($X$49="WEEKS","",IF($Z116="Manual Entry hrs/wk","",IF($X$49&gt;'FORMULA REFS'!AP$1,$Z116,"")))</f>
        <v/>
      </c>
      <c r="BW116" s="497" t="str">
        <f>IF($X$49="WEEKS","",IF($Z116="Manual Entry hrs/wk","",IF($X$49&gt;'FORMULA REFS'!AQ$1,$Z116,"")))</f>
        <v/>
      </c>
      <c r="BX116" s="497" t="str">
        <f>IF($X$49="WEEKS","",IF($Z116="Manual Entry hrs/wk","",IF($X$49&gt;'FORMULA REFS'!AR$1,$Z116,"")))</f>
        <v/>
      </c>
      <c r="BY116" s="497" t="str">
        <f>IF($X$49="WEEKS","",IF($Z116="Manual Entry hrs/wk","",IF($X$49&gt;'FORMULA REFS'!AS$1,$Z116,"")))</f>
        <v/>
      </c>
      <c r="BZ116" s="497" t="str">
        <f>IF($X$49="WEEKS","",IF($Z116="Manual Entry hrs/wk","",IF($X$49&gt;'FORMULA REFS'!AT$1,$Z116,"")))</f>
        <v/>
      </c>
      <c r="CA116" s="497" t="str">
        <f>IF($X$49="WEEKS","",IF($Z116="Manual Entry hrs/wk","",IF($X$49&gt;'FORMULA REFS'!AU$1,$Z116,"")))</f>
        <v/>
      </c>
      <c r="CB116" s="497" t="str">
        <f>IF($X$49="WEEKS","",IF($Z116="Manual Entry hrs/wk","",IF($X$49&gt;'FORMULA REFS'!AV$1,$Z116,"")))</f>
        <v/>
      </c>
      <c r="CC116" s="497" t="str">
        <f>IF($X$49="WEEKS","",IF($Z116="Manual Entry hrs/wk","",IF($X$49&gt;'FORMULA REFS'!AW$1,$Z116,"")))</f>
        <v/>
      </c>
      <c r="CD116" s="497" t="str">
        <f>IF($X$49="WEEKS","",IF($Z116="Manual Entry hrs/wk","",IF($X$49&gt;'FORMULA REFS'!AX$1,$Z116,"")))</f>
        <v/>
      </c>
      <c r="CE116" s="497" t="str">
        <f>IF($X$49="WEEKS","",IF($Z116="Manual Entry hrs/wk","",IF($X$49&gt;'FORMULA REFS'!AY$1,$Z116,"")))</f>
        <v/>
      </c>
      <c r="CF116" s="497" t="str">
        <f>IF($X$49="WEEKS","",IF($Z116="Manual Entry hrs/wk","",IF($X$49&gt;'FORMULA REFS'!AZ$1,$Z116,"")))</f>
        <v/>
      </c>
      <c r="CG116" s="113"/>
      <c r="CH116" s="349" t="str">
        <f t="shared" si="20"/>
        <v/>
      </c>
      <c r="CI116" s="349"/>
      <c r="CJ116" s="349"/>
      <c r="CK116" s="349"/>
      <c r="CL116" s="350"/>
    </row>
    <row r="117" spans="2:90" hidden="1" outlineLevel="2" x14ac:dyDescent="0.3">
      <c r="B117">
        <v>68</v>
      </c>
      <c r="C117" s="346"/>
      <c r="D117" s="495"/>
      <c r="E117" s="346"/>
      <c r="F117" s="346" t="str">
        <f>IFERROR(_xlfn.XLOOKUP(E117,'Standard Rate Cards'!$BB$11:$BB$23,'Standard Rate Cards'!$BA$11:$BA$23),"")</f>
        <v/>
      </c>
      <c r="G117" s="346"/>
      <c r="H117" s="346" t="str">
        <f>IFERROR(_xlfn.XLOOKUP(G117,'Standard Rate Cards'!$AP$8:$AP$142,'Standard Rate Cards'!$AQ$8:$AQ$142),"")</f>
        <v/>
      </c>
      <c r="I117" s="346"/>
      <c r="J117" s="346"/>
      <c r="K117" s="496"/>
      <c r="L117" s="496">
        <f t="shared" si="21"/>
        <v>0</v>
      </c>
      <c r="M117" s="496" t="str" cm="1">
        <f t="array" ref="M117">IF(ISBLANK(D117),"",IF(D117&lt;&gt;"CrederaUS",INDEX('Standard Rate Cards'!$D$9:$D$433,MATCH(1,('Standard Rate Cards'!$B$9:$B$433='2. Pricing &amp; Import'!D117)*('Standard Rate Cards'!$C$9:$C$433='2. Pricing &amp; Import'!K117),0)),INDEX('Standard Rate Cards'!$D$9:$D$433,MATCH(1,('Standard Rate Cards'!$B$9:$B$433='2. Pricing &amp; Import'!D117)*('Standard Rate Cards'!$C$9:$C$433='2. Pricing &amp; Import'!K117)*('Standard Rate Cards'!$H$9:$H$433=L117),0))))</f>
        <v/>
      </c>
      <c r="N117" s="347"/>
      <c r="O117" s="110"/>
      <c r="P117" s="246"/>
      <c r="Q117" s="348"/>
      <c r="R117" s="250"/>
      <c r="S117" s="250"/>
      <c r="T117" s="614"/>
      <c r="U117" s="1637"/>
      <c r="V117" s="1638"/>
      <c r="W117" s="614"/>
      <c r="X117" s="681" t="str">
        <f t="shared" si="22"/>
        <v/>
      </c>
      <c r="Y117" s="682" t="str">
        <f t="shared" si="23"/>
        <v/>
      </c>
      <c r="Z117" s="1630" t="s">
        <v>309</v>
      </c>
      <c r="AA117" s="1631"/>
      <c r="AB117" s="94"/>
      <c r="AC117" s="94"/>
      <c r="AD117" s="94"/>
      <c r="AE117" s="94"/>
      <c r="AF117" s="94"/>
      <c r="AG117" s="497" t="str">
        <f>IF($X$49="WEEKS","",IF($Z117="Manual Entry hrs/wk","",IF($X$49&gt;'FORMULA REFS'!A$1,$Z117,"")))</f>
        <v/>
      </c>
      <c r="AH117" s="497" t="str">
        <f>IF($X$49="WEEKS","",IF($Z117="Manual Entry hrs/wk","",IF($X$49&gt;'FORMULA REFS'!B$1,$Z117,"")))</f>
        <v/>
      </c>
      <c r="AI117" s="497" t="str">
        <f>IF($X$49="WEEKS","",IF($Z117="Manual Entry hrs/wk","",IF($X$49&gt;'FORMULA REFS'!C$1,$Z117,"")))</f>
        <v/>
      </c>
      <c r="AJ117" s="497" t="str">
        <f>IF($X$49="WEEKS","",IF($Z117="Manual Entry hrs/wk","",IF($X$49&gt;'FORMULA REFS'!D$1,$Z117,"")))</f>
        <v/>
      </c>
      <c r="AK117" s="497" t="str">
        <f>IF($X$49="WEEKS","",IF($Z117="Manual Entry hrs/wk","",IF($X$49&gt;'FORMULA REFS'!E$1,$Z117,"")))</f>
        <v/>
      </c>
      <c r="AL117" s="497" t="str">
        <f>IF($X$49="WEEKS","",IF($Z117="Manual Entry hrs/wk","",IF($X$49&gt;'FORMULA REFS'!F$1,$Z117,"")))</f>
        <v/>
      </c>
      <c r="AM117" s="497" t="str">
        <f>IF($X$49="WEEKS","",IF($Z117="Manual Entry hrs/wk","",IF($X$49&gt;'FORMULA REFS'!G$1,$Z117,"")))</f>
        <v/>
      </c>
      <c r="AN117" s="497" t="str">
        <f>IF($X$49="WEEKS","",IF($Z117="Manual Entry hrs/wk","",IF($X$49&gt;'FORMULA REFS'!H$1,$Z117,"")))</f>
        <v/>
      </c>
      <c r="AO117" s="497" t="str">
        <f>IF($X$49="WEEKS","",IF($Z117="Manual Entry hrs/wk","",IF($X$49&gt;'FORMULA REFS'!I$1,$Z117,"")))</f>
        <v/>
      </c>
      <c r="AP117" s="497" t="str">
        <f>IF($X$49="WEEKS","",IF($Z117="Manual Entry hrs/wk","",IF($X$49&gt;'FORMULA REFS'!J$1,$Z117,"")))</f>
        <v/>
      </c>
      <c r="AQ117" s="497" t="str">
        <f>IF($X$49="WEEKS","",IF($Z117="Manual Entry hrs/wk","",IF($X$49&gt;'FORMULA REFS'!K$1,$Z117,"")))</f>
        <v/>
      </c>
      <c r="AR117" s="497" t="str">
        <f>IF($X$49="WEEKS","",IF($Z117="Manual Entry hrs/wk","",IF($X$49&gt;'FORMULA REFS'!L$1,$Z117,"")))</f>
        <v/>
      </c>
      <c r="AS117" s="497" t="str">
        <f>IF($X$49="WEEKS","",IF($Z117="Manual Entry hrs/wk","",IF($X$49&gt;'FORMULA REFS'!M$1,$Z117,"")))</f>
        <v/>
      </c>
      <c r="AT117" s="497" t="str">
        <f>IF($X$49="WEEKS","",IF($Z117="Manual Entry hrs/wk","",IF($X$49&gt;'FORMULA REFS'!N$1,$Z117,"")))</f>
        <v/>
      </c>
      <c r="AU117" s="497" t="str">
        <f>IF($X$49="WEEKS","",IF($Z117="Manual Entry hrs/wk","",IF($X$49&gt;'FORMULA REFS'!O$1,$Z117,"")))</f>
        <v/>
      </c>
      <c r="AV117" s="497" t="str">
        <f>IF($X$49="WEEKS","",IF($Z117="Manual Entry hrs/wk","",IF($X$49&gt;'FORMULA REFS'!P$1,$Z117,"")))</f>
        <v/>
      </c>
      <c r="AW117" s="497" t="str">
        <f>IF($X$49="WEEKS","",IF($Z117="Manual Entry hrs/wk","",IF($X$49&gt;'FORMULA REFS'!Q$1,$Z117,"")))</f>
        <v/>
      </c>
      <c r="AX117" s="497" t="str">
        <f>IF($X$49="WEEKS","",IF($Z117="Manual Entry hrs/wk","",IF($X$49&gt;'FORMULA REFS'!R$1,$Z117,"")))</f>
        <v/>
      </c>
      <c r="AY117" s="497" t="str">
        <f>IF($X$49="WEEKS","",IF($Z117="Manual Entry hrs/wk","",IF($X$49&gt;'FORMULA REFS'!S$1,$Z117,"")))</f>
        <v/>
      </c>
      <c r="AZ117" s="497" t="str">
        <f>IF($X$49="WEEKS","",IF($Z117="Manual Entry hrs/wk","",IF($X$49&gt;'FORMULA REFS'!T$1,$Z117,"")))</f>
        <v/>
      </c>
      <c r="BA117" s="497" t="str">
        <f>IF($X$49="WEEKS","",IF($Z117="Manual Entry hrs/wk","",IF($X$49&gt;'FORMULA REFS'!U$1,$Z117,"")))</f>
        <v/>
      </c>
      <c r="BB117" s="497" t="str">
        <f>IF($X$49="WEEKS","",IF($Z117="Manual Entry hrs/wk","",IF($X$49&gt;'FORMULA REFS'!V$1,$Z117,"")))</f>
        <v/>
      </c>
      <c r="BC117" s="497" t="str">
        <f>IF($X$49="WEEKS","",IF($Z117="Manual Entry hrs/wk","",IF($X$49&gt;'FORMULA REFS'!W$1,$Z117,"")))</f>
        <v/>
      </c>
      <c r="BD117" s="497" t="str">
        <f>IF($X$49="WEEKS","",IF($Z117="Manual Entry hrs/wk","",IF($X$49&gt;'FORMULA REFS'!X$1,$Z117,"")))</f>
        <v/>
      </c>
      <c r="BE117" s="497" t="str">
        <f>IF($X$49="WEEKS","",IF($Z117="Manual Entry hrs/wk","",IF($X$49&gt;'FORMULA REFS'!Y$1,$Z117,"")))</f>
        <v/>
      </c>
      <c r="BF117" s="497" t="str">
        <f>IF($X$49="WEEKS","",IF($Z117="Manual Entry hrs/wk","",IF($X$49&gt;'FORMULA REFS'!Z$1,$Z117,"")))</f>
        <v/>
      </c>
      <c r="BG117" s="497" t="str">
        <f>IF($X$49="WEEKS","",IF($Z117="Manual Entry hrs/wk","",IF($X$49&gt;'FORMULA REFS'!AA$1,$Z117,"")))</f>
        <v/>
      </c>
      <c r="BH117" s="497" t="str">
        <f>IF($X$49="WEEKS","",IF($Z117="Manual Entry hrs/wk","",IF($X$49&gt;'FORMULA REFS'!AB$1,$Z117,"")))</f>
        <v/>
      </c>
      <c r="BI117" s="497" t="str">
        <f>IF($X$49="WEEKS","",IF($Z117="Manual Entry hrs/wk","",IF($X$49&gt;'FORMULA REFS'!AC$1,$Z117,"")))</f>
        <v/>
      </c>
      <c r="BJ117" s="497" t="str">
        <f>IF($X$49="WEEKS","",IF($Z117="Manual Entry hrs/wk","",IF($X$49&gt;'FORMULA REFS'!AD$1,$Z117,"")))</f>
        <v/>
      </c>
      <c r="BK117" s="497" t="str">
        <f>IF($X$49="WEEKS","",IF($Z117="Manual Entry hrs/wk","",IF($X$49&gt;'FORMULA REFS'!AE$1,$Z117,"")))</f>
        <v/>
      </c>
      <c r="BL117" s="497" t="str">
        <f>IF($X$49="WEEKS","",IF($Z117="Manual Entry hrs/wk","",IF($X$49&gt;'FORMULA REFS'!AF$1,$Z117,"")))</f>
        <v/>
      </c>
      <c r="BM117" s="497" t="str">
        <f>IF($X$49="WEEKS","",IF($Z117="Manual Entry hrs/wk","",IF($X$49&gt;'FORMULA REFS'!AG$1,$Z117,"")))</f>
        <v/>
      </c>
      <c r="BN117" s="497" t="str">
        <f>IF($X$49="WEEKS","",IF($Z117="Manual Entry hrs/wk","",IF($X$49&gt;'FORMULA REFS'!AH$1,$Z117,"")))</f>
        <v/>
      </c>
      <c r="BO117" s="497" t="str">
        <f>IF($X$49="WEEKS","",IF($Z117="Manual Entry hrs/wk","",IF($X$49&gt;'FORMULA REFS'!AI$1,$Z117,"")))</f>
        <v/>
      </c>
      <c r="BP117" s="497" t="str">
        <f>IF($X$49="WEEKS","",IF($Z117="Manual Entry hrs/wk","",IF($X$49&gt;'FORMULA REFS'!AJ$1,$Z117,"")))</f>
        <v/>
      </c>
      <c r="BQ117" s="497" t="str">
        <f>IF($X$49="WEEKS","",IF($Z117="Manual Entry hrs/wk","",IF($X$49&gt;'FORMULA REFS'!AK$1,$Z117,"")))</f>
        <v/>
      </c>
      <c r="BR117" s="497" t="str">
        <f>IF($X$49="WEEKS","",IF($Z117="Manual Entry hrs/wk","",IF($X$49&gt;'FORMULA REFS'!AL$1,$Z117,"")))</f>
        <v/>
      </c>
      <c r="BS117" s="497" t="str">
        <f>IF($X$49="WEEKS","",IF($Z117="Manual Entry hrs/wk","",IF($X$49&gt;'FORMULA REFS'!AM$1,$Z117,"")))</f>
        <v/>
      </c>
      <c r="BT117" s="497" t="str">
        <f>IF($X$49="WEEKS","",IF($Z117="Manual Entry hrs/wk","",IF($X$49&gt;'FORMULA REFS'!AN$1,$Z117,"")))</f>
        <v/>
      </c>
      <c r="BU117" s="497" t="str">
        <f>IF($X$49="WEEKS","",IF($Z117="Manual Entry hrs/wk","",IF($X$49&gt;'FORMULA REFS'!AO$1,$Z117,"")))</f>
        <v/>
      </c>
      <c r="BV117" s="497" t="str">
        <f>IF($X$49="WEEKS","",IF($Z117="Manual Entry hrs/wk","",IF($X$49&gt;'FORMULA REFS'!AP$1,$Z117,"")))</f>
        <v/>
      </c>
      <c r="BW117" s="497" t="str">
        <f>IF($X$49="WEEKS","",IF($Z117="Manual Entry hrs/wk","",IF($X$49&gt;'FORMULA REFS'!AQ$1,$Z117,"")))</f>
        <v/>
      </c>
      <c r="BX117" s="497" t="str">
        <f>IF($X$49="WEEKS","",IF($Z117="Manual Entry hrs/wk","",IF($X$49&gt;'FORMULA REFS'!AR$1,$Z117,"")))</f>
        <v/>
      </c>
      <c r="BY117" s="497" t="str">
        <f>IF($X$49="WEEKS","",IF($Z117="Manual Entry hrs/wk","",IF($X$49&gt;'FORMULA REFS'!AS$1,$Z117,"")))</f>
        <v/>
      </c>
      <c r="BZ117" s="497" t="str">
        <f>IF($X$49="WEEKS","",IF($Z117="Manual Entry hrs/wk","",IF($X$49&gt;'FORMULA REFS'!AT$1,$Z117,"")))</f>
        <v/>
      </c>
      <c r="CA117" s="497" t="str">
        <f>IF($X$49="WEEKS","",IF($Z117="Manual Entry hrs/wk","",IF($X$49&gt;'FORMULA REFS'!AU$1,$Z117,"")))</f>
        <v/>
      </c>
      <c r="CB117" s="497" t="str">
        <f>IF($X$49="WEEKS","",IF($Z117="Manual Entry hrs/wk","",IF($X$49&gt;'FORMULA REFS'!AV$1,$Z117,"")))</f>
        <v/>
      </c>
      <c r="CC117" s="497" t="str">
        <f>IF($X$49="WEEKS","",IF($Z117="Manual Entry hrs/wk","",IF($X$49&gt;'FORMULA REFS'!AW$1,$Z117,"")))</f>
        <v/>
      </c>
      <c r="CD117" s="497" t="str">
        <f>IF($X$49="WEEKS","",IF($Z117="Manual Entry hrs/wk","",IF($X$49&gt;'FORMULA REFS'!AX$1,$Z117,"")))</f>
        <v/>
      </c>
      <c r="CE117" s="497" t="str">
        <f>IF($X$49="WEEKS","",IF($Z117="Manual Entry hrs/wk","",IF($X$49&gt;'FORMULA REFS'!AY$1,$Z117,"")))</f>
        <v/>
      </c>
      <c r="CF117" s="497" t="str">
        <f>IF($X$49="WEEKS","",IF($Z117="Manual Entry hrs/wk","",IF($X$49&gt;'FORMULA REFS'!AZ$1,$Z117,"")))</f>
        <v/>
      </c>
      <c r="CG117" s="113"/>
      <c r="CH117" s="349" t="str">
        <f t="shared" si="20"/>
        <v/>
      </c>
      <c r="CI117" s="349"/>
      <c r="CJ117" s="349"/>
      <c r="CK117" s="349"/>
      <c r="CL117" s="350"/>
    </row>
    <row r="118" spans="2:90" hidden="1" outlineLevel="2" x14ac:dyDescent="0.3">
      <c r="B118">
        <v>69</v>
      </c>
      <c r="C118" s="346"/>
      <c r="D118" s="495"/>
      <c r="E118" s="346"/>
      <c r="F118" s="346" t="str">
        <f>IFERROR(_xlfn.XLOOKUP(E118,'Standard Rate Cards'!$BB$11:$BB$23,'Standard Rate Cards'!$BA$11:$BA$23),"")</f>
        <v/>
      </c>
      <c r="G118" s="346"/>
      <c r="H118" s="346" t="str">
        <f>IFERROR(_xlfn.XLOOKUP(G118,'Standard Rate Cards'!$AP$8:$AP$142,'Standard Rate Cards'!$AQ$8:$AQ$142),"")</f>
        <v/>
      </c>
      <c r="I118" s="346"/>
      <c r="J118" s="346"/>
      <c r="K118" s="496"/>
      <c r="L118" s="496">
        <f t="shared" si="21"/>
        <v>0</v>
      </c>
      <c r="M118" s="496" t="str" cm="1">
        <f t="array" ref="M118">IF(ISBLANK(D118),"",IF(D118&lt;&gt;"CrederaUS",INDEX('Standard Rate Cards'!$D$9:$D$433,MATCH(1,('Standard Rate Cards'!$B$9:$B$433='2. Pricing &amp; Import'!D118)*('Standard Rate Cards'!$C$9:$C$433='2. Pricing &amp; Import'!K118),0)),INDEX('Standard Rate Cards'!$D$9:$D$433,MATCH(1,('Standard Rate Cards'!$B$9:$B$433='2. Pricing &amp; Import'!D118)*('Standard Rate Cards'!$C$9:$C$433='2. Pricing &amp; Import'!K118)*('Standard Rate Cards'!$H$9:$H$433=L118),0))))</f>
        <v/>
      </c>
      <c r="N118" s="347"/>
      <c r="O118" s="110"/>
      <c r="P118" s="246"/>
      <c r="Q118" s="348"/>
      <c r="R118" s="250"/>
      <c r="S118" s="250"/>
      <c r="T118" s="614"/>
      <c r="U118" s="1637"/>
      <c r="V118" s="1638"/>
      <c r="W118" s="614"/>
      <c r="X118" s="681" t="str">
        <f t="shared" si="22"/>
        <v/>
      </c>
      <c r="Y118" s="682" t="str">
        <f t="shared" si="23"/>
        <v/>
      </c>
      <c r="Z118" s="1630" t="s">
        <v>309</v>
      </c>
      <c r="AA118" s="1631"/>
      <c r="AB118" s="94"/>
      <c r="AC118" s="94"/>
      <c r="AD118" s="94"/>
      <c r="AE118" s="94"/>
      <c r="AF118" s="94"/>
      <c r="AG118" s="497" t="str">
        <f>IF($X$49="WEEKS","",IF($Z118="Manual Entry hrs/wk","",IF($X$49&gt;'FORMULA REFS'!A$1,$Z118,"")))</f>
        <v/>
      </c>
      <c r="AH118" s="497" t="str">
        <f>IF($X$49="WEEKS","",IF($Z118="Manual Entry hrs/wk","",IF($X$49&gt;'FORMULA REFS'!B$1,$Z118,"")))</f>
        <v/>
      </c>
      <c r="AI118" s="497" t="str">
        <f>IF($X$49="WEEKS","",IF($Z118="Manual Entry hrs/wk","",IF($X$49&gt;'FORMULA REFS'!C$1,$Z118,"")))</f>
        <v/>
      </c>
      <c r="AJ118" s="497" t="str">
        <f>IF($X$49="WEEKS","",IF($Z118="Manual Entry hrs/wk","",IF($X$49&gt;'FORMULA REFS'!D$1,$Z118,"")))</f>
        <v/>
      </c>
      <c r="AK118" s="497" t="str">
        <f>IF($X$49="WEEKS","",IF($Z118="Manual Entry hrs/wk","",IF($X$49&gt;'FORMULA REFS'!E$1,$Z118,"")))</f>
        <v/>
      </c>
      <c r="AL118" s="497" t="str">
        <f>IF($X$49="WEEKS","",IF($Z118="Manual Entry hrs/wk","",IF($X$49&gt;'FORMULA REFS'!F$1,$Z118,"")))</f>
        <v/>
      </c>
      <c r="AM118" s="497" t="str">
        <f>IF($X$49="WEEKS","",IF($Z118="Manual Entry hrs/wk","",IF($X$49&gt;'FORMULA REFS'!G$1,$Z118,"")))</f>
        <v/>
      </c>
      <c r="AN118" s="497" t="str">
        <f>IF($X$49="WEEKS","",IF($Z118="Manual Entry hrs/wk","",IF($X$49&gt;'FORMULA REFS'!H$1,$Z118,"")))</f>
        <v/>
      </c>
      <c r="AO118" s="497" t="str">
        <f>IF($X$49="WEEKS","",IF($Z118="Manual Entry hrs/wk","",IF($X$49&gt;'FORMULA REFS'!I$1,$Z118,"")))</f>
        <v/>
      </c>
      <c r="AP118" s="497" t="str">
        <f>IF($X$49="WEEKS","",IF($Z118="Manual Entry hrs/wk","",IF($X$49&gt;'FORMULA REFS'!J$1,$Z118,"")))</f>
        <v/>
      </c>
      <c r="AQ118" s="497" t="str">
        <f>IF($X$49="WEEKS","",IF($Z118="Manual Entry hrs/wk","",IF($X$49&gt;'FORMULA REFS'!K$1,$Z118,"")))</f>
        <v/>
      </c>
      <c r="AR118" s="497" t="str">
        <f>IF($X$49="WEEKS","",IF($Z118="Manual Entry hrs/wk","",IF($X$49&gt;'FORMULA REFS'!L$1,$Z118,"")))</f>
        <v/>
      </c>
      <c r="AS118" s="497" t="str">
        <f>IF($X$49="WEEKS","",IF($Z118="Manual Entry hrs/wk","",IF($X$49&gt;'FORMULA REFS'!M$1,$Z118,"")))</f>
        <v/>
      </c>
      <c r="AT118" s="497" t="str">
        <f>IF($X$49="WEEKS","",IF($Z118="Manual Entry hrs/wk","",IF($X$49&gt;'FORMULA REFS'!N$1,$Z118,"")))</f>
        <v/>
      </c>
      <c r="AU118" s="497" t="str">
        <f>IF($X$49="WEEKS","",IF($Z118="Manual Entry hrs/wk","",IF($X$49&gt;'FORMULA REFS'!O$1,$Z118,"")))</f>
        <v/>
      </c>
      <c r="AV118" s="497" t="str">
        <f>IF($X$49="WEEKS","",IF($Z118="Manual Entry hrs/wk","",IF($X$49&gt;'FORMULA REFS'!P$1,$Z118,"")))</f>
        <v/>
      </c>
      <c r="AW118" s="497" t="str">
        <f>IF($X$49="WEEKS","",IF($Z118="Manual Entry hrs/wk","",IF($X$49&gt;'FORMULA REFS'!Q$1,$Z118,"")))</f>
        <v/>
      </c>
      <c r="AX118" s="497" t="str">
        <f>IF($X$49="WEEKS","",IF($Z118="Manual Entry hrs/wk","",IF($X$49&gt;'FORMULA REFS'!R$1,$Z118,"")))</f>
        <v/>
      </c>
      <c r="AY118" s="497" t="str">
        <f>IF($X$49="WEEKS","",IF($Z118="Manual Entry hrs/wk","",IF($X$49&gt;'FORMULA REFS'!S$1,$Z118,"")))</f>
        <v/>
      </c>
      <c r="AZ118" s="497" t="str">
        <f>IF($X$49="WEEKS","",IF($Z118="Manual Entry hrs/wk","",IF($X$49&gt;'FORMULA REFS'!T$1,$Z118,"")))</f>
        <v/>
      </c>
      <c r="BA118" s="497" t="str">
        <f>IF($X$49="WEEKS","",IF($Z118="Manual Entry hrs/wk","",IF($X$49&gt;'FORMULA REFS'!U$1,$Z118,"")))</f>
        <v/>
      </c>
      <c r="BB118" s="497" t="str">
        <f>IF($X$49="WEEKS","",IF($Z118="Manual Entry hrs/wk","",IF($X$49&gt;'FORMULA REFS'!V$1,$Z118,"")))</f>
        <v/>
      </c>
      <c r="BC118" s="497" t="str">
        <f>IF($X$49="WEEKS","",IF($Z118="Manual Entry hrs/wk","",IF($X$49&gt;'FORMULA REFS'!W$1,$Z118,"")))</f>
        <v/>
      </c>
      <c r="BD118" s="497" t="str">
        <f>IF($X$49="WEEKS","",IF($Z118="Manual Entry hrs/wk","",IF($X$49&gt;'FORMULA REFS'!X$1,$Z118,"")))</f>
        <v/>
      </c>
      <c r="BE118" s="497" t="str">
        <f>IF($X$49="WEEKS","",IF($Z118="Manual Entry hrs/wk","",IF($X$49&gt;'FORMULA REFS'!Y$1,$Z118,"")))</f>
        <v/>
      </c>
      <c r="BF118" s="497" t="str">
        <f>IF($X$49="WEEKS","",IF($Z118="Manual Entry hrs/wk","",IF($X$49&gt;'FORMULA REFS'!Z$1,$Z118,"")))</f>
        <v/>
      </c>
      <c r="BG118" s="497" t="str">
        <f>IF($X$49="WEEKS","",IF($Z118="Manual Entry hrs/wk","",IF($X$49&gt;'FORMULA REFS'!AA$1,$Z118,"")))</f>
        <v/>
      </c>
      <c r="BH118" s="497" t="str">
        <f>IF($X$49="WEEKS","",IF($Z118="Manual Entry hrs/wk","",IF($X$49&gt;'FORMULA REFS'!AB$1,$Z118,"")))</f>
        <v/>
      </c>
      <c r="BI118" s="497" t="str">
        <f>IF($X$49="WEEKS","",IF($Z118="Manual Entry hrs/wk","",IF($X$49&gt;'FORMULA REFS'!AC$1,$Z118,"")))</f>
        <v/>
      </c>
      <c r="BJ118" s="497" t="str">
        <f>IF($X$49="WEEKS","",IF($Z118="Manual Entry hrs/wk","",IF($X$49&gt;'FORMULA REFS'!AD$1,$Z118,"")))</f>
        <v/>
      </c>
      <c r="BK118" s="497" t="str">
        <f>IF($X$49="WEEKS","",IF($Z118="Manual Entry hrs/wk","",IF($X$49&gt;'FORMULA REFS'!AE$1,$Z118,"")))</f>
        <v/>
      </c>
      <c r="BL118" s="497" t="str">
        <f>IF($X$49="WEEKS","",IF($Z118="Manual Entry hrs/wk","",IF($X$49&gt;'FORMULA REFS'!AF$1,$Z118,"")))</f>
        <v/>
      </c>
      <c r="BM118" s="497" t="str">
        <f>IF($X$49="WEEKS","",IF($Z118="Manual Entry hrs/wk","",IF($X$49&gt;'FORMULA REFS'!AG$1,$Z118,"")))</f>
        <v/>
      </c>
      <c r="BN118" s="497" t="str">
        <f>IF($X$49="WEEKS","",IF($Z118="Manual Entry hrs/wk","",IF($X$49&gt;'FORMULA REFS'!AH$1,$Z118,"")))</f>
        <v/>
      </c>
      <c r="BO118" s="497" t="str">
        <f>IF($X$49="WEEKS","",IF($Z118="Manual Entry hrs/wk","",IF($X$49&gt;'FORMULA REFS'!AI$1,$Z118,"")))</f>
        <v/>
      </c>
      <c r="BP118" s="497" t="str">
        <f>IF($X$49="WEEKS","",IF($Z118="Manual Entry hrs/wk","",IF($X$49&gt;'FORMULA REFS'!AJ$1,$Z118,"")))</f>
        <v/>
      </c>
      <c r="BQ118" s="497" t="str">
        <f>IF($X$49="WEEKS","",IF($Z118="Manual Entry hrs/wk","",IF($X$49&gt;'FORMULA REFS'!AK$1,$Z118,"")))</f>
        <v/>
      </c>
      <c r="BR118" s="497" t="str">
        <f>IF($X$49="WEEKS","",IF($Z118="Manual Entry hrs/wk","",IF($X$49&gt;'FORMULA REFS'!AL$1,$Z118,"")))</f>
        <v/>
      </c>
      <c r="BS118" s="497" t="str">
        <f>IF($X$49="WEEKS","",IF($Z118="Manual Entry hrs/wk","",IF($X$49&gt;'FORMULA REFS'!AM$1,$Z118,"")))</f>
        <v/>
      </c>
      <c r="BT118" s="497" t="str">
        <f>IF($X$49="WEEKS","",IF($Z118="Manual Entry hrs/wk","",IF($X$49&gt;'FORMULA REFS'!AN$1,$Z118,"")))</f>
        <v/>
      </c>
      <c r="BU118" s="497" t="str">
        <f>IF($X$49="WEEKS","",IF($Z118="Manual Entry hrs/wk","",IF($X$49&gt;'FORMULA REFS'!AO$1,$Z118,"")))</f>
        <v/>
      </c>
      <c r="BV118" s="497" t="str">
        <f>IF($X$49="WEEKS","",IF($Z118="Manual Entry hrs/wk","",IF($X$49&gt;'FORMULA REFS'!AP$1,$Z118,"")))</f>
        <v/>
      </c>
      <c r="BW118" s="497" t="str">
        <f>IF($X$49="WEEKS","",IF($Z118="Manual Entry hrs/wk","",IF($X$49&gt;'FORMULA REFS'!AQ$1,$Z118,"")))</f>
        <v/>
      </c>
      <c r="BX118" s="497" t="str">
        <f>IF($X$49="WEEKS","",IF($Z118="Manual Entry hrs/wk","",IF($X$49&gt;'FORMULA REFS'!AR$1,$Z118,"")))</f>
        <v/>
      </c>
      <c r="BY118" s="497" t="str">
        <f>IF($X$49="WEEKS","",IF($Z118="Manual Entry hrs/wk","",IF($X$49&gt;'FORMULA REFS'!AS$1,$Z118,"")))</f>
        <v/>
      </c>
      <c r="BZ118" s="497" t="str">
        <f>IF($X$49="WEEKS","",IF($Z118="Manual Entry hrs/wk","",IF($X$49&gt;'FORMULA REFS'!AT$1,$Z118,"")))</f>
        <v/>
      </c>
      <c r="CA118" s="497" t="str">
        <f>IF($X$49="WEEKS","",IF($Z118="Manual Entry hrs/wk","",IF($X$49&gt;'FORMULA REFS'!AU$1,$Z118,"")))</f>
        <v/>
      </c>
      <c r="CB118" s="497" t="str">
        <f>IF($X$49="WEEKS","",IF($Z118="Manual Entry hrs/wk","",IF($X$49&gt;'FORMULA REFS'!AV$1,$Z118,"")))</f>
        <v/>
      </c>
      <c r="CC118" s="497" t="str">
        <f>IF($X$49="WEEKS","",IF($Z118="Manual Entry hrs/wk","",IF($X$49&gt;'FORMULA REFS'!AW$1,$Z118,"")))</f>
        <v/>
      </c>
      <c r="CD118" s="497" t="str">
        <f>IF($X$49="WEEKS","",IF($Z118="Manual Entry hrs/wk","",IF($X$49&gt;'FORMULA REFS'!AX$1,$Z118,"")))</f>
        <v/>
      </c>
      <c r="CE118" s="497" t="str">
        <f>IF($X$49="WEEKS","",IF($Z118="Manual Entry hrs/wk","",IF($X$49&gt;'FORMULA REFS'!AY$1,$Z118,"")))</f>
        <v/>
      </c>
      <c r="CF118" s="497" t="str">
        <f>IF($X$49="WEEKS","",IF($Z118="Manual Entry hrs/wk","",IF($X$49&gt;'FORMULA REFS'!AZ$1,$Z118,"")))</f>
        <v/>
      </c>
      <c r="CG118" s="113"/>
      <c r="CH118" s="349" t="str">
        <f t="shared" si="20"/>
        <v/>
      </c>
      <c r="CI118" s="349"/>
      <c r="CJ118" s="349"/>
      <c r="CK118" s="349"/>
      <c r="CL118" s="350"/>
    </row>
    <row r="119" spans="2:90" hidden="1" outlineLevel="2" x14ac:dyDescent="0.3">
      <c r="B119">
        <v>70</v>
      </c>
      <c r="C119" s="346"/>
      <c r="D119" s="495"/>
      <c r="E119" s="346"/>
      <c r="F119" s="346" t="str">
        <f>IFERROR(_xlfn.XLOOKUP(E119,'Standard Rate Cards'!$BB$11:$BB$23,'Standard Rate Cards'!$BA$11:$BA$23),"")</f>
        <v/>
      </c>
      <c r="G119" s="346"/>
      <c r="H119" s="346" t="str">
        <f>IFERROR(_xlfn.XLOOKUP(G119,'Standard Rate Cards'!$AP$8:$AP$142,'Standard Rate Cards'!$AQ$8:$AQ$142),"")</f>
        <v/>
      </c>
      <c r="I119" s="346"/>
      <c r="J119" s="346"/>
      <c r="K119" s="496"/>
      <c r="L119" s="496">
        <f t="shared" si="21"/>
        <v>0</v>
      </c>
      <c r="M119" s="496" t="str" cm="1">
        <f t="array" ref="M119">IF(ISBLANK(D119),"",IF(D119&lt;&gt;"CrederaUS",INDEX('Standard Rate Cards'!$D$9:$D$433,MATCH(1,('Standard Rate Cards'!$B$9:$B$433='2. Pricing &amp; Import'!D119)*('Standard Rate Cards'!$C$9:$C$433='2. Pricing &amp; Import'!K119),0)),INDEX('Standard Rate Cards'!$D$9:$D$433,MATCH(1,('Standard Rate Cards'!$B$9:$B$433='2. Pricing &amp; Import'!D119)*('Standard Rate Cards'!$C$9:$C$433='2. Pricing &amp; Import'!K119)*('Standard Rate Cards'!$H$9:$H$433=L119),0))))</f>
        <v/>
      </c>
      <c r="N119" s="347"/>
      <c r="O119" s="110"/>
      <c r="P119" s="246"/>
      <c r="Q119" s="348"/>
      <c r="R119" s="250"/>
      <c r="S119" s="250"/>
      <c r="T119" s="614"/>
      <c r="U119" s="1637"/>
      <c r="V119" s="1638"/>
      <c r="W119" s="614"/>
      <c r="X119" s="681" t="str">
        <f t="shared" si="22"/>
        <v/>
      </c>
      <c r="Y119" s="682" t="str">
        <f t="shared" si="23"/>
        <v/>
      </c>
      <c r="Z119" s="1630" t="s">
        <v>309</v>
      </c>
      <c r="AA119" s="1631"/>
      <c r="AB119" s="94"/>
      <c r="AC119" s="94"/>
      <c r="AD119" s="94"/>
      <c r="AE119" s="94"/>
      <c r="AF119" s="94"/>
      <c r="AG119" s="497" t="str">
        <f>IF($X$49="WEEKS","",IF($Z119="Manual Entry hrs/wk","",IF($X$49&gt;'FORMULA REFS'!A$1,$Z119,"")))</f>
        <v/>
      </c>
      <c r="AH119" s="497" t="str">
        <f>IF($X$49="WEEKS","",IF($Z119="Manual Entry hrs/wk","",IF($X$49&gt;'FORMULA REFS'!B$1,$Z119,"")))</f>
        <v/>
      </c>
      <c r="AI119" s="497" t="str">
        <f>IF($X$49="WEEKS","",IF($Z119="Manual Entry hrs/wk","",IF($X$49&gt;'FORMULA REFS'!C$1,$Z119,"")))</f>
        <v/>
      </c>
      <c r="AJ119" s="497" t="str">
        <f>IF($X$49="WEEKS","",IF($Z119="Manual Entry hrs/wk","",IF($X$49&gt;'FORMULA REFS'!D$1,$Z119,"")))</f>
        <v/>
      </c>
      <c r="AK119" s="497" t="str">
        <f>IF($X$49="WEEKS","",IF($Z119="Manual Entry hrs/wk","",IF($X$49&gt;'FORMULA REFS'!E$1,$Z119,"")))</f>
        <v/>
      </c>
      <c r="AL119" s="497" t="str">
        <f>IF($X$49="WEEKS","",IF($Z119="Manual Entry hrs/wk","",IF($X$49&gt;'FORMULA REFS'!F$1,$Z119,"")))</f>
        <v/>
      </c>
      <c r="AM119" s="497" t="str">
        <f>IF($X$49="WEEKS","",IF($Z119="Manual Entry hrs/wk","",IF($X$49&gt;'FORMULA REFS'!G$1,$Z119,"")))</f>
        <v/>
      </c>
      <c r="AN119" s="497" t="str">
        <f>IF($X$49="WEEKS","",IF($Z119="Manual Entry hrs/wk","",IF($X$49&gt;'FORMULA REFS'!H$1,$Z119,"")))</f>
        <v/>
      </c>
      <c r="AO119" s="497" t="str">
        <f>IF($X$49="WEEKS","",IF($Z119="Manual Entry hrs/wk","",IF($X$49&gt;'FORMULA REFS'!I$1,$Z119,"")))</f>
        <v/>
      </c>
      <c r="AP119" s="497" t="str">
        <f>IF($X$49="WEEKS","",IF($Z119="Manual Entry hrs/wk","",IF($X$49&gt;'FORMULA REFS'!J$1,$Z119,"")))</f>
        <v/>
      </c>
      <c r="AQ119" s="497" t="str">
        <f>IF($X$49="WEEKS","",IF($Z119="Manual Entry hrs/wk","",IF($X$49&gt;'FORMULA REFS'!K$1,$Z119,"")))</f>
        <v/>
      </c>
      <c r="AR119" s="497" t="str">
        <f>IF($X$49="WEEKS","",IF($Z119="Manual Entry hrs/wk","",IF($X$49&gt;'FORMULA REFS'!L$1,$Z119,"")))</f>
        <v/>
      </c>
      <c r="AS119" s="497" t="str">
        <f>IF($X$49="WEEKS","",IF($Z119="Manual Entry hrs/wk","",IF($X$49&gt;'FORMULA REFS'!M$1,$Z119,"")))</f>
        <v/>
      </c>
      <c r="AT119" s="497" t="str">
        <f>IF($X$49="WEEKS","",IF($Z119="Manual Entry hrs/wk","",IF($X$49&gt;'FORMULA REFS'!N$1,$Z119,"")))</f>
        <v/>
      </c>
      <c r="AU119" s="497" t="str">
        <f>IF($X$49="WEEKS","",IF($Z119="Manual Entry hrs/wk","",IF($X$49&gt;'FORMULA REFS'!O$1,$Z119,"")))</f>
        <v/>
      </c>
      <c r="AV119" s="497" t="str">
        <f>IF($X$49="WEEKS","",IF($Z119="Manual Entry hrs/wk","",IF($X$49&gt;'FORMULA REFS'!P$1,$Z119,"")))</f>
        <v/>
      </c>
      <c r="AW119" s="497" t="str">
        <f>IF($X$49="WEEKS","",IF($Z119="Manual Entry hrs/wk","",IF($X$49&gt;'FORMULA REFS'!Q$1,$Z119,"")))</f>
        <v/>
      </c>
      <c r="AX119" s="497" t="str">
        <f>IF($X$49="WEEKS","",IF($Z119="Manual Entry hrs/wk","",IF($X$49&gt;'FORMULA REFS'!R$1,$Z119,"")))</f>
        <v/>
      </c>
      <c r="AY119" s="497" t="str">
        <f>IF($X$49="WEEKS","",IF($Z119="Manual Entry hrs/wk","",IF($X$49&gt;'FORMULA REFS'!S$1,$Z119,"")))</f>
        <v/>
      </c>
      <c r="AZ119" s="497" t="str">
        <f>IF($X$49="WEEKS","",IF($Z119="Manual Entry hrs/wk","",IF($X$49&gt;'FORMULA REFS'!T$1,$Z119,"")))</f>
        <v/>
      </c>
      <c r="BA119" s="497" t="str">
        <f>IF($X$49="WEEKS","",IF($Z119="Manual Entry hrs/wk","",IF($X$49&gt;'FORMULA REFS'!U$1,$Z119,"")))</f>
        <v/>
      </c>
      <c r="BB119" s="497" t="str">
        <f>IF($X$49="WEEKS","",IF($Z119="Manual Entry hrs/wk","",IF($X$49&gt;'FORMULA REFS'!V$1,$Z119,"")))</f>
        <v/>
      </c>
      <c r="BC119" s="497" t="str">
        <f>IF($X$49="WEEKS","",IF($Z119="Manual Entry hrs/wk","",IF($X$49&gt;'FORMULA REFS'!W$1,$Z119,"")))</f>
        <v/>
      </c>
      <c r="BD119" s="497" t="str">
        <f>IF($X$49="WEEKS","",IF($Z119="Manual Entry hrs/wk","",IF($X$49&gt;'FORMULA REFS'!X$1,$Z119,"")))</f>
        <v/>
      </c>
      <c r="BE119" s="497" t="str">
        <f>IF($X$49="WEEKS","",IF($Z119="Manual Entry hrs/wk","",IF($X$49&gt;'FORMULA REFS'!Y$1,$Z119,"")))</f>
        <v/>
      </c>
      <c r="BF119" s="497" t="str">
        <f>IF($X$49="WEEKS","",IF($Z119="Manual Entry hrs/wk","",IF($X$49&gt;'FORMULA REFS'!Z$1,$Z119,"")))</f>
        <v/>
      </c>
      <c r="BG119" s="497" t="str">
        <f>IF($X$49="WEEKS","",IF($Z119="Manual Entry hrs/wk","",IF($X$49&gt;'FORMULA REFS'!AA$1,$Z119,"")))</f>
        <v/>
      </c>
      <c r="BH119" s="497" t="str">
        <f>IF($X$49="WEEKS","",IF($Z119="Manual Entry hrs/wk","",IF($X$49&gt;'FORMULA REFS'!AB$1,$Z119,"")))</f>
        <v/>
      </c>
      <c r="BI119" s="497" t="str">
        <f>IF($X$49="WEEKS","",IF($Z119="Manual Entry hrs/wk","",IF($X$49&gt;'FORMULA REFS'!AC$1,$Z119,"")))</f>
        <v/>
      </c>
      <c r="BJ119" s="497" t="str">
        <f>IF($X$49="WEEKS","",IF($Z119="Manual Entry hrs/wk","",IF($X$49&gt;'FORMULA REFS'!AD$1,$Z119,"")))</f>
        <v/>
      </c>
      <c r="BK119" s="497" t="str">
        <f>IF($X$49="WEEKS","",IF($Z119="Manual Entry hrs/wk","",IF($X$49&gt;'FORMULA REFS'!AE$1,$Z119,"")))</f>
        <v/>
      </c>
      <c r="BL119" s="497" t="str">
        <f>IF($X$49="WEEKS","",IF($Z119="Manual Entry hrs/wk","",IF($X$49&gt;'FORMULA REFS'!AF$1,$Z119,"")))</f>
        <v/>
      </c>
      <c r="BM119" s="497" t="str">
        <f>IF($X$49="WEEKS","",IF($Z119="Manual Entry hrs/wk","",IF($X$49&gt;'FORMULA REFS'!AG$1,$Z119,"")))</f>
        <v/>
      </c>
      <c r="BN119" s="497" t="str">
        <f>IF($X$49="WEEKS","",IF($Z119="Manual Entry hrs/wk","",IF($X$49&gt;'FORMULA REFS'!AH$1,$Z119,"")))</f>
        <v/>
      </c>
      <c r="BO119" s="497" t="str">
        <f>IF($X$49="WEEKS","",IF($Z119="Manual Entry hrs/wk","",IF($X$49&gt;'FORMULA REFS'!AI$1,$Z119,"")))</f>
        <v/>
      </c>
      <c r="BP119" s="497" t="str">
        <f>IF($X$49="WEEKS","",IF($Z119="Manual Entry hrs/wk","",IF($X$49&gt;'FORMULA REFS'!AJ$1,$Z119,"")))</f>
        <v/>
      </c>
      <c r="BQ119" s="497" t="str">
        <f>IF($X$49="WEEKS","",IF($Z119="Manual Entry hrs/wk","",IF($X$49&gt;'FORMULA REFS'!AK$1,$Z119,"")))</f>
        <v/>
      </c>
      <c r="BR119" s="497" t="str">
        <f>IF($X$49="WEEKS","",IF($Z119="Manual Entry hrs/wk","",IF($X$49&gt;'FORMULA REFS'!AL$1,$Z119,"")))</f>
        <v/>
      </c>
      <c r="BS119" s="497" t="str">
        <f>IF($X$49="WEEKS","",IF($Z119="Manual Entry hrs/wk","",IF($X$49&gt;'FORMULA REFS'!AM$1,$Z119,"")))</f>
        <v/>
      </c>
      <c r="BT119" s="497" t="str">
        <f>IF($X$49="WEEKS","",IF($Z119="Manual Entry hrs/wk","",IF($X$49&gt;'FORMULA REFS'!AN$1,$Z119,"")))</f>
        <v/>
      </c>
      <c r="BU119" s="497" t="str">
        <f>IF($X$49="WEEKS","",IF($Z119="Manual Entry hrs/wk","",IF($X$49&gt;'FORMULA REFS'!AO$1,$Z119,"")))</f>
        <v/>
      </c>
      <c r="BV119" s="497" t="str">
        <f>IF($X$49="WEEKS","",IF($Z119="Manual Entry hrs/wk","",IF($X$49&gt;'FORMULA REFS'!AP$1,$Z119,"")))</f>
        <v/>
      </c>
      <c r="BW119" s="497" t="str">
        <f>IF($X$49="WEEKS","",IF($Z119="Manual Entry hrs/wk","",IF($X$49&gt;'FORMULA REFS'!AQ$1,$Z119,"")))</f>
        <v/>
      </c>
      <c r="BX119" s="497" t="str">
        <f>IF($X$49="WEEKS","",IF($Z119="Manual Entry hrs/wk","",IF($X$49&gt;'FORMULA REFS'!AR$1,$Z119,"")))</f>
        <v/>
      </c>
      <c r="BY119" s="497" t="str">
        <f>IF($X$49="WEEKS","",IF($Z119="Manual Entry hrs/wk","",IF($X$49&gt;'FORMULA REFS'!AS$1,$Z119,"")))</f>
        <v/>
      </c>
      <c r="BZ119" s="497" t="str">
        <f>IF($X$49="WEEKS","",IF($Z119="Manual Entry hrs/wk","",IF($X$49&gt;'FORMULA REFS'!AT$1,$Z119,"")))</f>
        <v/>
      </c>
      <c r="CA119" s="497" t="str">
        <f>IF($X$49="WEEKS","",IF($Z119="Manual Entry hrs/wk","",IF($X$49&gt;'FORMULA REFS'!AU$1,$Z119,"")))</f>
        <v/>
      </c>
      <c r="CB119" s="497" t="str">
        <f>IF($X$49="WEEKS","",IF($Z119="Manual Entry hrs/wk","",IF($X$49&gt;'FORMULA REFS'!AV$1,$Z119,"")))</f>
        <v/>
      </c>
      <c r="CC119" s="497" t="str">
        <f>IF($X$49="WEEKS","",IF($Z119="Manual Entry hrs/wk","",IF($X$49&gt;'FORMULA REFS'!AW$1,$Z119,"")))</f>
        <v/>
      </c>
      <c r="CD119" s="497" t="str">
        <f>IF($X$49="WEEKS","",IF($Z119="Manual Entry hrs/wk","",IF($X$49&gt;'FORMULA REFS'!AX$1,$Z119,"")))</f>
        <v/>
      </c>
      <c r="CE119" s="497" t="str">
        <f>IF($X$49="WEEKS","",IF($Z119="Manual Entry hrs/wk","",IF($X$49&gt;'FORMULA REFS'!AY$1,$Z119,"")))</f>
        <v/>
      </c>
      <c r="CF119" s="497" t="str">
        <f>IF($X$49="WEEKS","",IF($Z119="Manual Entry hrs/wk","",IF($X$49&gt;'FORMULA REFS'!AZ$1,$Z119,"")))</f>
        <v/>
      </c>
      <c r="CG119" s="113"/>
      <c r="CH119" s="349" t="str">
        <f t="shared" si="20"/>
        <v/>
      </c>
      <c r="CI119" s="349"/>
      <c r="CJ119" s="349"/>
      <c r="CK119" s="349"/>
      <c r="CL119" s="350"/>
    </row>
    <row r="120" spans="2:90" hidden="1" outlineLevel="2" x14ac:dyDescent="0.3">
      <c r="B120">
        <v>71</v>
      </c>
      <c r="C120" s="346"/>
      <c r="D120" s="495"/>
      <c r="E120" s="346"/>
      <c r="F120" s="346" t="str">
        <f>IFERROR(_xlfn.XLOOKUP(E120,'Standard Rate Cards'!$BB$11:$BB$23,'Standard Rate Cards'!$BA$11:$BA$23),"")</f>
        <v/>
      </c>
      <c r="G120" s="346"/>
      <c r="H120" s="346" t="str">
        <f>IFERROR(_xlfn.XLOOKUP(G120,'Standard Rate Cards'!$AP$8:$AP$142,'Standard Rate Cards'!$AQ$8:$AQ$142),"")</f>
        <v/>
      </c>
      <c r="I120" s="346"/>
      <c r="J120" s="346"/>
      <c r="K120" s="496"/>
      <c r="L120" s="496">
        <f t="shared" si="21"/>
        <v>0</v>
      </c>
      <c r="M120" s="496" t="str" cm="1">
        <f t="array" ref="M120">IF(ISBLANK(D120),"",IF(D120&lt;&gt;"CrederaUS",INDEX('Standard Rate Cards'!$D$9:$D$433,MATCH(1,('Standard Rate Cards'!$B$9:$B$433='2. Pricing &amp; Import'!D120)*('Standard Rate Cards'!$C$9:$C$433='2. Pricing &amp; Import'!K120),0)),INDEX('Standard Rate Cards'!$D$9:$D$433,MATCH(1,('Standard Rate Cards'!$B$9:$B$433='2. Pricing &amp; Import'!D120)*('Standard Rate Cards'!$C$9:$C$433='2. Pricing &amp; Import'!K120)*('Standard Rate Cards'!$H$9:$H$433=L120),0))))</f>
        <v/>
      </c>
      <c r="N120" s="347"/>
      <c r="O120" s="110"/>
      <c r="P120" s="246"/>
      <c r="Q120" s="348"/>
      <c r="R120" s="250"/>
      <c r="S120" s="250"/>
      <c r="T120" s="614"/>
      <c r="U120" s="1637"/>
      <c r="V120" s="1638"/>
      <c r="W120" s="614"/>
      <c r="X120" s="681" t="str">
        <f t="shared" si="22"/>
        <v/>
      </c>
      <c r="Y120" s="682" t="str">
        <f t="shared" si="23"/>
        <v/>
      </c>
      <c r="Z120" s="1630" t="s">
        <v>309</v>
      </c>
      <c r="AA120" s="1631"/>
      <c r="AB120" s="94"/>
      <c r="AC120" s="94"/>
      <c r="AD120" s="94"/>
      <c r="AE120" s="94"/>
      <c r="AF120" s="94"/>
      <c r="AG120" s="497" t="str">
        <f>IF($X$49="WEEKS","",IF($Z120="Manual Entry hrs/wk","",IF($X$49&gt;'FORMULA REFS'!A$1,$Z120,"")))</f>
        <v/>
      </c>
      <c r="AH120" s="497" t="str">
        <f>IF($X$49="WEEKS","",IF($Z120="Manual Entry hrs/wk","",IF($X$49&gt;'FORMULA REFS'!B$1,$Z120,"")))</f>
        <v/>
      </c>
      <c r="AI120" s="497" t="str">
        <f>IF($X$49="WEEKS","",IF($Z120="Manual Entry hrs/wk","",IF($X$49&gt;'FORMULA REFS'!C$1,$Z120,"")))</f>
        <v/>
      </c>
      <c r="AJ120" s="497" t="str">
        <f>IF($X$49="WEEKS","",IF($Z120="Manual Entry hrs/wk","",IF($X$49&gt;'FORMULA REFS'!D$1,$Z120,"")))</f>
        <v/>
      </c>
      <c r="AK120" s="497" t="str">
        <f>IF($X$49="WEEKS","",IF($Z120="Manual Entry hrs/wk","",IF($X$49&gt;'FORMULA REFS'!E$1,$Z120,"")))</f>
        <v/>
      </c>
      <c r="AL120" s="497" t="str">
        <f>IF($X$49="WEEKS","",IF($Z120="Manual Entry hrs/wk","",IF($X$49&gt;'FORMULA REFS'!F$1,$Z120,"")))</f>
        <v/>
      </c>
      <c r="AM120" s="497" t="str">
        <f>IF($X$49="WEEKS","",IF($Z120="Manual Entry hrs/wk","",IF($X$49&gt;'FORMULA REFS'!G$1,$Z120,"")))</f>
        <v/>
      </c>
      <c r="AN120" s="497" t="str">
        <f>IF($X$49="WEEKS","",IF($Z120="Manual Entry hrs/wk","",IF($X$49&gt;'FORMULA REFS'!H$1,$Z120,"")))</f>
        <v/>
      </c>
      <c r="AO120" s="497" t="str">
        <f>IF($X$49="WEEKS","",IF($Z120="Manual Entry hrs/wk","",IF($X$49&gt;'FORMULA REFS'!I$1,$Z120,"")))</f>
        <v/>
      </c>
      <c r="AP120" s="497" t="str">
        <f>IF($X$49="WEEKS","",IF($Z120="Manual Entry hrs/wk","",IF($X$49&gt;'FORMULA REFS'!J$1,$Z120,"")))</f>
        <v/>
      </c>
      <c r="AQ120" s="497" t="str">
        <f>IF($X$49="WEEKS","",IF($Z120="Manual Entry hrs/wk","",IF($X$49&gt;'FORMULA REFS'!K$1,$Z120,"")))</f>
        <v/>
      </c>
      <c r="AR120" s="497" t="str">
        <f>IF($X$49="WEEKS","",IF($Z120="Manual Entry hrs/wk","",IF($X$49&gt;'FORMULA REFS'!L$1,$Z120,"")))</f>
        <v/>
      </c>
      <c r="AS120" s="497" t="str">
        <f>IF($X$49="WEEKS","",IF($Z120="Manual Entry hrs/wk","",IF($X$49&gt;'FORMULA REFS'!M$1,$Z120,"")))</f>
        <v/>
      </c>
      <c r="AT120" s="497" t="str">
        <f>IF($X$49="WEEKS","",IF($Z120="Manual Entry hrs/wk","",IF($X$49&gt;'FORMULA REFS'!N$1,$Z120,"")))</f>
        <v/>
      </c>
      <c r="AU120" s="497" t="str">
        <f>IF($X$49="WEEKS","",IF($Z120="Manual Entry hrs/wk","",IF($X$49&gt;'FORMULA REFS'!O$1,$Z120,"")))</f>
        <v/>
      </c>
      <c r="AV120" s="497" t="str">
        <f>IF($X$49="WEEKS","",IF($Z120="Manual Entry hrs/wk","",IF($X$49&gt;'FORMULA REFS'!P$1,$Z120,"")))</f>
        <v/>
      </c>
      <c r="AW120" s="497" t="str">
        <f>IF($X$49="WEEKS","",IF($Z120="Manual Entry hrs/wk","",IF($X$49&gt;'FORMULA REFS'!Q$1,$Z120,"")))</f>
        <v/>
      </c>
      <c r="AX120" s="497" t="str">
        <f>IF($X$49="WEEKS","",IF($Z120="Manual Entry hrs/wk","",IF($X$49&gt;'FORMULA REFS'!R$1,$Z120,"")))</f>
        <v/>
      </c>
      <c r="AY120" s="497" t="str">
        <f>IF($X$49="WEEKS","",IF($Z120="Manual Entry hrs/wk","",IF($X$49&gt;'FORMULA REFS'!S$1,$Z120,"")))</f>
        <v/>
      </c>
      <c r="AZ120" s="497" t="str">
        <f>IF($X$49="WEEKS","",IF($Z120="Manual Entry hrs/wk","",IF($X$49&gt;'FORMULA REFS'!T$1,$Z120,"")))</f>
        <v/>
      </c>
      <c r="BA120" s="497" t="str">
        <f>IF($X$49="WEEKS","",IF($Z120="Manual Entry hrs/wk","",IF($X$49&gt;'FORMULA REFS'!U$1,$Z120,"")))</f>
        <v/>
      </c>
      <c r="BB120" s="497" t="str">
        <f>IF($X$49="WEEKS","",IF($Z120="Manual Entry hrs/wk","",IF($X$49&gt;'FORMULA REFS'!V$1,$Z120,"")))</f>
        <v/>
      </c>
      <c r="BC120" s="497" t="str">
        <f>IF($X$49="WEEKS","",IF($Z120="Manual Entry hrs/wk","",IF($X$49&gt;'FORMULA REFS'!W$1,$Z120,"")))</f>
        <v/>
      </c>
      <c r="BD120" s="497" t="str">
        <f>IF($X$49="WEEKS","",IF($Z120="Manual Entry hrs/wk","",IF($X$49&gt;'FORMULA REFS'!X$1,$Z120,"")))</f>
        <v/>
      </c>
      <c r="BE120" s="497" t="str">
        <f>IF($X$49="WEEKS","",IF($Z120="Manual Entry hrs/wk","",IF($X$49&gt;'FORMULA REFS'!Y$1,$Z120,"")))</f>
        <v/>
      </c>
      <c r="BF120" s="497" t="str">
        <f>IF($X$49="WEEKS","",IF($Z120="Manual Entry hrs/wk","",IF($X$49&gt;'FORMULA REFS'!Z$1,$Z120,"")))</f>
        <v/>
      </c>
      <c r="BG120" s="497" t="str">
        <f>IF($X$49="WEEKS","",IF($Z120="Manual Entry hrs/wk","",IF($X$49&gt;'FORMULA REFS'!AA$1,$Z120,"")))</f>
        <v/>
      </c>
      <c r="BH120" s="497" t="str">
        <f>IF($X$49="WEEKS","",IF($Z120="Manual Entry hrs/wk","",IF($X$49&gt;'FORMULA REFS'!AB$1,$Z120,"")))</f>
        <v/>
      </c>
      <c r="BI120" s="497" t="str">
        <f>IF($X$49="WEEKS","",IF($Z120="Manual Entry hrs/wk","",IF($X$49&gt;'FORMULA REFS'!AC$1,$Z120,"")))</f>
        <v/>
      </c>
      <c r="BJ120" s="497" t="str">
        <f>IF($X$49="WEEKS","",IF($Z120="Manual Entry hrs/wk","",IF($X$49&gt;'FORMULA REFS'!AD$1,$Z120,"")))</f>
        <v/>
      </c>
      <c r="BK120" s="497" t="str">
        <f>IF($X$49="WEEKS","",IF($Z120="Manual Entry hrs/wk","",IF($X$49&gt;'FORMULA REFS'!AE$1,$Z120,"")))</f>
        <v/>
      </c>
      <c r="BL120" s="497" t="str">
        <f>IF($X$49="WEEKS","",IF($Z120="Manual Entry hrs/wk","",IF($X$49&gt;'FORMULA REFS'!AF$1,$Z120,"")))</f>
        <v/>
      </c>
      <c r="BM120" s="497" t="str">
        <f>IF($X$49="WEEKS","",IF($Z120="Manual Entry hrs/wk","",IF($X$49&gt;'FORMULA REFS'!AG$1,$Z120,"")))</f>
        <v/>
      </c>
      <c r="BN120" s="497" t="str">
        <f>IF($X$49="WEEKS","",IF($Z120="Manual Entry hrs/wk","",IF($X$49&gt;'FORMULA REFS'!AH$1,$Z120,"")))</f>
        <v/>
      </c>
      <c r="BO120" s="497" t="str">
        <f>IF($X$49="WEEKS","",IF($Z120="Manual Entry hrs/wk","",IF($X$49&gt;'FORMULA REFS'!AI$1,$Z120,"")))</f>
        <v/>
      </c>
      <c r="BP120" s="497" t="str">
        <f>IF($X$49="WEEKS","",IF($Z120="Manual Entry hrs/wk","",IF($X$49&gt;'FORMULA REFS'!AJ$1,$Z120,"")))</f>
        <v/>
      </c>
      <c r="BQ120" s="497" t="str">
        <f>IF($X$49="WEEKS","",IF($Z120="Manual Entry hrs/wk","",IF($X$49&gt;'FORMULA REFS'!AK$1,$Z120,"")))</f>
        <v/>
      </c>
      <c r="BR120" s="497" t="str">
        <f>IF($X$49="WEEKS","",IF($Z120="Manual Entry hrs/wk","",IF($X$49&gt;'FORMULA REFS'!AL$1,$Z120,"")))</f>
        <v/>
      </c>
      <c r="BS120" s="497" t="str">
        <f>IF($X$49="WEEKS","",IF($Z120="Manual Entry hrs/wk","",IF($X$49&gt;'FORMULA REFS'!AM$1,$Z120,"")))</f>
        <v/>
      </c>
      <c r="BT120" s="497" t="str">
        <f>IF($X$49="WEEKS","",IF($Z120="Manual Entry hrs/wk","",IF($X$49&gt;'FORMULA REFS'!AN$1,$Z120,"")))</f>
        <v/>
      </c>
      <c r="BU120" s="497" t="str">
        <f>IF($X$49="WEEKS","",IF($Z120="Manual Entry hrs/wk","",IF($X$49&gt;'FORMULA REFS'!AO$1,$Z120,"")))</f>
        <v/>
      </c>
      <c r="BV120" s="497" t="str">
        <f>IF($X$49="WEEKS","",IF($Z120="Manual Entry hrs/wk","",IF($X$49&gt;'FORMULA REFS'!AP$1,$Z120,"")))</f>
        <v/>
      </c>
      <c r="BW120" s="497" t="str">
        <f>IF($X$49="WEEKS","",IF($Z120="Manual Entry hrs/wk","",IF($X$49&gt;'FORMULA REFS'!AQ$1,$Z120,"")))</f>
        <v/>
      </c>
      <c r="BX120" s="497" t="str">
        <f>IF($X$49="WEEKS","",IF($Z120="Manual Entry hrs/wk","",IF($X$49&gt;'FORMULA REFS'!AR$1,$Z120,"")))</f>
        <v/>
      </c>
      <c r="BY120" s="497" t="str">
        <f>IF($X$49="WEEKS","",IF($Z120="Manual Entry hrs/wk","",IF($X$49&gt;'FORMULA REFS'!AS$1,$Z120,"")))</f>
        <v/>
      </c>
      <c r="BZ120" s="497" t="str">
        <f>IF($X$49="WEEKS","",IF($Z120="Manual Entry hrs/wk","",IF($X$49&gt;'FORMULA REFS'!AT$1,$Z120,"")))</f>
        <v/>
      </c>
      <c r="CA120" s="497" t="str">
        <f>IF($X$49="WEEKS","",IF($Z120="Manual Entry hrs/wk","",IF($X$49&gt;'FORMULA REFS'!AU$1,$Z120,"")))</f>
        <v/>
      </c>
      <c r="CB120" s="497" t="str">
        <f>IF($X$49="WEEKS","",IF($Z120="Manual Entry hrs/wk","",IF($X$49&gt;'FORMULA REFS'!AV$1,$Z120,"")))</f>
        <v/>
      </c>
      <c r="CC120" s="497" t="str">
        <f>IF($X$49="WEEKS","",IF($Z120="Manual Entry hrs/wk","",IF($X$49&gt;'FORMULA REFS'!AW$1,$Z120,"")))</f>
        <v/>
      </c>
      <c r="CD120" s="497" t="str">
        <f>IF($X$49="WEEKS","",IF($Z120="Manual Entry hrs/wk","",IF($X$49&gt;'FORMULA REFS'!AX$1,$Z120,"")))</f>
        <v/>
      </c>
      <c r="CE120" s="497" t="str">
        <f>IF($X$49="WEEKS","",IF($Z120="Manual Entry hrs/wk","",IF($X$49&gt;'FORMULA REFS'!AY$1,$Z120,"")))</f>
        <v/>
      </c>
      <c r="CF120" s="497" t="str">
        <f>IF($X$49="WEEKS","",IF($Z120="Manual Entry hrs/wk","",IF($X$49&gt;'FORMULA REFS'!AZ$1,$Z120,"")))</f>
        <v/>
      </c>
      <c r="CG120" s="113"/>
      <c r="CH120" s="349" t="str">
        <f t="shared" si="20"/>
        <v/>
      </c>
      <c r="CI120" s="349"/>
      <c r="CJ120" s="349"/>
      <c r="CK120" s="349"/>
      <c r="CL120" s="350"/>
    </row>
    <row r="121" spans="2:90" hidden="1" outlineLevel="2" x14ac:dyDescent="0.3">
      <c r="B121">
        <v>72</v>
      </c>
      <c r="C121" s="346"/>
      <c r="D121" s="495"/>
      <c r="E121" s="346"/>
      <c r="F121" s="346" t="str">
        <f>IFERROR(_xlfn.XLOOKUP(E121,'Standard Rate Cards'!$BB$11:$BB$23,'Standard Rate Cards'!$BA$11:$BA$23),"")</f>
        <v/>
      </c>
      <c r="G121" s="346"/>
      <c r="H121" s="346" t="str">
        <f>IFERROR(_xlfn.XLOOKUP(G121,'Standard Rate Cards'!$AP$8:$AP$142,'Standard Rate Cards'!$AQ$8:$AQ$142),"")</f>
        <v/>
      </c>
      <c r="I121" s="346"/>
      <c r="J121" s="346"/>
      <c r="K121" s="496"/>
      <c r="L121" s="496">
        <f t="shared" si="21"/>
        <v>0</v>
      </c>
      <c r="M121" s="496" t="str" cm="1">
        <f t="array" ref="M121">IF(ISBLANK(D121),"",IF(D121&lt;&gt;"CrederaUS",INDEX('Standard Rate Cards'!$D$9:$D$433,MATCH(1,('Standard Rate Cards'!$B$9:$B$433='2. Pricing &amp; Import'!D121)*('Standard Rate Cards'!$C$9:$C$433='2. Pricing &amp; Import'!K121),0)),INDEX('Standard Rate Cards'!$D$9:$D$433,MATCH(1,('Standard Rate Cards'!$B$9:$B$433='2. Pricing &amp; Import'!D121)*('Standard Rate Cards'!$C$9:$C$433='2. Pricing &amp; Import'!K121)*('Standard Rate Cards'!$H$9:$H$433=L121),0))))</f>
        <v/>
      </c>
      <c r="N121" s="347"/>
      <c r="O121" s="110"/>
      <c r="P121" s="246"/>
      <c r="Q121" s="348"/>
      <c r="R121" s="250"/>
      <c r="S121" s="250"/>
      <c r="T121" s="614"/>
      <c r="U121" s="1637"/>
      <c r="V121" s="1638"/>
      <c r="W121" s="614"/>
      <c r="X121" s="681" t="str">
        <f t="shared" si="22"/>
        <v/>
      </c>
      <c r="Y121" s="682" t="str">
        <f t="shared" si="23"/>
        <v/>
      </c>
      <c r="Z121" s="1630" t="s">
        <v>309</v>
      </c>
      <c r="AA121" s="1631"/>
      <c r="AB121" s="94"/>
      <c r="AC121" s="94"/>
      <c r="AD121" s="94"/>
      <c r="AE121" s="94"/>
      <c r="AF121" s="94"/>
      <c r="AG121" s="497" t="str">
        <f>IF($X$49="WEEKS","",IF($Z121="Manual Entry hrs/wk","",IF($X$49&gt;'FORMULA REFS'!A$1,$Z121,"")))</f>
        <v/>
      </c>
      <c r="AH121" s="497" t="str">
        <f>IF($X$49="WEEKS","",IF($Z121="Manual Entry hrs/wk","",IF($X$49&gt;'FORMULA REFS'!B$1,$Z121,"")))</f>
        <v/>
      </c>
      <c r="AI121" s="497" t="str">
        <f>IF($X$49="WEEKS","",IF($Z121="Manual Entry hrs/wk","",IF($X$49&gt;'FORMULA REFS'!C$1,$Z121,"")))</f>
        <v/>
      </c>
      <c r="AJ121" s="497" t="str">
        <f>IF($X$49="WEEKS","",IF($Z121="Manual Entry hrs/wk","",IF($X$49&gt;'FORMULA REFS'!D$1,$Z121,"")))</f>
        <v/>
      </c>
      <c r="AK121" s="497" t="str">
        <f>IF($X$49="WEEKS","",IF($Z121="Manual Entry hrs/wk","",IF($X$49&gt;'FORMULA REFS'!E$1,$Z121,"")))</f>
        <v/>
      </c>
      <c r="AL121" s="497" t="str">
        <f>IF($X$49="WEEKS","",IF($Z121="Manual Entry hrs/wk","",IF($X$49&gt;'FORMULA REFS'!F$1,$Z121,"")))</f>
        <v/>
      </c>
      <c r="AM121" s="497" t="str">
        <f>IF($X$49="WEEKS","",IF($Z121="Manual Entry hrs/wk","",IF($X$49&gt;'FORMULA REFS'!G$1,$Z121,"")))</f>
        <v/>
      </c>
      <c r="AN121" s="497" t="str">
        <f>IF($X$49="WEEKS","",IF($Z121="Manual Entry hrs/wk","",IF($X$49&gt;'FORMULA REFS'!H$1,$Z121,"")))</f>
        <v/>
      </c>
      <c r="AO121" s="497" t="str">
        <f>IF($X$49="WEEKS","",IF($Z121="Manual Entry hrs/wk","",IF($X$49&gt;'FORMULA REFS'!I$1,$Z121,"")))</f>
        <v/>
      </c>
      <c r="AP121" s="497" t="str">
        <f>IF($X$49="WEEKS","",IF($Z121="Manual Entry hrs/wk","",IF($X$49&gt;'FORMULA REFS'!J$1,$Z121,"")))</f>
        <v/>
      </c>
      <c r="AQ121" s="497" t="str">
        <f>IF($X$49="WEEKS","",IF($Z121="Manual Entry hrs/wk","",IF($X$49&gt;'FORMULA REFS'!K$1,$Z121,"")))</f>
        <v/>
      </c>
      <c r="AR121" s="497" t="str">
        <f>IF($X$49="WEEKS","",IF($Z121="Manual Entry hrs/wk","",IF($X$49&gt;'FORMULA REFS'!L$1,$Z121,"")))</f>
        <v/>
      </c>
      <c r="AS121" s="497" t="str">
        <f>IF($X$49="WEEKS","",IF($Z121="Manual Entry hrs/wk","",IF($X$49&gt;'FORMULA REFS'!M$1,$Z121,"")))</f>
        <v/>
      </c>
      <c r="AT121" s="497" t="str">
        <f>IF($X$49="WEEKS","",IF($Z121="Manual Entry hrs/wk","",IF($X$49&gt;'FORMULA REFS'!N$1,$Z121,"")))</f>
        <v/>
      </c>
      <c r="AU121" s="497" t="str">
        <f>IF($X$49="WEEKS","",IF($Z121="Manual Entry hrs/wk","",IF($X$49&gt;'FORMULA REFS'!O$1,$Z121,"")))</f>
        <v/>
      </c>
      <c r="AV121" s="497" t="str">
        <f>IF($X$49="WEEKS","",IF($Z121="Manual Entry hrs/wk","",IF($X$49&gt;'FORMULA REFS'!P$1,$Z121,"")))</f>
        <v/>
      </c>
      <c r="AW121" s="497" t="str">
        <f>IF($X$49="WEEKS","",IF($Z121="Manual Entry hrs/wk","",IF($X$49&gt;'FORMULA REFS'!Q$1,$Z121,"")))</f>
        <v/>
      </c>
      <c r="AX121" s="497" t="str">
        <f>IF($X$49="WEEKS","",IF($Z121="Manual Entry hrs/wk","",IF($X$49&gt;'FORMULA REFS'!R$1,$Z121,"")))</f>
        <v/>
      </c>
      <c r="AY121" s="497" t="str">
        <f>IF($X$49="WEEKS","",IF($Z121="Manual Entry hrs/wk","",IF($X$49&gt;'FORMULA REFS'!S$1,$Z121,"")))</f>
        <v/>
      </c>
      <c r="AZ121" s="497" t="str">
        <f>IF($X$49="WEEKS","",IF($Z121="Manual Entry hrs/wk","",IF($X$49&gt;'FORMULA REFS'!T$1,$Z121,"")))</f>
        <v/>
      </c>
      <c r="BA121" s="497" t="str">
        <f>IF($X$49="WEEKS","",IF($Z121="Manual Entry hrs/wk","",IF($X$49&gt;'FORMULA REFS'!U$1,$Z121,"")))</f>
        <v/>
      </c>
      <c r="BB121" s="497" t="str">
        <f>IF($X$49="WEEKS","",IF($Z121="Manual Entry hrs/wk","",IF($X$49&gt;'FORMULA REFS'!V$1,$Z121,"")))</f>
        <v/>
      </c>
      <c r="BC121" s="497" t="str">
        <f>IF($X$49="WEEKS","",IF($Z121="Manual Entry hrs/wk","",IF($X$49&gt;'FORMULA REFS'!W$1,$Z121,"")))</f>
        <v/>
      </c>
      <c r="BD121" s="497" t="str">
        <f>IF($X$49="WEEKS","",IF($Z121="Manual Entry hrs/wk","",IF($X$49&gt;'FORMULA REFS'!X$1,$Z121,"")))</f>
        <v/>
      </c>
      <c r="BE121" s="497" t="str">
        <f>IF($X$49="WEEKS","",IF($Z121="Manual Entry hrs/wk","",IF($X$49&gt;'FORMULA REFS'!Y$1,$Z121,"")))</f>
        <v/>
      </c>
      <c r="BF121" s="497" t="str">
        <f>IF($X$49="WEEKS","",IF($Z121="Manual Entry hrs/wk","",IF($X$49&gt;'FORMULA REFS'!Z$1,$Z121,"")))</f>
        <v/>
      </c>
      <c r="BG121" s="497" t="str">
        <f>IF($X$49="WEEKS","",IF($Z121="Manual Entry hrs/wk","",IF($X$49&gt;'FORMULA REFS'!AA$1,$Z121,"")))</f>
        <v/>
      </c>
      <c r="BH121" s="497" t="str">
        <f>IF($X$49="WEEKS","",IF($Z121="Manual Entry hrs/wk","",IF($X$49&gt;'FORMULA REFS'!AB$1,$Z121,"")))</f>
        <v/>
      </c>
      <c r="BI121" s="497" t="str">
        <f>IF($X$49="WEEKS","",IF($Z121="Manual Entry hrs/wk","",IF($X$49&gt;'FORMULA REFS'!AC$1,$Z121,"")))</f>
        <v/>
      </c>
      <c r="BJ121" s="497" t="str">
        <f>IF($X$49="WEEKS","",IF($Z121="Manual Entry hrs/wk","",IF($X$49&gt;'FORMULA REFS'!AD$1,$Z121,"")))</f>
        <v/>
      </c>
      <c r="BK121" s="497" t="str">
        <f>IF($X$49="WEEKS","",IF($Z121="Manual Entry hrs/wk","",IF($X$49&gt;'FORMULA REFS'!AE$1,$Z121,"")))</f>
        <v/>
      </c>
      <c r="BL121" s="497" t="str">
        <f>IF($X$49="WEEKS","",IF($Z121="Manual Entry hrs/wk","",IF($X$49&gt;'FORMULA REFS'!AF$1,$Z121,"")))</f>
        <v/>
      </c>
      <c r="BM121" s="497" t="str">
        <f>IF($X$49="WEEKS","",IF($Z121="Manual Entry hrs/wk","",IF($X$49&gt;'FORMULA REFS'!AG$1,$Z121,"")))</f>
        <v/>
      </c>
      <c r="BN121" s="497" t="str">
        <f>IF($X$49="WEEKS","",IF($Z121="Manual Entry hrs/wk","",IF($X$49&gt;'FORMULA REFS'!AH$1,$Z121,"")))</f>
        <v/>
      </c>
      <c r="BO121" s="497" t="str">
        <f>IF($X$49="WEEKS","",IF($Z121="Manual Entry hrs/wk","",IF($X$49&gt;'FORMULA REFS'!AI$1,$Z121,"")))</f>
        <v/>
      </c>
      <c r="BP121" s="497" t="str">
        <f>IF($X$49="WEEKS","",IF($Z121="Manual Entry hrs/wk","",IF($X$49&gt;'FORMULA REFS'!AJ$1,$Z121,"")))</f>
        <v/>
      </c>
      <c r="BQ121" s="497" t="str">
        <f>IF($X$49="WEEKS","",IF($Z121="Manual Entry hrs/wk","",IF($X$49&gt;'FORMULA REFS'!AK$1,$Z121,"")))</f>
        <v/>
      </c>
      <c r="BR121" s="497" t="str">
        <f>IF($X$49="WEEKS","",IF($Z121="Manual Entry hrs/wk","",IF($X$49&gt;'FORMULA REFS'!AL$1,$Z121,"")))</f>
        <v/>
      </c>
      <c r="BS121" s="497" t="str">
        <f>IF($X$49="WEEKS","",IF($Z121="Manual Entry hrs/wk","",IF($X$49&gt;'FORMULA REFS'!AM$1,$Z121,"")))</f>
        <v/>
      </c>
      <c r="BT121" s="497" t="str">
        <f>IF($X$49="WEEKS","",IF($Z121="Manual Entry hrs/wk","",IF($X$49&gt;'FORMULA REFS'!AN$1,$Z121,"")))</f>
        <v/>
      </c>
      <c r="BU121" s="497" t="str">
        <f>IF($X$49="WEEKS","",IF($Z121="Manual Entry hrs/wk","",IF($X$49&gt;'FORMULA REFS'!AO$1,$Z121,"")))</f>
        <v/>
      </c>
      <c r="BV121" s="497" t="str">
        <f>IF($X$49="WEEKS","",IF($Z121="Manual Entry hrs/wk","",IF($X$49&gt;'FORMULA REFS'!AP$1,$Z121,"")))</f>
        <v/>
      </c>
      <c r="BW121" s="497" t="str">
        <f>IF($X$49="WEEKS","",IF($Z121="Manual Entry hrs/wk","",IF($X$49&gt;'FORMULA REFS'!AQ$1,$Z121,"")))</f>
        <v/>
      </c>
      <c r="BX121" s="497" t="str">
        <f>IF($X$49="WEEKS","",IF($Z121="Manual Entry hrs/wk","",IF($X$49&gt;'FORMULA REFS'!AR$1,$Z121,"")))</f>
        <v/>
      </c>
      <c r="BY121" s="497" t="str">
        <f>IF($X$49="WEEKS","",IF($Z121="Manual Entry hrs/wk","",IF($X$49&gt;'FORMULA REFS'!AS$1,$Z121,"")))</f>
        <v/>
      </c>
      <c r="BZ121" s="497" t="str">
        <f>IF($X$49="WEEKS","",IF($Z121="Manual Entry hrs/wk","",IF($X$49&gt;'FORMULA REFS'!AT$1,$Z121,"")))</f>
        <v/>
      </c>
      <c r="CA121" s="497" t="str">
        <f>IF($X$49="WEEKS","",IF($Z121="Manual Entry hrs/wk","",IF($X$49&gt;'FORMULA REFS'!AU$1,$Z121,"")))</f>
        <v/>
      </c>
      <c r="CB121" s="497" t="str">
        <f>IF($X$49="WEEKS","",IF($Z121="Manual Entry hrs/wk","",IF($X$49&gt;'FORMULA REFS'!AV$1,$Z121,"")))</f>
        <v/>
      </c>
      <c r="CC121" s="497" t="str">
        <f>IF($X$49="WEEKS","",IF($Z121="Manual Entry hrs/wk","",IF($X$49&gt;'FORMULA REFS'!AW$1,$Z121,"")))</f>
        <v/>
      </c>
      <c r="CD121" s="497" t="str">
        <f>IF($X$49="WEEKS","",IF($Z121="Manual Entry hrs/wk","",IF($X$49&gt;'FORMULA REFS'!AX$1,$Z121,"")))</f>
        <v/>
      </c>
      <c r="CE121" s="497" t="str">
        <f>IF($X$49="WEEKS","",IF($Z121="Manual Entry hrs/wk","",IF($X$49&gt;'FORMULA REFS'!AY$1,$Z121,"")))</f>
        <v/>
      </c>
      <c r="CF121" s="497" t="str">
        <f>IF($X$49="WEEKS","",IF($Z121="Manual Entry hrs/wk","",IF($X$49&gt;'FORMULA REFS'!AZ$1,$Z121,"")))</f>
        <v/>
      </c>
      <c r="CG121" s="113"/>
      <c r="CH121" s="349" t="str">
        <f t="shared" si="20"/>
        <v/>
      </c>
      <c r="CI121" s="349"/>
      <c r="CJ121" s="349"/>
      <c r="CK121" s="349"/>
      <c r="CL121" s="350"/>
    </row>
    <row r="122" spans="2:90" hidden="1" outlineLevel="2" x14ac:dyDescent="0.3">
      <c r="B122">
        <v>73</v>
      </c>
      <c r="C122" s="346"/>
      <c r="D122" s="495"/>
      <c r="E122" s="346"/>
      <c r="F122" s="346" t="str">
        <f>IFERROR(_xlfn.XLOOKUP(E122,'Standard Rate Cards'!$BB$11:$BB$23,'Standard Rate Cards'!$BA$11:$BA$23),"")</f>
        <v/>
      </c>
      <c r="G122" s="346"/>
      <c r="H122" s="346" t="str">
        <f>IFERROR(_xlfn.XLOOKUP(G122,'Standard Rate Cards'!$AP$8:$AP$142,'Standard Rate Cards'!$AQ$8:$AQ$142),"")</f>
        <v/>
      </c>
      <c r="I122" s="346"/>
      <c r="J122" s="346"/>
      <c r="K122" s="496"/>
      <c r="L122" s="496">
        <f t="shared" si="21"/>
        <v>0</v>
      </c>
      <c r="M122" s="496" t="str" cm="1">
        <f t="array" ref="M122">IF(ISBLANK(D122),"",IF(D122&lt;&gt;"CrederaUS",INDEX('Standard Rate Cards'!$D$9:$D$433,MATCH(1,('Standard Rate Cards'!$B$9:$B$433='2. Pricing &amp; Import'!D122)*('Standard Rate Cards'!$C$9:$C$433='2. Pricing &amp; Import'!K122),0)),INDEX('Standard Rate Cards'!$D$9:$D$433,MATCH(1,('Standard Rate Cards'!$B$9:$B$433='2. Pricing &amp; Import'!D122)*('Standard Rate Cards'!$C$9:$C$433='2. Pricing &amp; Import'!K122)*('Standard Rate Cards'!$H$9:$H$433=L122),0))))</f>
        <v/>
      </c>
      <c r="N122" s="347"/>
      <c r="O122" s="110"/>
      <c r="P122" s="246"/>
      <c r="Q122" s="348"/>
      <c r="R122" s="250"/>
      <c r="S122" s="250"/>
      <c r="T122" s="614"/>
      <c r="U122" s="1637"/>
      <c r="V122" s="1638"/>
      <c r="W122" s="614"/>
      <c r="X122" s="681" t="str">
        <f t="shared" si="22"/>
        <v/>
      </c>
      <c r="Y122" s="682" t="str">
        <f t="shared" si="23"/>
        <v/>
      </c>
      <c r="Z122" s="1630" t="s">
        <v>309</v>
      </c>
      <c r="AA122" s="1631"/>
      <c r="AB122" s="94"/>
      <c r="AC122" s="94"/>
      <c r="AD122" s="94"/>
      <c r="AE122" s="94"/>
      <c r="AF122" s="94"/>
      <c r="AG122" s="497" t="str">
        <f>IF($X$49="WEEKS","",IF($Z122="Manual Entry hrs/wk","",IF($X$49&gt;'FORMULA REFS'!A$1,$Z122,"")))</f>
        <v/>
      </c>
      <c r="AH122" s="497" t="str">
        <f>IF($X$49="WEEKS","",IF($Z122="Manual Entry hrs/wk","",IF($X$49&gt;'FORMULA REFS'!B$1,$Z122,"")))</f>
        <v/>
      </c>
      <c r="AI122" s="497" t="str">
        <f>IF($X$49="WEEKS","",IF($Z122="Manual Entry hrs/wk","",IF($X$49&gt;'FORMULA REFS'!C$1,$Z122,"")))</f>
        <v/>
      </c>
      <c r="AJ122" s="497" t="str">
        <f>IF($X$49="WEEKS","",IF($Z122="Manual Entry hrs/wk","",IF($X$49&gt;'FORMULA REFS'!D$1,$Z122,"")))</f>
        <v/>
      </c>
      <c r="AK122" s="497" t="str">
        <f>IF($X$49="WEEKS","",IF($Z122="Manual Entry hrs/wk","",IF($X$49&gt;'FORMULA REFS'!E$1,$Z122,"")))</f>
        <v/>
      </c>
      <c r="AL122" s="497" t="str">
        <f>IF($X$49="WEEKS","",IF($Z122="Manual Entry hrs/wk","",IF($X$49&gt;'FORMULA REFS'!F$1,$Z122,"")))</f>
        <v/>
      </c>
      <c r="AM122" s="497" t="str">
        <f>IF($X$49="WEEKS","",IF($Z122="Manual Entry hrs/wk","",IF($X$49&gt;'FORMULA REFS'!G$1,$Z122,"")))</f>
        <v/>
      </c>
      <c r="AN122" s="497" t="str">
        <f>IF($X$49="WEEKS","",IF($Z122="Manual Entry hrs/wk","",IF($X$49&gt;'FORMULA REFS'!H$1,$Z122,"")))</f>
        <v/>
      </c>
      <c r="AO122" s="497" t="str">
        <f>IF($X$49="WEEKS","",IF($Z122="Manual Entry hrs/wk","",IF($X$49&gt;'FORMULA REFS'!I$1,$Z122,"")))</f>
        <v/>
      </c>
      <c r="AP122" s="497" t="str">
        <f>IF($X$49="WEEKS","",IF($Z122="Manual Entry hrs/wk","",IF($X$49&gt;'FORMULA REFS'!J$1,$Z122,"")))</f>
        <v/>
      </c>
      <c r="AQ122" s="497" t="str">
        <f>IF($X$49="WEEKS","",IF($Z122="Manual Entry hrs/wk","",IF($X$49&gt;'FORMULA REFS'!K$1,$Z122,"")))</f>
        <v/>
      </c>
      <c r="AR122" s="497" t="str">
        <f>IF($X$49="WEEKS","",IF($Z122="Manual Entry hrs/wk","",IF($X$49&gt;'FORMULA REFS'!L$1,$Z122,"")))</f>
        <v/>
      </c>
      <c r="AS122" s="497" t="str">
        <f>IF($X$49="WEEKS","",IF($Z122="Manual Entry hrs/wk","",IF($X$49&gt;'FORMULA REFS'!M$1,$Z122,"")))</f>
        <v/>
      </c>
      <c r="AT122" s="497" t="str">
        <f>IF($X$49="WEEKS","",IF($Z122="Manual Entry hrs/wk","",IF($X$49&gt;'FORMULA REFS'!N$1,$Z122,"")))</f>
        <v/>
      </c>
      <c r="AU122" s="497" t="str">
        <f>IF($X$49="WEEKS","",IF($Z122="Manual Entry hrs/wk","",IF($X$49&gt;'FORMULA REFS'!O$1,$Z122,"")))</f>
        <v/>
      </c>
      <c r="AV122" s="497" t="str">
        <f>IF($X$49="WEEKS","",IF($Z122="Manual Entry hrs/wk","",IF($X$49&gt;'FORMULA REFS'!P$1,$Z122,"")))</f>
        <v/>
      </c>
      <c r="AW122" s="497" t="str">
        <f>IF($X$49="WEEKS","",IF($Z122="Manual Entry hrs/wk","",IF($X$49&gt;'FORMULA REFS'!Q$1,$Z122,"")))</f>
        <v/>
      </c>
      <c r="AX122" s="497" t="str">
        <f>IF($X$49="WEEKS","",IF($Z122="Manual Entry hrs/wk","",IF($X$49&gt;'FORMULA REFS'!R$1,$Z122,"")))</f>
        <v/>
      </c>
      <c r="AY122" s="497" t="str">
        <f>IF($X$49="WEEKS","",IF($Z122="Manual Entry hrs/wk","",IF($X$49&gt;'FORMULA REFS'!S$1,$Z122,"")))</f>
        <v/>
      </c>
      <c r="AZ122" s="497" t="str">
        <f>IF($X$49="WEEKS","",IF($Z122="Manual Entry hrs/wk","",IF($X$49&gt;'FORMULA REFS'!T$1,$Z122,"")))</f>
        <v/>
      </c>
      <c r="BA122" s="497" t="str">
        <f>IF($X$49="WEEKS","",IF($Z122="Manual Entry hrs/wk","",IF($X$49&gt;'FORMULA REFS'!U$1,$Z122,"")))</f>
        <v/>
      </c>
      <c r="BB122" s="497" t="str">
        <f>IF($X$49="WEEKS","",IF($Z122="Manual Entry hrs/wk","",IF($X$49&gt;'FORMULA REFS'!V$1,$Z122,"")))</f>
        <v/>
      </c>
      <c r="BC122" s="497" t="str">
        <f>IF($X$49="WEEKS","",IF($Z122="Manual Entry hrs/wk","",IF($X$49&gt;'FORMULA REFS'!W$1,$Z122,"")))</f>
        <v/>
      </c>
      <c r="BD122" s="497" t="str">
        <f>IF($X$49="WEEKS","",IF($Z122="Manual Entry hrs/wk","",IF($X$49&gt;'FORMULA REFS'!X$1,$Z122,"")))</f>
        <v/>
      </c>
      <c r="BE122" s="497" t="str">
        <f>IF($X$49="WEEKS","",IF($Z122="Manual Entry hrs/wk","",IF($X$49&gt;'FORMULA REFS'!Y$1,$Z122,"")))</f>
        <v/>
      </c>
      <c r="BF122" s="497" t="str">
        <f>IF($X$49="WEEKS","",IF($Z122="Manual Entry hrs/wk","",IF($X$49&gt;'FORMULA REFS'!Z$1,$Z122,"")))</f>
        <v/>
      </c>
      <c r="BG122" s="497" t="str">
        <f>IF($X$49="WEEKS","",IF($Z122="Manual Entry hrs/wk","",IF($X$49&gt;'FORMULA REFS'!AA$1,$Z122,"")))</f>
        <v/>
      </c>
      <c r="BH122" s="497" t="str">
        <f>IF($X$49="WEEKS","",IF($Z122="Manual Entry hrs/wk","",IF($X$49&gt;'FORMULA REFS'!AB$1,$Z122,"")))</f>
        <v/>
      </c>
      <c r="BI122" s="497" t="str">
        <f>IF($X$49="WEEKS","",IF($Z122="Manual Entry hrs/wk","",IF($X$49&gt;'FORMULA REFS'!AC$1,$Z122,"")))</f>
        <v/>
      </c>
      <c r="BJ122" s="497" t="str">
        <f>IF($X$49="WEEKS","",IF($Z122="Manual Entry hrs/wk","",IF($X$49&gt;'FORMULA REFS'!AD$1,$Z122,"")))</f>
        <v/>
      </c>
      <c r="BK122" s="497" t="str">
        <f>IF($X$49="WEEKS","",IF($Z122="Manual Entry hrs/wk","",IF($X$49&gt;'FORMULA REFS'!AE$1,$Z122,"")))</f>
        <v/>
      </c>
      <c r="BL122" s="497" t="str">
        <f>IF($X$49="WEEKS","",IF($Z122="Manual Entry hrs/wk","",IF($X$49&gt;'FORMULA REFS'!AF$1,$Z122,"")))</f>
        <v/>
      </c>
      <c r="BM122" s="497" t="str">
        <f>IF($X$49="WEEKS","",IF($Z122="Manual Entry hrs/wk","",IF($X$49&gt;'FORMULA REFS'!AG$1,$Z122,"")))</f>
        <v/>
      </c>
      <c r="BN122" s="497" t="str">
        <f>IF($X$49="WEEKS","",IF($Z122="Manual Entry hrs/wk","",IF($X$49&gt;'FORMULA REFS'!AH$1,$Z122,"")))</f>
        <v/>
      </c>
      <c r="BO122" s="497" t="str">
        <f>IF($X$49="WEEKS","",IF($Z122="Manual Entry hrs/wk","",IF($X$49&gt;'FORMULA REFS'!AI$1,$Z122,"")))</f>
        <v/>
      </c>
      <c r="BP122" s="497" t="str">
        <f>IF($X$49="WEEKS","",IF($Z122="Manual Entry hrs/wk","",IF($X$49&gt;'FORMULA REFS'!AJ$1,$Z122,"")))</f>
        <v/>
      </c>
      <c r="BQ122" s="497" t="str">
        <f>IF($X$49="WEEKS","",IF($Z122="Manual Entry hrs/wk","",IF($X$49&gt;'FORMULA REFS'!AK$1,$Z122,"")))</f>
        <v/>
      </c>
      <c r="BR122" s="497" t="str">
        <f>IF($X$49="WEEKS","",IF($Z122="Manual Entry hrs/wk","",IF($X$49&gt;'FORMULA REFS'!AL$1,$Z122,"")))</f>
        <v/>
      </c>
      <c r="BS122" s="497" t="str">
        <f>IF($X$49="WEEKS","",IF($Z122="Manual Entry hrs/wk","",IF($X$49&gt;'FORMULA REFS'!AM$1,$Z122,"")))</f>
        <v/>
      </c>
      <c r="BT122" s="497" t="str">
        <f>IF($X$49="WEEKS","",IF($Z122="Manual Entry hrs/wk","",IF($X$49&gt;'FORMULA REFS'!AN$1,$Z122,"")))</f>
        <v/>
      </c>
      <c r="BU122" s="497" t="str">
        <f>IF($X$49="WEEKS","",IF($Z122="Manual Entry hrs/wk","",IF($X$49&gt;'FORMULA REFS'!AO$1,$Z122,"")))</f>
        <v/>
      </c>
      <c r="BV122" s="497" t="str">
        <f>IF($X$49="WEEKS","",IF($Z122="Manual Entry hrs/wk","",IF($X$49&gt;'FORMULA REFS'!AP$1,$Z122,"")))</f>
        <v/>
      </c>
      <c r="BW122" s="497" t="str">
        <f>IF($X$49="WEEKS","",IF($Z122="Manual Entry hrs/wk","",IF($X$49&gt;'FORMULA REFS'!AQ$1,$Z122,"")))</f>
        <v/>
      </c>
      <c r="BX122" s="497" t="str">
        <f>IF($X$49="WEEKS","",IF($Z122="Manual Entry hrs/wk","",IF($X$49&gt;'FORMULA REFS'!AR$1,$Z122,"")))</f>
        <v/>
      </c>
      <c r="BY122" s="497" t="str">
        <f>IF($X$49="WEEKS","",IF($Z122="Manual Entry hrs/wk","",IF($X$49&gt;'FORMULA REFS'!AS$1,$Z122,"")))</f>
        <v/>
      </c>
      <c r="BZ122" s="497" t="str">
        <f>IF($X$49="WEEKS","",IF($Z122="Manual Entry hrs/wk","",IF($X$49&gt;'FORMULA REFS'!AT$1,$Z122,"")))</f>
        <v/>
      </c>
      <c r="CA122" s="497" t="str">
        <f>IF($X$49="WEEKS","",IF($Z122="Manual Entry hrs/wk","",IF($X$49&gt;'FORMULA REFS'!AU$1,$Z122,"")))</f>
        <v/>
      </c>
      <c r="CB122" s="497" t="str">
        <f>IF($X$49="WEEKS","",IF($Z122="Manual Entry hrs/wk","",IF($X$49&gt;'FORMULA REFS'!AV$1,$Z122,"")))</f>
        <v/>
      </c>
      <c r="CC122" s="497" t="str">
        <f>IF($X$49="WEEKS","",IF($Z122="Manual Entry hrs/wk","",IF($X$49&gt;'FORMULA REFS'!AW$1,$Z122,"")))</f>
        <v/>
      </c>
      <c r="CD122" s="497" t="str">
        <f>IF($X$49="WEEKS","",IF($Z122="Manual Entry hrs/wk","",IF($X$49&gt;'FORMULA REFS'!AX$1,$Z122,"")))</f>
        <v/>
      </c>
      <c r="CE122" s="497" t="str">
        <f>IF($X$49="WEEKS","",IF($Z122="Manual Entry hrs/wk","",IF($X$49&gt;'FORMULA REFS'!AY$1,$Z122,"")))</f>
        <v/>
      </c>
      <c r="CF122" s="497" t="str">
        <f>IF($X$49="WEEKS","",IF($Z122="Manual Entry hrs/wk","",IF($X$49&gt;'FORMULA REFS'!AZ$1,$Z122,"")))</f>
        <v/>
      </c>
      <c r="CG122" s="113"/>
      <c r="CH122" s="349" t="str">
        <f t="shared" si="20"/>
        <v/>
      </c>
      <c r="CI122" s="349"/>
      <c r="CJ122" s="349"/>
      <c r="CK122" s="349"/>
      <c r="CL122" s="350"/>
    </row>
    <row r="123" spans="2:90" hidden="1" outlineLevel="2" x14ac:dyDescent="0.3">
      <c r="B123">
        <v>74</v>
      </c>
      <c r="C123" s="346"/>
      <c r="D123" s="495"/>
      <c r="E123" s="346"/>
      <c r="F123" s="346" t="str">
        <f>IFERROR(_xlfn.XLOOKUP(E123,'Standard Rate Cards'!$BB$11:$BB$23,'Standard Rate Cards'!$BA$11:$BA$23),"")</f>
        <v/>
      </c>
      <c r="G123" s="346"/>
      <c r="H123" s="346" t="str">
        <f>IFERROR(_xlfn.XLOOKUP(G123,'Standard Rate Cards'!$AP$8:$AP$142,'Standard Rate Cards'!$AQ$8:$AQ$142),"")</f>
        <v/>
      </c>
      <c r="I123" s="346"/>
      <c r="J123" s="346"/>
      <c r="K123" s="496"/>
      <c r="L123" s="496">
        <f t="shared" si="21"/>
        <v>0</v>
      </c>
      <c r="M123" s="496" t="str" cm="1">
        <f t="array" ref="M123">IF(ISBLANK(D123),"",IF(D123&lt;&gt;"CrederaUS",INDEX('Standard Rate Cards'!$D$9:$D$433,MATCH(1,('Standard Rate Cards'!$B$9:$B$433='2. Pricing &amp; Import'!D123)*('Standard Rate Cards'!$C$9:$C$433='2. Pricing &amp; Import'!K123),0)),INDEX('Standard Rate Cards'!$D$9:$D$433,MATCH(1,('Standard Rate Cards'!$B$9:$B$433='2. Pricing &amp; Import'!D123)*('Standard Rate Cards'!$C$9:$C$433='2. Pricing &amp; Import'!K123)*('Standard Rate Cards'!$H$9:$H$433=L123),0))))</f>
        <v/>
      </c>
      <c r="N123" s="347"/>
      <c r="O123" s="110"/>
      <c r="P123" s="246"/>
      <c r="Q123" s="348"/>
      <c r="R123" s="250"/>
      <c r="S123" s="250"/>
      <c r="T123" s="614"/>
      <c r="U123" s="1637"/>
      <c r="V123" s="1638"/>
      <c r="W123" s="614"/>
      <c r="X123" s="681" t="str">
        <f t="shared" si="22"/>
        <v/>
      </c>
      <c r="Y123" s="682" t="str">
        <f t="shared" si="23"/>
        <v/>
      </c>
      <c r="Z123" s="1630" t="s">
        <v>309</v>
      </c>
      <c r="AA123" s="1631"/>
      <c r="AB123" s="94"/>
      <c r="AC123" s="94"/>
      <c r="AD123" s="94"/>
      <c r="AE123" s="94"/>
      <c r="AF123" s="94"/>
      <c r="AG123" s="497" t="str">
        <f>IF($X$49="WEEKS","",IF($Z123="Manual Entry hrs/wk","",IF($X$49&gt;'FORMULA REFS'!A$1,$Z123,"")))</f>
        <v/>
      </c>
      <c r="AH123" s="497" t="str">
        <f>IF($X$49="WEEKS","",IF($Z123="Manual Entry hrs/wk","",IF($X$49&gt;'FORMULA REFS'!B$1,$Z123,"")))</f>
        <v/>
      </c>
      <c r="AI123" s="497" t="str">
        <f>IF($X$49="WEEKS","",IF($Z123="Manual Entry hrs/wk","",IF($X$49&gt;'FORMULA REFS'!C$1,$Z123,"")))</f>
        <v/>
      </c>
      <c r="AJ123" s="497" t="str">
        <f>IF($X$49="WEEKS","",IF($Z123="Manual Entry hrs/wk","",IF($X$49&gt;'FORMULA REFS'!D$1,$Z123,"")))</f>
        <v/>
      </c>
      <c r="AK123" s="497" t="str">
        <f>IF($X$49="WEEKS","",IF($Z123="Manual Entry hrs/wk","",IF($X$49&gt;'FORMULA REFS'!E$1,$Z123,"")))</f>
        <v/>
      </c>
      <c r="AL123" s="497" t="str">
        <f>IF($X$49="WEEKS","",IF($Z123="Manual Entry hrs/wk","",IF($X$49&gt;'FORMULA REFS'!F$1,$Z123,"")))</f>
        <v/>
      </c>
      <c r="AM123" s="497" t="str">
        <f>IF($X$49="WEEKS","",IF($Z123="Manual Entry hrs/wk","",IF($X$49&gt;'FORMULA REFS'!G$1,$Z123,"")))</f>
        <v/>
      </c>
      <c r="AN123" s="497" t="str">
        <f>IF($X$49="WEEKS","",IF($Z123="Manual Entry hrs/wk","",IF($X$49&gt;'FORMULA REFS'!H$1,$Z123,"")))</f>
        <v/>
      </c>
      <c r="AO123" s="497" t="str">
        <f>IF($X$49="WEEKS","",IF($Z123="Manual Entry hrs/wk","",IF($X$49&gt;'FORMULA REFS'!I$1,$Z123,"")))</f>
        <v/>
      </c>
      <c r="AP123" s="497" t="str">
        <f>IF($X$49="WEEKS","",IF($Z123="Manual Entry hrs/wk","",IF($X$49&gt;'FORMULA REFS'!J$1,$Z123,"")))</f>
        <v/>
      </c>
      <c r="AQ123" s="497" t="str">
        <f>IF($X$49="WEEKS","",IF($Z123="Manual Entry hrs/wk","",IF($X$49&gt;'FORMULA REFS'!K$1,$Z123,"")))</f>
        <v/>
      </c>
      <c r="AR123" s="497" t="str">
        <f>IF($X$49="WEEKS","",IF($Z123="Manual Entry hrs/wk","",IF($X$49&gt;'FORMULA REFS'!L$1,$Z123,"")))</f>
        <v/>
      </c>
      <c r="AS123" s="497" t="str">
        <f>IF($X$49="WEEKS","",IF($Z123="Manual Entry hrs/wk","",IF($X$49&gt;'FORMULA REFS'!M$1,$Z123,"")))</f>
        <v/>
      </c>
      <c r="AT123" s="497" t="str">
        <f>IF($X$49="WEEKS","",IF($Z123="Manual Entry hrs/wk","",IF($X$49&gt;'FORMULA REFS'!N$1,$Z123,"")))</f>
        <v/>
      </c>
      <c r="AU123" s="497" t="str">
        <f>IF($X$49="WEEKS","",IF($Z123="Manual Entry hrs/wk","",IF($X$49&gt;'FORMULA REFS'!O$1,$Z123,"")))</f>
        <v/>
      </c>
      <c r="AV123" s="497" t="str">
        <f>IF($X$49="WEEKS","",IF($Z123="Manual Entry hrs/wk","",IF($X$49&gt;'FORMULA REFS'!P$1,$Z123,"")))</f>
        <v/>
      </c>
      <c r="AW123" s="497" t="str">
        <f>IF($X$49="WEEKS","",IF($Z123="Manual Entry hrs/wk","",IF($X$49&gt;'FORMULA REFS'!Q$1,$Z123,"")))</f>
        <v/>
      </c>
      <c r="AX123" s="497" t="str">
        <f>IF($X$49="WEEKS","",IF($Z123="Manual Entry hrs/wk","",IF($X$49&gt;'FORMULA REFS'!R$1,$Z123,"")))</f>
        <v/>
      </c>
      <c r="AY123" s="497" t="str">
        <f>IF($X$49="WEEKS","",IF($Z123="Manual Entry hrs/wk","",IF($X$49&gt;'FORMULA REFS'!S$1,$Z123,"")))</f>
        <v/>
      </c>
      <c r="AZ123" s="497" t="str">
        <f>IF($X$49="WEEKS","",IF($Z123="Manual Entry hrs/wk","",IF($X$49&gt;'FORMULA REFS'!T$1,$Z123,"")))</f>
        <v/>
      </c>
      <c r="BA123" s="497" t="str">
        <f>IF($X$49="WEEKS","",IF($Z123="Manual Entry hrs/wk","",IF($X$49&gt;'FORMULA REFS'!U$1,$Z123,"")))</f>
        <v/>
      </c>
      <c r="BB123" s="497" t="str">
        <f>IF($X$49="WEEKS","",IF($Z123="Manual Entry hrs/wk","",IF($X$49&gt;'FORMULA REFS'!V$1,$Z123,"")))</f>
        <v/>
      </c>
      <c r="BC123" s="497" t="str">
        <f>IF($X$49="WEEKS","",IF($Z123="Manual Entry hrs/wk","",IF($X$49&gt;'FORMULA REFS'!W$1,$Z123,"")))</f>
        <v/>
      </c>
      <c r="BD123" s="497" t="str">
        <f>IF($X$49="WEEKS","",IF($Z123="Manual Entry hrs/wk","",IF($X$49&gt;'FORMULA REFS'!X$1,$Z123,"")))</f>
        <v/>
      </c>
      <c r="BE123" s="497" t="str">
        <f>IF($X$49="WEEKS","",IF($Z123="Manual Entry hrs/wk","",IF($X$49&gt;'FORMULA REFS'!Y$1,$Z123,"")))</f>
        <v/>
      </c>
      <c r="BF123" s="497" t="str">
        <f>IF($X$49="WEEKS","",IF($Z123="Manual Entry hrs/wk","",IF($X$49&gt;'FORMULA REFS'!Z$1,$Z123,"")))</f>
        <v/>
      </c>
      <c r="BG123" s="497" t="str">
        <f>IF($X$49="WEEKS","",IF($Z123="Manual Entry hrs/wk","",IF($X$49&gt;'FORMULA REFS'!AA$1,$Z123,"")))</f>
        <v/>
      </c>
      <c r="BH123" s="497" t="str">
        <f>IF($X$49="WEEKS","",IF($Z123="Manual Entry hrs/wk","",IF($X$49&gt;'FORMULA REFS'!AB$1,$Z123,"")))</f>
        <v/>
      </c>
      <c r="BI123" s="497" t="str">
        <f>IF($X$49="WEEKS","",IF($Z123="Manual Entry hrs/wk","",IF($X$49&gt;'FORMULA REFS'!AC$1,$Z123,"")))</f>
        <v/>
      </c>
      <c r="BJ123" s="497" t="str">
        <f>IF($X$49="WEEKS","",IF($Z123="Manual Entry hrs/wk","",IF($X$49&gt;'FORMULA REFS'!AD$1,$Z123,"")))</f>
        <v/>
      </c>
      <c r="BK123" s="497" t="str">
        <f>IF($X$49="WEEKS","",IF($Z123="Manual Entry hrs/wk","",IF($X$49&gt;'FORMULA REFS'!AE$1,$Z123,"")))</f>
        <v/>
      </c>
      <c r="BL123" s="497" t="str">
        <f>IF($X$49="WEEKS","",IF($Z123="Manual Entry hrs/wk","",IF($X$49&gt;'FORMULA REFS'!AF$1,$Z123,"")))</f>
        <v/>
      </c>
      <c r="BM123" s="497" t="str">
        <f>IF($X$49="WEEKS","",IF($Z123="Manual Entry hrs/wk","",IF($X$49&gt;'FORMULA REFS'!AG$1,$Z123,"")))</f>
        <v/>
      </c>
      <c r="BN123" s="497" t="str">
        <f>IF($X$49="WEEKS","",IF($Z123="Manual Entry hrs/wk","",IF($X$49&gt;'FORMULA REFS'!AH$1,$Z123,"")))</f>
        <v/>
      </c>
      <c r="BO123" s="497" t="str">
        <f>IF($X$49="WEEKS","",IF($Z123="Manual Entry hrs/wk","",IF($X$49&gt;'FORMULA REFS'!AI$1,$Z123,"")))</f>
        <v/>
      </c>
      <c r="BP123" s="497" t="str">
        <f>IF($X$49="WEEKS","",IF($Z123="Manual Entry hrs/wk","",IF($X$49&gt;'FORMULA REFS'!AJ$1,$Z123,"")))</f>
        <v/>
      </c>
      <c r="BQ123" s="497" t="str">
        <f>IF($X$49="WEEKS","",IF($Z123="Manual Entry hrs/wk","",IF($X$49&gt;'FORMULA REFS'!AK$1,$Z123,"")))</f>
        <v/>
      </c>
      <c r="BR123" s="497" t="str">
        <f>IF($X$49="WEEKS","",IF($Z123="Manual Entry hrs/wk","",IF($X$49&gt;'FORMULA REFS'!AL$1,$Z123,"")))</f>
        <v/>
      </c>
      <c r="BS123" s="497" t="str">
        <f>IF($X$49="WEEKS","",IF($Z123="Manual Entry hrs/wk","",IF($X$49&gt;'FORMULA REFS'!AM$1,$Z123,"")))</f>
        <v/>
      </c>
      <c r="BT123" s="497" t="str">
        <f>IF($X$49="WEEKS","",IF($Z123="Manual Entry hrs/wk","",IF($X$49&gt;'FORMULA REFS'!AN$1,$Z123,"")))</f>
        <v/>
      </c>
      <c r="BU123" s="497" t="str">
        <f>IF($X$49="WEEKS","",IF($Z123="Manual Entry hrs/wk","",IF($X$49&gt;'FORMULA REFS'!AO$1,$Z123,"")))</f>
        <v/>
      </c>
      <c r="BV123" s="497" t="str">
        <f>IF($X$49="WEEKS","",IF($Z123="Manual Entry hrs/wk","",IF($X$49&gt;'FORMULA REFS'!AP$1,$Z123,"")))</f>
        <v/>
      </c>
      <c r="BW123" s="497" t="str">
        <f>IF($X$49="WEEKS","",IF($Z123="Manual Entry hrs/wk","",IF($X$49&gt;'FORMULA REFS'!AQ$1,$Z123,"")))</f>
        <v/>
      </c>
      <c r="BX123" s="497" t="str">
        <f>IF($X$49="WEEKS","",IF($Z123="Manual Entry hrs/wk","",IF($X$49&gt;'FORMULA REFS'!AR$1,$Z123,"")))</f>
        <v/>
      </c>
      <c r="BY123" s="497" t="str">
        <f>IF($X$49="WEEKS","",IF($Z123="Manual Entry hrs/wk","",IF($X$49&gt;'FORMULA REFS'!AS$1,$Z123,"")))</f>
        <v/>
      </c>
      <c r="BZ123" s="497" t="str">
        <f>IF($X$49="WEEKS","",IF($Z123="Manual Entry hrs/wk","",IF($X$49&gt;'FORMULA REFS'!AT$1,$Z123,"")))</f>
        <v/>
      </c>
      <c r="CA123" s="497" t="str">
        <f>IF($X$49="WEEKS","",IF($Z123="Manual Entry hrs/wk","",IF($X$49&gt;'FORMULA REFS'!AU$1,$Z123,"")))</f>
        <v/>
      </c>
      <c r="CB123" s="497" t="str">
        <f>IF($X$49="WEEKS","",IF($Z123="Manual Entry hrs/wk","",IF($X$49&gt;'FORMULA REFS'!AV$1,$Z123,"")))</f>
        <v/>
      </c>
      <c r="CC123" s="497" t="str">
        <f>IF($X$49="WEEKS","",IF($Z123="Manual Entry hrs/wk","",IF($X$49&gt;'FORMULA REFS'!AW$1,$Z123,"")))</f>
        <v/>
      </c>
      <c r="CD123" s="497" t="str">
        <f>IF($X$49="WEEKS","",IF($Z123="Manual Entry hrs/wk","",IF($X$49&gt;'FORMULA REFS'!AX$1,$Z123,"")))</f>
        <v/>
      </c>
      <c r="CE123" s="497" t="str">
        <f>IF($X$49="WEEKS","",IF($Z123="Manual Entry hrs/wk","",IF($X$49&gt;'FORMULA REFS'!AY$1,$Z123,"")))</f>
        <v/>
      </c>
      <c r="CF123" s="497" t="str">
        <f>IF($X$49="WEEKS","",IF($Z123="Manual Entry hrs/wk","",IF($X$49&gt;'FORMULA REFS'!AZ$1,$Z123,"")))</f>
        <v/>
      </c>
      <c r="CG123" s="113"/>
      <c r="CH123" s="349" t="str">
        <f t="shared" si="20"/>
        <v/>
      </c>
      <c r="CI123" s="349"/>
      <c r="CJ123" s="349"/>
      <c r="CK123" s="349"/>
      <c r="CL123" s="350"/>
    </row>
    <row r="124" spans="2:90" hidden="1" outlineLevel="2" x14ac:dyDescent="0.3">
      <c r="B124">
        <v>75</v>
      </c>
      <c r="C124" s="346"/>
      <c r="D124" s="495"/>
      <c r="E124" s="346"/>
      <c r="F124" s="346" t="str">
        <f>IFERROR(_xlfn.XLOOKUP(E124,'Standard Rate Cards'!$BB$11:$BB$23,'Standard Rate Cards'!$BA$11:$BA$23),"")</f>
        <v/>
      </c>
      <c r="G124" s="346"/>
      <c r="H124" s="346" t="str">
        <f>IFERROR(_xlfn.XLOOKUP(G124,'Standard Rate Cards'!$AP$8:$AP$142,'Standard Rate Cards'!$AQ$8:$AQ$142),"")</f>
        <v/>
      </c>
      <c r="I124" s="346"/>
      <c r="J124" s="346"/>
      <c r="K124" s="496"/>
      <c r="L124" s="496">
        <f t="shared" si="21"/>
        <v>0</v>
      </c>
      <c r="M124" s="496" t="str" cm="1">
        <f t="array" ref="M124">IF(ISBLANK(D124),"",IF(D124&lt;&gt;"CrederaUS",INDEX('Standard Rate Cards'!$D$9:$D$433,MATCH(1,('Standard Rate Cards'!$B$9:$B$433='2. Pricing &amp; Import'!D124)*('Standard Rate Cards'!$C$9:$C$433='2. Pricing &amp; Import'!K124),0)),INDEX('Standard Rate Cards'!$D$9:$D$433,MATCH(1,('Standard Rate Cards'!$B$9:$B$433='2. Pricing &amp; Import'!D124)*('Standard Rate Cards'!$C$9:$C$433='2. Pricing &amp; Import'!K124)*('Standard Rate Cards'!$H$9:$H$433=L124),0))))</f>
        <v/>
      </c>
      <c r="N124" s="347"/>
      <c r="O124" s="110"/>
      <c r="P124" s="246"/>
      <c r="Q124" s="348"/>
      <c r="R124" s="250"/>
      <c r="S124" s="250"/>
      <c r="T124" s="614"/>
      <c r="U124" s="1637"/>
      <c r="V124" s="1638"/>
      <c r="W124" s="614"/>
      <c r="X124" s="681" t="str">
        <f t="shared" si="22"/>
        <v/>
      </c>
      <c r="Y124" s="682" t="str">
        <f t="shared" si="23"/>
        <v/>
      </c>
      <c r="Z124" s="1630" t="s">
        <v>309</v>
      </c>
      <c r="AA124" s="1631"/>
      <c r="AB124" s="94"/>
      <c r="AC124" s="94"/>
      <c r="AD124" s="94"/>
      <c r="AE124" s="94"/>
      <c r="AF124" s="94"/>
      <c r="AG124" s="497" t="str">
        <f>IF($X$49="WEEKS","",IF($Z124="Manual Entry hrs/wk","",IF($X$49&gt;'FORMULA REFS'!A$1,$Z124,"")))</f>
        <v/>
      </c>
      <c r="AH124" s="497" t="str">
        <f>IF($X$49="WEEKS","",IF($Z124="Manual Entry hrs/wk","",IF($X$49&gt;'FORMULA REFS'!B$1,$Z124,"")))</f>
        <v/>
      </c>
      <c r="AI124" s="497" t="str">
        <f>IF($X$49="WEEKS","",IF($Z124="Manual Entry hrs/wk","",IF($X$49&gt;'FORMULA REFS'!C$1,$Z124,"")))</f>
        <v/>
      </c>
      <c r="AJ124" s="497" t="str">
        <f>IF($X$49="WEEKS","",IF($Z124="Manual Entry hrs/wk","",IF($X$49&gt;'FORMULA REFS'!D$1,$Z124,"")))</f>
        <v/>
      </c>
      <c r="AK124" s="497" t="str">
        <f>IF($X$49="WEEKS","",IF($Z124="Manual Entry hrs/wk","",IF($X$49&gt;'FORMULA REFS'!E$1,$Z124,"")))</f>
        <v/>
      </c>
      <c r="AL124" s="497" t="str">
        <f>IF($X$49="WEEKS","",IF($Z124="Manual Entry hrs/wk","",IF($X$49&gt;'FORMULA REFS'!F$1,$Z124,"")))</f>
        <v/>
      </c>
      <c r="AM124" s="497" t="str">
        <f>IF($X$49="WEEKS","",IF($Z124="Manual Entry hrs/wk","",IF($X$49&gt;'FORMULA REFS'!G$1,$Z124,"")))</f>
        <v/>
      </c>
      <c r="AN124" s="497" t="str">
        <f>IF($X$49="WEEKS","",IF($Z124="Manual Entry hrs/wk","",IF($X$49&gt;'FORMULA REFS'!H$1,$Z124,"")))</f>
        <v/>
      </c>
      <c r="AO124" s="497" t="str">
        <f>IF($X$49="WEEKS","",IF($Z124="Manual Entry hrs/wk","",IF($X$49&gt;'FORMULA REFS'!I$1,$Z124,"")))</f>
        <v/>
      </c>
      <c r="AP124" s="497" t="str">
        <f>IF($X$49="WEEKS","",IF($Z124="Manual Entry hrs/wk","",IF($X$49&gt;'FORMULA REFS'!J$1,$Z124,"")))</f>
        <v/>
      </c>
      <c r="AQ124" s="497" t="str">
        <f>IF($X$49="WEEKS","",IF($Z124="Manual Entry hrs/wk","",IF($X$49&gt;'FORMULA REFS'!K$1,$Z124,"")))</f>
        <v/>
      </c>
      <c r="AR124" s="497" t="str">
        <f>IF($X$49="WEEKS","",IF($Z124="Manual Entry hrs/wk","",IF($X$49&gt;'FORMULA REFS'!L$1,$Z124,"")))</f>
        <v/>
      </c>
      <c r="AS124" s="497" t="str">
        <f>IF($X$49="WEEKS","",IF($Z124="Manual Entry hrs/wk","",IF($X$49&gt;'FORMULA REFS'!M$1,$Z124,"")))</f>
        <v/>
      </c>
      <c r="AT124" s="497" t="str">
        <f>IF($X$49="WEEKS","",IF($Z124="Manual Entry hrs/wk","",IF($X$49&gt;'FORMULA REFS'!N$1,$Z124,"")))</f>
        <v/>
      </c>
      <c r="AU124" s="497" t="str">
        <f>IF($X$49="WEEKS","",IF($Z124="Manual Entry hrs/wk","",IF($X$49&gt;'FORMULA REFS'!O$1,$Z124,"")))</f>
        <v/>
      </c>
      <c r="AV124" s="497" t="str">
        <f>IF($X$49="WEEKS","",IF($Z124="Manual Entry hrs/wk","",IF($X$49&gt;'FORMULA REFS'!P$1,$Z124,"")))</f>
        <v/>
      </c>
      <c r="AW124" s="497" t="str">
        <f>IF($X$49="WEEKS","",IF($Z124="Manual Entry hrs/wk","",IF($X$49&gt;'FORMULA REFS'!Q$1,$Z124,"")))</f>
        <v/>
      </c>
      <c r="AX124" s="497" t="str">
        <f>IF($X$49="WEEKS","",IF($Z124="Manual Entry hrs/wk","",IF($X$49&gt;'FORMULA REFS'!R$1,$Z124,"")))</f>
        <v/>
      </c>
      <c r="AY124" s="497" t="str">
        <f>IF($X$49="WEEKS","",IF($Z124="Manual Entry hrs/wk","",IF($X$49&gt;'FORMULA REFS'!S$1,$Z124,"")))</f>
        <v/>
      </c>
      <c r="AZ124" s="497" t="str">
        <f>IF($X$49="WEEKS","",IF($Z124="Manual Entry hrs/wk","",IF($X$49&gt;'FORMULA REFS'!T$1,$Z124,"")))</f>
        <v/>
      </c>
      <c r="BA124" s="497" t="str">
        <f>IF($X$49="WEEKS","",IF($Z124="Manual Entry hrs/wk","",IF($X$49&gt;'FORMULA REFS'!U$1,$Z124,"")))</f>
        <v/>
      </c>
      <c r="BB124" s="497" t="str">
        <f>IF($X$49="WEEKS","",IF($Z124="Manual Entry hrs/wk","",IF($X$49&gt;'FORMULA REFS'!V$1,$Z124,"")))</f>
        <v/>
      </c>
      <c r="BC124" s="497" t="str">
        <f>IF($X$49="WEEKS","",IF($Z124="Manual Entry hrs/wk","",IF($X$49&gt;'FORMULA REFS'!W$1,$Z124,"")))</f>
        <v/>
      </c>
      <c r="BD124" s="497" t="str">
        <f>IF($X$49="WEEKS","",IF($Z124="Manual Entry hrs/wk","",IF($X$49&gt;'FORMULA REFS'!X$1,$Z124,"")))</f>
        <v/>
      </c>
      <c r="BE124" s="497" t="str">
        <f>IF($X$49="WEEKS","",IF($Z124="Manual Entry hrs/wk","",IF($X$49&gt;'FORMULA REFS'!Y$1,$Z124,"")))</f>
        <v/>
      </c>
      <c r="BF124" s="497" t="str">
        <f>IF($X$49="WEEKS","",IF($Z124="Manual Entry hrs/wk","",IF($X$49&gt;'FORMULA REFS'!Z$1,$Z124,"")))</f>
        <v/>
      </c>
      <c r="BG124" s="497" t="str">
        <f>IF($X$49="WEEKS","",IF($Z124="Manual Entry hrs/wk","",IF($X$49&gt;'FORMULA REFS'!AA$1,$Z124,"")))</f>
        <v/>
      </c>
      <c r="BH124" s="497" t="str">
        <f>IF($X$49="WEEKS","",IF($Z124="Manual Entry hrs/wk","",IF($X$49&gt;'FORMULA REFS'!AB$1,$Z124,"")))</f>
        <v/>
      </c>
      <c r="BI124" s="497" t="str">
        <f>IF($X$49="WEEKS","",IF($Z124="Manual Entry hrs/wk","",IF($X$49&gt;'FORMULA REFS'!AC$1,$Z124,"")))</f>
        <v/>
      </c>
      <c r="BJ124" s="497" t="str">
        <f>IF($X$49="WEEKS","",IF($Z124="Manual Entry hrs/wk","",IF($X$49&gt;'FORMULA REFS'!AD$1,$Z124,"")))</f>
        <v/>
      </c>
      <c r="BK124" s="497" t="str">
        <f>IF($X$49="WEEKS","",IF($Z124="Manual Entry hrs/wk","",IF($X$49&gt;'FORMULA REFS'!AE$1,$Z124,"")))</f>
        <v/>
      </c>
      <c r="BL124" s="497" t="str">
        <f>IF($X$49="WEEKS","",IF($Z124="Manual Entry hrs/wk","",IF($X$49&gt;'FORMULA REFS'!AF$1,$Z124,"")))</f>
        <v/>
      </c>
      <c r="BM124" s="497" t="str">
        <f>IF($X$49="WEEKS","",IF($Z124="Manual Entry hrs/wk","",IF($X$49&gt;'FORMULA REFS'!AG$1,$Z124,"")))</f>
        <v/>
      </c>
      <c r="BN124" s="497" t="str">
        <f>IF($X$49="WEEKS","",IF($Z124="Manual Entry hrs/wk","",IF($X$49&gt;'FORMULA REFS'!AH$1,$Z124,"")))</f>
        <v/>
      </c>
      <c r="BO124" s="497" t="str">
        <f>IF($X$49="WEEKS","",IF($Z124="Manual Entry hrs/wk","",IF($X$49&gt;'FORMULA REFS'!AI$1,$Z124,"")))</f>
        <v/>
      </c>
      <c r="BP124" s="497" t="str">
        <f>IF($X$49="WEEKS","",IF($Z124="Manual Entry hrs/wk","",IF($X$49&gt;'FORMULA REFS'!AJ$1,$Z124,"")))</f>
        <v/>
      </c>
      <c r="BQ124" s="497" t="str">
        <f>IF($X$49="WEEKS","",IF($Z124="Manual Entry hrs/wk","",IF($X$49&gt;'FORMULA REFS'!AK$1,$Z124,"")))</f>
        <v/>
      </c>
      <c r="BR124" s="497" t="str">
        <f>IF($X$49="WEEKS","",IF($Z124="Manual Entry hrs/wk","",IF($X$49&gt;'FORMULA REFS'!AL$1,$Z124,"")))</f>
        <v/>
      </c>
      <c r="BS124" s="497" t="str">
        <f>IF($X$49="WEEKS","",IF($Z124="Manual Entry hrs/wk","",IF($X$49&gt;'FORMULA REFS'!AM$1,$Z124,"")))</f>
        <v/>
      </c>
      <c r="BT124" s="497" t="str">
        <f>IF($X$49="WEEKS","",IF($Z124="Manual Entry hrs/wk","",IF($X$49&gt;'FORMULA REFS'!AN$1,$Z124,"")))</f>
        <v/>
      </c>
      <c r="BU124" s="497" t="str">
        <f>IF($X$49="WEEKS","",IF($Z124="Manual Entry hrs/wk","",IF($X$49&gt;'FORMULA REFS'!AO$1,$Z124,"")))</f>
        <v/>
      </c>
      <c r="BV124" s="497" t="str">
        <f>IF($X$49="WEEKS","",IF($Z124="Manual Entry hrs/wk","",IF($X$49&gt;'FORMULA REFS'!AP$1,$Z124,"")))</f>
        <v/>
      </c>
      <c r="BW124" s="497" t="str">
        <f>IF($X$49="WEEKS","",IF($Z124="Manual Entry hrs/wk","",IF($X$49&gt;'FORMULA REFS'!AQ$1,$Z124,"")))</f>
        <v/>
      </c>
      <c r="BX124" s="497" t="str">
        <f>IF($X$49="WEEKS","",IF($Z124="Manual Entry hrs/wk","",IF($X$49&gt;'FORMULA REFS'!AR$1,$Z124,"")))</f>
        <v/>
      </c>
      <c r="BY124" s="497" t="str">
        <f>IF($X$49="WEEKS","",IF($Z124="Manual Entry hrs/wk","",IF($X$49&gt;'FORMULA REFS'!AS$1,$Z124,"")))</f>
        <v/>
      </c>
      <c r="BZ124" s="497" t="str">
        <f>IF($X$49="WEEKS","",IF($Z124="Manual Entry hrs/wk","",IF($X$49&gt;'FORMULA REFS'!AT$1,$Z124,"")))</f>
        <v/>
      </c>
      <c r="CA124" s="497" t="str">
        <f>IF($X$49="WEEKS","",IF($Z124="Manual Entry hrs/wk","",IF($X$49&gt;'FORMULA REFS'!AU$1,$Z124,"")))</f>
        <v/>
      </c>
      <c r="CB124" s="497" t="str">
        <f>IF($X$49="WEEKS","",IF($Z124="Manual Entry hrs/wk","",IF($X$49&gt;'FORMULA REFS'!AV$1,$Z124,"")))</f>
        <v/>
      </c>
      <c r="CC124" s="497" t="str">
        <f>IF($X$49="WEEKS","",IF($Z124="Manual Entry hrs/wk","",IF($X$49&gt;'FORMULA REFS'!AW$1,$Z124,"")))</f>
        <v/>
      </c>
      <c r="CD124" s="497" t="str">
        <f>IF($X$49="WEEKS","",IF($Z124="Manual Entry hrs/wk","",IF($X$49&gt;'FORMULA REFS'!AX$1,$Z124,"")))</f>
        <v/>
      </c>
      <c r="CE124" s="497" t="str">
        <f>IF($X$49="WEEKS","",IF($Z124="Manual Entry hrs/wk","",IF($X$49&gt;'FORMULA REFS'!AY$1,$Z124,"")))</f>
        <v/>
      </c>
      <c r="CF124" s="497" t="str">
        <f>IF($X$49="WEEKS","",IF($Z124="Manual Entry hrs/wk","",IF($X$49&gt;'FORMULA REFS'!AZ$1,$Z124,"")))</f>
        <v/>
      </c>
      <c r="CG124" s="113"/>
      <c r="CH124" s="349" t="str">
        <f t="shared" si="20"/>
        <v/>
      </c>
      <c r="CI124" s="349"/>
      <c r="CJ124" s="349"/>
      <c r="CK124" s="349"/>
      <c r="CL124" s="350"/>
    </row>
    <row r="125" spans="2:90" hidden="1" outlineLevel="3" x14ac:dyDescent="0.3">
      <c r="B125">
        <v>76</v>
      </c>
      <c r="C125" s="346"/>
      <c r="D125" s="495"/>
      <c r="E125" s="346"/>
      <c r="F125" s="346" t="str">
        <f>IFERROR(_xlfn.XLOOKUP(E125,'Standard Rate Cards'!$BB$11:$BB$23,'Standard Rate Cards'!$BA$11:$BA$23),"")</f>
        <v/>
      </c>
      <c r="G125" s="346"/>
      <c r="H125" s="346" t="str">
        <f>IFERROR(_xlfn.XLOOKUP(G125,'Standard Rate Cards'!$AP$8:$AP$142,'Standard Rate Cards'!$AQ$8:$AQ$142),"")</f>
        <v/>
      </c>
      <c r="I125" s="346"/>
      <c r="J125" s="346"/>
      <c r="K125" s="496"/>
      <c r="L125" s="496">
        <f t="shared" si="21"/>
        <v>0</v>
      </c>
      <c r="M125" s="496" t="str" cm="1">
        <f t="array" ref="M125">IF(ISBLANK(D125),"",IF(D125&lt;&gt;"CrederaUS",INDEX('Standard Rate Cards'!$D$9:$D$433,MATCH(1,('Standard Rate Cards'!$B$9:$B$433='2. Pricing &amp; Import'!D125)*('Standard Rate Cards'!$C$9:$C$433='2. Pricing &amp; Import'!K125),0)),INDEX('Standard Rate Cards'!$D$9:$D$433,MATCH(1,('Standard Rate Cards'!$B$9:$B$433='2. Pricing &amp; Import'!D125)*('Standard Rate Cards'!$C$9:$C$433='2. Pricing &amp; Import'!K125)*('Standard Rate Cards'!$H$9:$H$433=L125),0))))</f>
        <v/>
      </c>
      <c r="N125" s="347"/>
      <c r="O125" s="110"/>
      <c r="P125" s="246"/>
      <c r="Q125" s="348"/>
      <c r="R125" s="250"/>
      <c r="S125" s="250"/>
      <c r="T125" s="614"/>
      <c r="U125" s="1637"/>
      <c r="V125" s="1638"/>
      <c r="W125" s="614"/>
      <c r="X125" s="681" t="str">
        <f t="shared" si="22"/>
        <v/>
      </c>
      <c r="Y125" s="682" t="str">
        <f t="shared" si="23"/>
        <v/>
      </c>
      <c r="Z125" s="1630" t="s">
        <v>309</v>
      </c>
      <c r="AA125" s="1631"/>
      <c r="AB125" s="94"/>
      <c r="AC125" s="94"/>
      <c r="AD125" s="94"/>
      <c r="AE125" s="94"/>
      <c r="AF125" s="94"/>
      <c r="AG125" s="497" t="str">
        <f>IF($X$49="WEEKS","",IF($Z125="Manual Entry hrs/wk","",IF($X$49&gt;'FORMULA REFS'!A$1,$Z125,"")))</f>
        <v/>
      </c>
      <c r="AH125" s="497" t="str">
        <f>IF($X$49="WEEKS","",IF($Z125="Manual Entry hrs/wk","",IF($X$49&gt;'FORMULA REFS'!B$1,$Z125,"")))</f>
        <v/>
      </c>
      <c r="AI125" s="497" t="str">
        <f>IF($X$49="WEEKS","",IF($Z125="Manual Entry hrs/wk","",IF($X$49&gt;'FORMULA REFS'!C$1,$Z125,"")))</f>
        <v/>
      </c>
      <c r="AJ125" s="497" t="str">
        <f>IF($X$49="WEEKS","",IF($Z125="Manual Entry hrs/wk","",IF($X$49&gt;'FORMULA REFS'!D$1,$Z125,"")))</f>
        <v/>
      </c>
      <c r="AK125" s="497" t="str">
        <f>IF($X$49="WEEKS","",IF($Z125="Manual Entry hrs/wk","",IF($X$49&gt;'FORMULA REFS'!E$1,$Z125,"")))</f>
        <v/>
      </c>
      <c r="AL125" s="497" t="str">
        <f>IF($X$49="WEEKS","",IF($Z125="Manual Entry hrs/wk","",IF($X$49&gt;'FORMULA REFS'!F$1,$Z125,"")))</f>
        <v/>
      </c>
      <c r="AM125" s="497" t="str">
        <f>IF($X$49="WEEKS","",IF($Z125="Manual Entry hrs/wk","",IF($X$49&gt;'FORMULA REFS'!G$1,$Z125,"")))</f>
        <v/>
      </c>
      <c r="AN125" s="497" t="str">
        <f>IF($X$49="WEEKS","",IF($Z125="Manual Entry hrs/wk","",IF($X$49&gt;'FORMULA REFS'!H$1,$Z125,"")))</f>
        <v/>
      </c>
      <c r="AO125" s="497" t="str">
        <f>IF($X$49="WEEKS","",IF($Z125="Manual Entry hrs/wk","",IF($X$49&gt;'FORMULA REFS'!I$1,$Z125,"")))</f>
        <v/>
      </c>
      <c r="AP125" s="497" t="str">
        <f>IF($X$49="WEEKS","",IF($Z125="Manual Entry hrs/wk","",IF($X$49&gt;'FORMULA REFS'!J$1,$Z125,"")))</f>
        <v/>
      </c>
      <c r="AQ125" s="497" t="str">
        <f>IF($X$49="WEEKS","",IF($Z125="Manual Entry hrs/wk","",IF($X$49&gt;'FORMULA REFS'!K$1,$Z125,"")))</f>
        <v/>
      </c>
      <c r="AR125" s="497" t="str">
        <f>IF($X$49="WEEKS","",IF($Z125="Manual Entry hrs/wk","",IF($X$49&gt;'FORMULA REFS'!L$1,$Z125,"")))</f>
        <v/>
      </c>
      <c r="AS125" s="497" t="str">
        <f>IF($X$49="WEEKS","",IF($Z125="Manual Entry hrs/wk","",IF($X$49&gt;'FORMULA REFS'!M$1,$Z125,"")))</f>
        <v/>
      </c>
      <c r="AT125" s="497" t="str">
        <f>IF($X$49="WEEKS","",IF($Z125="Manual Entry hrs/wk","",IF($X$49&gt;'FORMULA REFS'!N$1,$Z125,"")))</f>
        <v/>
      </c>
      <c r="AU125" s="497" t="str">
        <f>IF($X$49="WEEKS","",IF($Z125="Manual Entry hrs/wk","",IF($X$49&gt;'FORMULA REFS'!O$1,$Z125,"")))</f>
        <v/>
      </c>
      <c r="AV125" s="497" t="str">
        <f>IF($X$49="WEEKS","",IF($Z125="Manual Entry hrs/wk","",IF($X$49&gt;'FORMULA REFS'!P$1,$Z125,"")))</f>
        <v/>
      </c>
      <c r="AW125" s="497" t="str">
        <f>IF($X$49="WEEKS","",IF($Z125="Manual Entry hrs/wk","",IF($X$49&gt;'FORMULA REFS'!Q$1,$Z125,"")))</f>
        <v/>
      </c>
      <c r="AX125" s="497" t="str">
        <f>IF($X$49="WEEKS","",IF($Z125="Manual Entry hrs/wk","",IF($X$49&gt;'FORMULA REFS'!R$1,$Z125,"")))</f>
        <v/>
      </c>
      <c r="AY125" s="497" t="str">
        <f>IF($X$49="WEEKS","",IF($Z125="Manual Entry hrs/wk","",IF($X$49&gt;'FORMULA REFS'!S$1,$Z125,"")))</f>
        <v/>
      </c>
      <c r="AZ125" s="497" t="str">
        <f>IF($X$49="WEEKS","",IF($Z125="Manual Entry hrs/wk","",IF($X$49&gt;'FORMULA REFS'!T$1,$Z125,"")))</f>
        <v/>
      </c>
      <c r="BA125" s="497" t="str">
        <f>IF($X$49="WEEKS","",IF($Z125="Manual Entry hrs/wk","",IF($X$49&gt;'FORMULA REFS'!U$1,$Z125,"")))</f>
        <v/>
      </c>
      <c r="BB125" s="497" t="str">
        <f>IF($X$49="WEEKS","",IF($Z125="Manual Entry hrs/wk","",IF($X$49&gt;'FORMULA REFS'!V$1,$Z125,"")))</f>
        <v/>
      </c>
      <c r="BC125" s="497" t="str">
        <f>IF($X$49="WEEKS","",IF($Z125="Manual Entry hrs/wk","",IF($X$49&gt;'FORMULA REFS'!W$1,$Z125,"")))</f>
        <v/>
      </c>
      <c r="BD125" s="497" t="str">
        <f>IF($X$49="WEEKS","",IF($Z125="Manual Entry hrs/wk","",IF($X$49&gt;'FORMULA REFS'!X$1,$Z125,"")))</f>
        <v/>
      </c>
      <c r="BE125" s="497" t="str">
        <f>IF($X$49="WEEKS","",IF($Z125="Manual Entry hrs/wk","",IF($X$49&gt;'FORMULA REFS'!Y$1,$Z125,"")))</f>
        <v/>
      </c>
      <c r="BF125" s="497" t="str">
        <f>IF($X$49="WEEKS","",IF($Z125="Manual Entry hrs/wk","",IF($X$49&gt;'FORMULA REFS'!Z$1,$Z125,"")))</f>
        <v/>
      </c>
      <c r="BG125" s="497" t="str">
        <f>IF($X$49="WEEKS","",IF($Z125="Manual Entry hrs/wk","",IF($X$49&gt;'FORMULA REFS'!AA$1,$Z125,"")))</f>
        <v/>
      </c>
      <c r="BH125" s="497" t="str">
        <f>IF($X$49="WEEKS","",IF($Z125="Manual Entry hrs/wk","",IF($X$49&gt;'FORMULA REFS'!AB$1,$Z125,"")))</f>
        <v/>
      </c>
      <c r="BI125" s="497" t="str">
        <f>IF($X$49="WEEKS","",IF($Z125="Manual Entry hrs/wk","",IF($X$49&gt;'FORMULA REFS'!AC$1,$Z125,"")))</f>
        <v/>
      </c>
      <c r="BJ125" s="497" t="str">
        <f>IF($X$49="WEEKS","",IF($Z125="Manual Entry hrs/wk","",IF($X$49&gt;'FORMULA REFS'!AD$1,$Z125,"")))</f>
        <v/>
      </c>
      <c r="BK125" s="497" t="str">
        <f>IF($X$49="WEEKS","",IF($Z125="Manual Entry hrs/wk","",IF($X$49&gt;'FORMULA REFS'!AE$1,$Z125,"")))</f>
        <v/>
      </c>
      <c r="BL125" s="497" t="str">
        <f>IF($X$49="WEEKS","",IF($Z125="Manual Entry hrs/wk","",IF($X$49&gt;'FORMULA REFS'!AF$1,$Z125,"")))</f>
        <v/>
      </c>
      <c r="BM125" s="497" t="str">
        <f>IF($X$49="WEEKS","",IF($Z125="Manual Entry hrs/wk","",IF($X$49&gt;'FORMULA REFS'!AG$1,$Z125,"")))</f>
        <v/>
      </c>
      <c r="BN125" s="497" t="str">
        <f>IF($X$49="WEEKS","",IF($Z125="Manual Entry hrs/wk","",IF($X$49&gt;'FORMULA REFS'!AH$1,$Z125,"")))</f>
        <v/>
      </c>
      <c r="BO125" s="497" t="str">
        <f>IF($X$49="WEEKS","",IF($Z125="Manual Entry hrs/wk","",IF($X$49&gt;'FORMULA REFS'!AI$1,$Z125,"")))</f>
        <v/>
      </c>
      <c r="BP125" s="497" t="str">
        <f>IF($X$49="WEEKS","",IF($Z125="Manual Entry hrs/wk","",IF($X$49&gt;'FORMULA REFS'!AJ$1,$Z125,"")))</f>
        <v/>
      </c>
      <c r="BQ125" s="497" t="str">
        <f>IF($X$49="WEEKS","",IF($Z125="Manual Entry hrs/wk","",IF($X$49&gt;'FORMULA REFS'!AK$1,$Z125,"")))</f>
        <v/>
      </c>
      <c r="BR125" s="497" t="str">
        <f>IF($X$49="WEEKS","",IF($Z125="Manual Entry hrs/wk","",IF($X$49&gt;'FORMULA REFS'!AL$1,$Z125,"")))</f>
        <v/>
      </c>
      <c r="BS125" s="497" t="str">
        <f>IF($X$49="WEEKS","",IF($Z125="Manual Entry hrs/wk","",IF($X$49&gt;'FORMULA REFS'!AM$1,$Z125,"")))</f>
        <v/>
      </c>
      <c r="BT125" s="497" t="str">
        <f>IF($X$49="WEEKS","",IF($Z125="Manual Entry hrs/wk","",IF($X$49&gt;'FORMULA REFS'!AN$1,$Z125,"")))</f>
        <v/>
      </c>
      <c r="BU125" s="497" t="str">
        <f>IF($X$49="WEEKS","",IF($Z125="Manual Entry hrs/wk","",IF($X$49&gt;'FORMULA REFS'!AO$1,$Z125,"")))</f>
        <v/>
      </c>
      <c r="BV125" s="497" t="str">
        <f>IF($X$49="WEEKS","",IF($Z125="Manual Entry hrs/wk","",IF($X$49&gt;'FORMULA REFS'!AP$1,$Z125,"")))</f>
        <v/>
      </c>
      <c r="BW125" s="497" t="str">
        <f>IF($X$49="WEEKS","",IF($Z125="Manual Entry hrs/wk","",IF($X$49&gt;'FORMULA REFS'!AQ$1,$Z125,"")))</f>
        <v/>
      </c>
      <c r="BX125" s="497" t="str">
        <f>IF($X$49="WEEKS","",IF($Z125="Manual Entry hrs/wk","",IF($X$49&gt;'FORMULA REFS'!AR$1,$Z125,"")))</f>
        <v/>
      </c>
      <c r="BY125" s="497" t="str">
        <f>IF($X$49="WEEKS","",IF($Z125="Manual Entry hrs/wk","",IF($X$49&gt;'FORMULA REFS'!AS$1,$Z125,"")))</f>
        <v/>
      </c>
      <c r="BZ125" s="497" t="str">
        <f>IF($X$49="WEEKS","",IF($Z125="Manual Entry hrs/wk","",IF($X$49&gt;'FORMULA REFS'!AT$1,$Z125,"")))</f>
        <v/>
      </c>
      <c r="CA125" s="497" t="str">
        <f>IF($X$49="WEEKS","",IF($Z125="Manual Entry hrs/wk","",IF($X$49&gt;'FORMULA REFS'!AU$1,$Z125,"")))</f>
        <v/>
      </c>
      <c r="CB125" s="497" t="str">
        <f>IF($X$49="WEEKS","",IF($Z125="Manual Entry hrs/wk","",IF($X$49&gt;'FORMULA REFS'!AV$1,$Z125,"")))</f>
        <v/>
      </c>
      <c r="CC125" s="497" t="str">
        <f>IF($X$49="WEEKS","",IF($Z125="Manual Entry hrs/wk","",IF($X$49&gt;'FORMULA REFS'!AW$1,$Z125,"")))</f>
        <v/>
      </c>
      <c r="CD125" s="497" t="str">
        <f>IF($X$49="WEEKS","",IF($Z125="Manual Entry hrs/wk","",IF($X$49&gt;'FORMULA REFS'!AX$1,$Z125,"")))</f>
        <v/>
      </c>
      <c r="CE125" s="497" t="str">
        <f>IF($X$49="WEEKS","",IF($Z125="Manual Entry hrs/wk","",IF($X$49&gt;'FORMULA REFS'!AY$1,$Z125,"")))</f>
        <v/>
      </c>
      <c r="CF125" s="497" t="str">
        <f>IF($X$49="WEEKS","",IF($Z125="Manual Entry hrs/wk","",IF($X$49&gt;'FORMULA REFS'!AZ$1,$Z125,"")))</f>
        <v/>
      </c>
      <c r="CG125" s="113"/>
      <c r="CH125" s="349" t="str">
        <f t="shared" si="20"/>
        <v/>
      </c>
      <c r="CI125" s="349"/>
      <c r="CJ125" s="349"/>
      <c r="CK125" s="349"/>
      <c r="CL125" s="350"/>
    </row>
    <row r="126" spans="2:90" hidden="1" outlineLevel="3" x14ac:dyDescent="0.3">
      <c r="B126">
        <v>77</v>
      </c>
      <c r="C126" s="346"/>
      <c r="D126" s="495"/>
      <c r="E126" s="346"/>
      <c r="F126" s="346" t="str">
        <f>IFERROR(_xlfn.XLOOKUP(E126,'Standard Rate Cards'!$BB$11:$BB$23,'Standard Rate Cards'!$BA$11:$BA$23),"")</f>
        <v/>
      </c>
      <c r="G126" s="346"/>
      <c r="H126" s="346" t="str">
        <f>IFERROR(_xlfn.XLOOKUP(G126,'Standard Rate Cards'!$AP$8:$AP$142,'Standard Rate Cards'!$AQ$8:$AQ$142),"")</f>
        <v/>
      </c>
      <c r="I126" s="346"/>
      <c r="J126" s="346"/>
      <c r="K126" s="496"/>
      <c r="L126" s="496">
        <f t="shared" si="21"/>
        <v>0</v>
      </c>
      <c r="M126" s="496" t="str" cm="1">
        <f t="array" ref="M126">IF(ISBLANK(D126),"",IF(D126&lt;&gt;"CrederaUS",INDEX('Standard Rate Cards'!$D$9:$D$433,MATCH(1,('Standard Rate Cards'!$B$9:$B$433='2. Pricing &amp; Import'!D126)*('Standard Rate Cards'!$C$9:$C$433='2. Pricing &amp; Import'!K126),0)),INDEX('Standard Rate Cards'!$D$9:$D$433,MATCH(1,('Standard Rate Cards'!$B$9:$B$433='2. Pricing &amp; Import'!D126)*('Standard Rate Cards'!$C$9:$C$433='2. Pricing &amp; Import'!K126)*('Standard Rate Cards'!$H$9:$H$433=L126),0))))</f>
        <v/>
      </c>
      <c r="N126" s="347"/>
      <c r="O126" s="110"/>
      <c r="P126" s="246"/>
      <c r="Q126" s="348"/>
      <c r="R126" s="250"/>
      <c r="S126" s="250"/>
      <c r="T126" s="614"/>
      <c r="U126" s="1637"/>
      <c r="V126" s="1638"/>
      <c r="W126" s="614"/>
      <c r="X126" s="681" t="str">
        <f t="shared" si="22"/>
        <v/>
      </c>
      <c r="Y126" s="682" t="str">
        <f t="shared" si="23"/>
        <v/>
      </c>
      <c r="Z126" s="1630" t="s">
        <v>309</v>
      </c>
      <c r="AA126" s="1631"/>
      <c r="AB126" s="94"/>
      <c r="AC126" s="94"/>
      <c r="AD126" s="94"/>
      <c r="AE126" s="94"/>
      <c r="AF126" s="94"/>
      <c r="AG126" s="497" t="str">
        <f>IF($X$49="WEEKS","",IF($Z126="Manual Entry hrs/wk","",IF($X$49&gt;'FORMULA REFS'!A$1,$Z126,"")))</f>
        <v/>
      </c>
      <c r="AH126" s="497" t="str">
        <f>IF($X$49="WEEKS","",IF($Z126="Manual Entry hrs/wk","",IF($X$49&gt;'FORMULA REFS'!B$1,$Z126,"")))</f>
        <v/>
      </c>
      <c r="AI126" s="497" t="str">
        <f>IF($X$49="WEEKS","",IF($Z126="Manual Entry hrs/wk","",IF($X$49&gt;'FORMULA REFS'!C$1,$Z126,"")))</f>
        <v/>
      </c>
      <c r="AJ126" s="497" t="str">
        <f>IF($X$49="WEEKS","",IF($Z126="Manual Entry hrs/wk","",IF($X$49&gt;'FORMULA REFS'!D$1,$Z126,"")))</f>
        <v/>
      </c>
      <c r="AK126" s="497" t="str">
        <f>IF($X$49="WEEKS","",IF($Z126="Manual Entry hrs/wk","",IF($X$49&gt;'FORMULA REFS'!E$1,$Z126,"")))</f>
        <v/>
      </c>
      <c r="AL126" s="497" t="str">
        <f>IF($X$49="WEEKS","",IF($Z126="Manual Entry hrs/wk","",IF($X$49&gt;'FORMULA REFS'!F$1,$Z126,"")))</f>
        <v/>
      </c>
      <c r="AM126" s="497" t="str">
        <f>IF($X$49="WEEKS","",IF($Z126="Manual Entry hrs/wk","",IF($X$49&gt;'FORMULA REFS'!G$1,$Z126,"")))</f>
        <v/>
      </c>
      <c r="AN126" s="497" t="str">
        <f>IF($X$49="WEEKS","",IF($Z126="Manual Entry hrs/wk","",IF($X$49&gt;'FORMULA REFS'!H$1,$Z126,"")))</f>
        <v/>
      </c>
      <c r="AO126" s="497" t="str">
        <f>IF($X$49="WEEKS","",IF($Z126="Manual Entry hrs/wk","",IF($X$49&gt;'FORMULA REFS'!I$1,$Z126,"")))</f>
        <v/>
      </c>
      <c r="AP126" s="497" t="str">
        <f>IF($X$49="WEEKS","",IF($Z126="Manual Entry hrs/wk","",IF($X$49&gt;'FORMULA REFS'!J$1,$Z126,"")))</f>
        <v/>
      </c>
      <c r="AQ126" s="497" t="str">
        <f>IF($X$49="WEEKS","",IF($Z126="Manual Entry hrs/wk","",IF($X$49&gt;'FORMULA REFS'!K$1,$Z126,"")))</f>
        <v/>
      </c>
      <c r="AR126" s="497" t="str">
        <f>IF($X$49="WEEKS","",IF($Z126="Manual Entry hrs/wk","",IF($X$49&gt;'FORMULA REFS'!L$1,$Z126,"")))</f>
        <v/>
      </c>
      <c r="AS126" s="497" t="str">
        <f>IF($X$49="WEEKS","",IF($Z126="Manual Entry hrs/wk","",IF($X$49&gt;'FORMULA REFS'!M$1,$Z126,"")))</f>
        <v/>
      </c>
      <c r="AT126" s="497" t="str">
        <f>IF($X$49="WEEKS","",IF($Z126="Manual Entry hrs/wk","",IF($X$49&gt;'FORMULA REFS'!N$1,$Z126,"")))</f>
        <v/>
      </c>
      <c r="AU126" s="497" t="str">
        <f>IF($X$49="WEEKS","",IF($Z126="Manual Entry hrs/wk","",IF($X$49&gt;'FORMULA REFS'!O$1,$Z126,"")))</f>
        <v/>
      </c>
      <c r="AV126" s="497" t="str">
        <f>IF($X$49="WEEKS","",IF($Z126="Manual Entry hrs/wk","",IF($X$49&gt;'FORMULA REFS'!P$1,$Z126,"")))</f>
        <v/>
      </c>
      <c r="AW126" s="497" t="str">
        <f>IF($X$49="WEEKS","",IF($Z126="Manual Entry hrs/wk","",IF($X$49&gt;'FORMULA REFS'!Q$1,$Z126,"")))</f>
        <v/>
      </c>
      <c r="AX126" s="497" t="str">
        <f>IF($X$49="WEEKS","",IF($Z126="Manual Entry hrs/wk","",IF($X$49&gt;'FORMULA REFS'!R$1,$Z126,"")))</f>
        <v/>
      </c>
      <c r="AY126" s="497" t="str">
        <f>IF($X$49="WEEKS","",IF($Z126="Manual Entry hrs/wk","",IF($X$49&gt;'FORMULA REFS'!S$1,$Z126,"")))</f>
        <v/>
      </c>
      <c r="AZ126" s="497" t="str">
        <f>IF($X$49="WEEKS","",IF($Z126="Manual Entry hrs/wk","",IF($X$49&gt;'FORMULA REFS'!T$1,$Z126,"")))</f>
        <v/>
      </c>
      <c r="BA126" s="497" t="str">
        <f>IF($X$49="WEEKS","",IF($Z126="Manual Entry hrs/wk","",IF($X$49&gt;'FORMULA REFS'!U$1,$Z126,"")))</f>
        <v/>
      </c>
      <c r="BB126" s="497" t="str">
        <f>IF($X$49="WEEKS","",IF($Z126="Manual Entry hrs/wk","",IF($X$49&gt;'FORMULA REFS'!V$1,$Z126,"")))</f>
        <v/>
      </c>
      <c r="BC126" s="497" t="str">
        <f>IF($X$49="WEEKS","",IF($Z126="Manual Entry hrs/wk","",IF($X$49&gt;'FORMULA REFS'!W$1,$Z126,"")))</f>
        <v/>
      </c>
      <c r="BD126" s="497" t="str">
        <f>IF($X$49="WEEKS","",IF($Z126="Manual Entry hrs/wk","",IF($X$49&gt;'FORMULA REFS'!X$1,$Z126,"")))</f>
        <v/>
      </c>
      <c r="BE126" s="497" t="str">
        <f>IF($X$49="WEEKS","",IF($Z126="Manual Entry hrs/wk","",IF($X$49&gt;'FORMULA REFS'!Y$1,$Z126,"")))</f>
        <v/>
      </c>
      <c r="BF126" s="497" t="str">
        <f>IF($X$49="WEEKS","",IF($Z126="Manual Entry hrs/wk","",IF($X$49&gt;'FORMULA REFS'!Z$1,$Z126,"")))</f>
        <v/>
      </c>
      <c r="BG126" s="497" t="str">
        <f>IF($X$49="WEEKS","",IF($Z126="Manual Entry hrs/wk","",IF($X$49&gt;'FORMULA REFS'!AA$1,$Z126,"")))</f>
        <v/>
      </c>
      <c r="BH126" s="497" t="str">
        <f>IF($X$49="WEEKS","",IF($Z126="Manual Entry hrs/wk","",IF($X$49&gt;'FORMULA REFS'!AB$1,$Z126,"")))</f>
        <v/>
      </c>
      <c r="BI126" s="497" t="str">
        <f>IF($X$49="WEEKS","",IF($Z126="Manual Entry hrs/wk","",IF($X$49&gt;'FORMULA REFS'!AC$1,$Z126,"")))</f>
        <v/>
      </c>
      <c r="BJ126" s="497" t="str">
        <f>IF($X$49="WEEKS","",IF($Z126="Manual Entry hrs/wk","",IF($X$49&gt;'FORMULA REFS'!AD$1,$Z126,"")))</f>
        <v/>
      </c>
      <c r="BK126" s="497" t="str">
        <f>IF($X$49="WEEKS","",IF($Z126="Manual Entry hrs/wk","",IF($X$49&gt;'FORMULA REFS'!AE$1,$Z126,"")))</f>
        <v/>
      </c>
      <c r="BL126" s="497" t="str">
        <f>IF($X$49="WEEKS","",IF($Z126="Manual Entry hrs/wk","",IF($X$49&gt;'FORMULA REFS'!AF$1,$Z126,"")))</f>
        <v/>
      </c>
      <c r="BM126" s="497" t="str">
        <f>IF($X$49="WEEKS","",IF($Z126="Manual Entry hrs/wk","",IF($X$49&gt;'FORMULA REFS'!AG$1,$Z126,"")))</f>
        <v/>
      </c>
      <c r="BN126" s="497" t="str">
        <f>IF($X$49="WEEKS","",IF($Z126="Manual Entry hrs/wk","",IF($X$49&gt;'FORMULA REFS'!AH$1,$Z126,"")))</f>
        <v/>
      </c>
      <c r="BO126" s="497" t="str">
        <f>IF($X$49="WEEKS","",IF($Z126="Manual Entry hrs/wk","",IF($X$49&gt;'FORMULA REFS'!AI$1,$Z126,"")))</f>
        <v/>
      </c>
      <c r="BP126" s="497" t="str">
        <f>IF($X$49="WEEKS","",IF($Z126="Manual Entry hrs/wk","",IF($X$49&gt;'FORMULA REFS'!AJ$1,$Z126,"")))</f>
        <v/>
      </c>
      <c r="BQ126" s="497" t="str">
        <f>IF($X$49="WEEKS","",IF($Z126="Manual Entry hrs/wk","",IF($X$49&gt;'FORMULA REFS'!AK$1,$Z126,"")))</f>
        <v/>
      </c>
      <c r="BR126" s="497" t="str">
        <f>IF($X$49="WEEKS","",IF($Z126="Manual Entry hrs/wk","",IF($X$49&gt;'FORMULA REFS'!AL$1,$Z126,"")))</f>
        <v/>
      </c>
      <c r="BS126" s="497" t="str">
        <f>IF($X$49="WEEKS","",IF($Z126="Manual Entry hrs/wk","",IF($X$49&gt;'FORMULA REFS'!AM$1,$Z126,"")))</f>
        <v/>
      </c>
      <c r="BT126" s="497" t="str">
        <f>IF($X$49="WEEKS","",IF($Z126="Manual Entry hrs/wk","",IF($X$49&gt;'FORMULA REFS'!AN$1,$Z126,"")))</f>
        <v/>
      </c>
      <c r="BU126" s="497" t="str">
        <f>IF($X$49="WEEKS","",IF($Z126="Manual Entry hrs/wk","",IF($X$49&gt;'FORMULA REFS'!AO$1,$Z126,"")))</f>
        <v/>
      </c>
      <c r="BV126" s="497" t="str">
        <f>IF($X$49="WEEKS","",IF($Z126="Manual Entry hrs/wk","",IF($X$49&gt;'FORMULA REFS'!AP$1,$Z126,"")))</f>
        <v/>
      </c>
      <c r="BW126" s="497" t="str">
        <f>IF($X$49="WEEKS","",IF($Z126="Manual Entry hrs/wk","",IF($X$49&gt;'FORMULA REFS'!AQ$1,$Z126,"")))</f>
        <v/>
      </c>
      <c r="BX126" s="497" t="str">
        <f>IF($X$49="WEEKS","",IF($Z126="Manual Entry hrs/wk","",IF($X$49&gt;'FORMULA REFS'!AR$1,$Z126,"")))</f>
        <v/>
      </c>
      <c r="BY126" s="497" t="str">
        <f>IF($X$49="WEEKS","",IF($Z126="Manual Entry hrs/wk","",IF($X$49&gt;'FORMULA REFS'!AS$1,$Z126,"")))</f>
        <v/>
      </c>
      <c r="BZ126" s="497" t="str">
        <f>IF($X$49="WEEKS","",IF($Z126="Manual Entry hrs/wk","",IF($X$49&gt;'FORMULA REFS'!AT$1,$Z126,"")))</f>
        <v/>
      </c>
      <c r="CA126" s="497" t="str">
        <f>IF($X$49="WEEKS","",IF($Z126="Manual Entry hrs/wk","",IF($X$49&gt;'FORMULA REFS'!AU$1,$Z126,"")))</f>
        <v/>
      </c>
      <c r="CB126" s="497" t="str">
        <f>IF($X$49="WEEKS","",IF($Z126="Manual Entry hrs/wk","",IF($X$49&gt;'FORMULA REFS'!AV$1,$Z126,"")))</f>
        <v/>
      </c>
      <c r="CC126" s="497" t="str">
        <f>IF($X$49="WEEKS","",IF($Z126="Manual Entry hrs/wk","",IF($X$49&gt;'FORMULA REFS'!AW$1,$Z126,"")))</f>
        <v/>
      </c>
      <c r="CD126" s="497" t="str">
        <f>IF($X$49="WEEKS","",IF($Z126="Manual Entry hrs/wk","",IF($X$49&gt;'FORMULA REFS'!AX$1,$Z126,"")))</f>
        <v/>
      </c>
      <c r="CE126" s="497" t="str">
        <f>IF($X$49="WEEKS","",IF($Z126="Manual Entry hrs/wk","",IF($X$49&gt;'FORMULA REFS'!AY$1,$Z126,"")))</f>
        <v/>
      </c>
      <c r="CF126" s="497" t="str">
        <f>IF($X$49="WEEKS","",IF($Z126="Manual Entry hrs/wk","",IF($X$49&gt;'FORMULA REFS'!AZ$1,$Z126,"")))</f>
        <v/>
      </c>
      <c r="CG126" s="113"/>
      <c r="CH126" s="349" t="str">
        <f t="shared" si="20"/>
        <v/>
      </c>
      <c r="CI126" s="349"/>
      <c r="CJ126" s="349"/>
      <c r="CK126" s="349"/>
      <c r="CL126" s="350"/>
    </row>
    <row r="127" spans="2:90" hidden="1" outlineLevel="3" x14ac:dyDescent="0.3">
      <c r="B127">
        <v>78</v>
      </c>
      <c r="C127" s="346"/>
      <c r="D127" s="495"/>
      <c r="E127" s="346"/>
      <c r="F127" s="346" t="str">
        <f>IFERROR(_xlfn.XLOOKUP(E127,'Standard Rate Cards'!$BB$11:$BB$23,'Standard Rate Cards'!$BA$11:$BA$23),"")</f>
        <v/>
      </c>
      <c r="G127" s="346"/>
      <c r="H127" s="346" t="str">
        <f>IFERROR(_xlfn.XLOOKUP(G127,'Standard Rate Cards'!$AP$8:$AP$142,'Standard Rate Cards'!$AQ$8:$AQ$142),"")</f>
        <v/>
      </c>
      <c r="I127" s="346"/>
      <c r="J127" s="346"/>
      <c r="K127" s="496"/>
      <c r="L127" s="496">
        <f t="shared" si="21"/>
        <v>0</v>
      </c>
      <c r="M127" s="496" t="str" cm="1">
        <f t="array" ref="M127">IF(ISBLANK(D127),"",IF(D127&lt;&gt;"CrederaUS",INDEX('Standard Rate Cards'!$D$9:$D$433,MATCH(1,('Standard Rate Cards'!$B$9:$B$433='2. Pricing &amp; Import'!D127)*('Standard Rate Cards'!$C$9:$C$433='2. Pricing &amp; Import'!K127),0)),INDEX('Standard Rate Cards'!$D$9:$D$433,MATCH(1,('Standard Rate Cards'!$B$9:$B$433='2. Pricing &amp; Import'!D127)*('Standard Rate Cards'!$C$9:$C$433='2. Pricing &amp; Import'!K127)*('Standard Rate Cards'!$H$9:$H$433=L127),0))))</f>
        <v/>
      </c>
      <c r="N127" s="347"/>
      <c r="O127" s="110"/>
      <c r="P127" s="246"/>
      <c r="Q127" s="348"/>
      <c r="R127" s="250"/>
      <c r="S127" s="250"/>
      <c r="T127" s="614"/>
      <c r="U127" s="1637"/>
      <c r="V127" s="1638"/>
      <c r="W127" s="614"/>
      <c r="X127" s="681" t="str">
        <f t="shared" si="22"/>
        <v/>
      </c>
      <c r="Y127" s="682" t="str">
        <f t="shared" si="23"/>
        <v/>
      </c>
      <c r="Z127" s="1630" t="s">
        <v>309</v>
      </c>
      <c r="AA127" s="1631"/>
      <c r="AB127" s="94"/>
      <c r="AC127" s="94"/>
      <c r="AD127" s="94"/>
      <c r="AE127" s="94"/>
      <c r="AF127" s="94"/>
      <c r="AG127" s="497" t="str">
        <f>IF($X$49="WEEKS","",IF($Z127="Manual Entry hrs/wk","",IF($X$49&gt;'FORMULA REFS'!A$1,$Z127,"")))</f>
        <v/>
      </c>
      <c r="AH127" s="497" t="str">
        <f>IF($X$49="WEEKS","",IF($Z127="Manual Entry hrs/wk","",IF($X$49&gt;'FORMULA REFS'!B$1,$Z127,"")))</f>
        <v/>
      </c>
      <c r="AI127" s="497" t="str">
        <f>IF($X$49="WEEKS","",IF($Z127="Manual Entry hrs/wk","",IF($X$49&gt;'FORMULA REFS'!C$1,$Z127,"")))</f>
        <v/>
      </c>
      <c r="AJ127" s="497" t="str">
        <f>IF($X$49="WEEKS","",IF($Z127="Manual Entry hrs/wk","",IF($X$49&gt;'FORMULA REFS'!D$1,$Z127,"")))</f>
        <v/>
      </c>
      <c r="AK127" s="497" t="str">
        <f>IF($X$49="WEEKS","",IF($Z127="Manual Entry hrs/wk","",IF($X$49&gt;'FORMULA REFS'!E$1,$Z127,"")))</f>
        <v/>
      </c>
      <c r="AL127" s="497" t="str">
        <f>IF($X$49="WEEKS","",IF($Z127="Manual Entry hrs/wk","",IF($X$49&gt;'FORMULA REFS'!F$1,$Z127,"")))</f>
        <v/>
      </c>
      <c r="AM127" s="497" t="str">
        <f>IF($X$49="WEEKS","",IF($Z127="Manual Entry hrs/wk","",IF($X$49&gt;'FORMULA REFS'!G$1,$Z127,"")))</f>
        <v/>
      </c>
      <c r="AN127" s="497" t="str">
        <f>IF($X$49="WEEKS","",IF($Z127="Manual Entry hrs/wk","",IF($X$49&gt;'FORMULA REFS'!H$1,$Z127,"")))</f>
        <v/>
      </c>
      <c r="AO127" s="497" t="str">
        <f>IF($X$49="WEEKS","",IF($Z127="Manual Entry hrs/wk","",IF($X$49&gt;'FORMULA REFS'!I$1,$Z127,"")))</f>
        <v/>
      </c>
      <c r="AP127" s="497" t="str">
        <f>IF($X$49="WEEKS","",IF($Z127="Manual Entry hrs/wk","",IF($X$49&gt;'FORMULA REFS'!J$1,$Z127,"")))</f>
        <v/>
      </c>
      <c r="AQ127" s="497" t="str">
        <f>IF($X$49="WEEKS","",IF($Z127="Manual Entry hrs/wk","",IF($X$49&gt;'FORMULA REFS'!K$1,$Z127,"")))</f>
        <v/>
      </c>
      <c r="AR127" s="497" t="str">
        <f>IF($X$49="WEEKS","",IF($Z127="Manual Entry hrs/wk","",IF($X$49&gt;'FORMULA REFS'!L$1,$Z127,"")))</f>
        <v/>
      </c>
      <c r="AS127" s="497" t="str">
        <f>IF($X$49="WEEKS","",IF($Z127="Manual Entry hrs/wk","",IF($X$49&gt;'FORMULA REFS'!M$1,$Z127,"")))</f>
        <v/>
      </c>
      <c r="AT127" s="497" t="str">
        <f>IF($X$49="WEEKS","",IF($Z127="Manual Entry hrs/wk","",IF($X$49&gt;'FORMULA REFS'!N$1,$Z127,"")))</f>
        <v/>
      </c>
      <c r="AU127" s="497" t="str">
        <f>IF($X$49="WEEKS","",IF($Z127="Manual Entry hrs/wk","",IF($X$49&gt;'FORMULA REFS'!O$1,$Z127,"")))</f>
        <v/>
      </c>
      <c r="AV127" s="497" t="str">
        <f>IF($X$49="WEEKS","",IF($Z127="Manual Entry hrs/wk","",IF($X$49&gt;'FORMULA REFS'!P$1,$Z127,"")))</f>
        <v/>
      </c>
      <c r="AW127" s="497" t="str">
        <f>IF($X$49="WEEKS","",IF($Z127="Manual Entry hrs/wk","",IF($X$49&gt;'FORMULA REFS'!Q$1,$Z127,"")))</f>
        <v/>
      </c>
      <c r="AX127" s="497" t="str">
        <f>IF($X$49="WEEKS","",IF($Z127="Manual Entry hrs/wk","",IF($X$49&gt;'FORMULA REFS'!R$1,$Z127,"")))</f>
        <v/>
      </c>
      <c r="AY127" s="497" t="str">
        <f>IF($X$49="WEEKS","",IF($Z127="Manual Entry hrs/wk","",IF($X$49&gt;'FORMULA REFS'!S$1,$Z127,"")))</f>
        <v/>
      </c>
      <c r="AZ127" s="497" t="str">
        <f>IF($X$49="WEEKS","",IF($Z127="Manual Entry hrs/wk","",IF($X$49&gt;'FORMULA REFS'!T$1,$Z127,"")))</f>
        <v/>
      </c>
      <c r="BA127" s="497" t="str">
        <f>IF($X$49="WEEKS","",IF($Z127="Manual Entry hrs/wk","",IF($X$49&gt;'FORMULA REFS'!U$1,$Z127,"")))</f>
        <v/>
      </c>
      <c r="BB127" s="497" t="str">
        <f>IF($X$49="WEEKS","",IF($Z127="Manual Entry hrs/wk","",IF($X$49&gt;'FORMULA REFS'!V$1,$Z127,"")))</f>
        <v/>
      </c>
      <c r="BC127" s="497" t="str">
        <f>IF($X$49="WEEKS","",IF($Z127="Manual Entry hrs/wk","",IF($X$49&gt;'FORMULA REFS'!W$1,$Z127,"")))</f>
        <v/>
      </c>
      <c r="BD127" s="497" t="str">
        <f>IF($X$49="WEEKS","",IF($Z127="Manual Entry hrs/wk","",IF($X$49&gt;'FORMULA REFS'!X$1,$Z127,"")))</f>
        <v/>
      </c>
      <c r="BE127" s="497" t="str">
        <f>IF($X$49="WEEKS","",IF($Z127="Manual Entry hrs/wk","",IF($X$49&gt;'FORMULA REFS'!Y$1,$Z127,"")))</f>
        <v/>
      </c>
      <c r="BF127" s="497" t="str">
        <f>IF($X$49="WEEKS","",IF($Z127="Manual Entry hrs/wk","",IF($X$49&gt;'FORMULA REFS'!Z$1,$Z127,"")))</f>
        <v/>
      </c>
      <c r="BG127" s="497" t="str">
        <f>IF($X$49="WEEKS","",IF($Z127="Manual Entry hrs/wk","",IF($X$49&gt;'FORMULA REFS'!AA$1,$Z127,"")))</f>
        <v/>
      </c>
      <c r="BH127" s="497" t="str">
        <f>IF($X$49="WEEKS","",IF($Z127="Manual Entry hrs/wk","",IF($X$49&gt;'FORMULA REFS'!AB$1,$Z127,"")))</f>
        <v/>
      </c>
      <c r="BI127" s="497" t="str">
        <f>IF($X$49="WEEKS","",IF($Z127="Manual Entry hrs/wk","",IF($X$49&gt;'FORMULA REFS'!AC$1,$Z127,"")))</f>
        <v/>
      </c>
      <c r="BJ127" s="497" t="str">
        <f>IF($X$49="WEEKS","",IF($Z127="Manual Entry hrs/wk","",IF($X$49&gt;'FORMULA REFS'!AD$1,$Z127,"")))</f>
        <v/>
      </c>
      <c r="BK127" s="497" t="str">
        <f>IF($X$49="WEEKS","",IF($Z127="Manual Entry hrs/wk","",IF($X$49&gt;'FORMULA REFS'!AE$1,$Z127,"")))</f>
        <v/>
      </c>
      <c r="BL127" s="497" t="str">
        <f>IF($X$49="WEEKS","",IF($Z127="Manual Entry hrs/wk","",IF($X$49&gt;'FORMULA REFS'!AF$1,$Z127,"")))</f>
        <v/>
      </c>
      <c r="BM127" s="497" t="str">
        <f>IF($X$49="WEEKS","",IF($Z127="Manual Entry hrs/wk","",IF($X$49&gt;'FORMULA REFS'!AG$1,$Z127,"")))</f>
        <v/>
      </c>
      <c r="BN127" s="497" t="str">
        <f>IF($X$49="WEEKS","",IF($Z127="Manual Entry hrs/wk","",IF($X$49&gt;'FORMULA REFS'!AH$1,$Z127,"")))</f>
        <v/>
      </c>
      <c r="BO127" s="497" t="str">
        <f>IF($X$49="WEEKS","",IF($Z127="Manual Entry hrs/wk","",IF($X$49&gt;'FORMULA REFS'!AI$1,$Z127,"")))</f>
        <v/>
      </c>
      <c r="BP127" s="497" t="str">
        <f>IF($X$49="WEEKS","",IF($Z127="Manual Entry hrs/wk","",IF($X$49&gt;'FORMULA REFS'!AJ$1,$Z127,"")))</f>
        <v/>
      </c>
      <c r="BQ127" s="497" t="str">
        <f>IF($X$49="WEEKS","",IF($Z127="Manual Entry hrs/wk","",IF($X$49&gt;'FORMULA REFS'!AK$1,$Z127,"")))</f>
        <v/>
      </c>
      <c r="BR127" s="497" t="str">
        <f>IF($X$49="WEEKS","",IF($Z127="Manual Entry hrs/wk","",IF($X$49&gt;'FORMULA REFS'!AL$1,$Z127,"")))</f>
        <v/>
      </c>
      <c r="BS127" s="497" t="str">
        <f>IF($X$49="WEEKS","",IF($Z127="Manual Entry hrs/wk","",IF($X$49&gt;'FORMULA REFS'!AM$1,$Z127,"")))</f>
        <v/>
      </c>
      <c r="BT127" s="497" t="str">
        <f>IF($X$49="WEEKS","",IF($Z127="Manual Entry hrs/wk","",IF($X$49&gt;'FORMULA REFS'!AN$1,$Z127,"")))</f>
        <v/>
      </c>
      <c r="BU127" s="497" t="str">
        <f>IF($X$49="WEEKS","",IF($Z127="Manual Entry hrs/wk","",IF($X$49&gt;'FORMULA REFS'!AO$1,$Z127,"")))</f>
        <v/>
      </c>
      <c r="BV127" s="497" t="str">
        <f>IF($X$49="WEEKS","",IF($Z127="Manual Entry hrs/wk","",IF($X$49&gt;'FORMULA REFS'!AP$1,$Z127,"")))</f>
        <v/>
      </c>
      <c r="BW127" s="497" t="str">
        <f>IF($X$49="WEEKS","",IF($Z127="Manual Entry hrs/wk","",IF($X$49&gt;'FORMULA REFS'!AQ$1,$Z127,"")))</f>
        <v/>
      </c>
      <c r="BX127" s="497" t="str">
        <f>IF($X$49="WEEKS","",IF($Z127="Manual Entry hrs/wk","",IF($X$49&gt;'FORMULA REFS'!AR$1,$Z127,"")))</f>
        <v/>
      </c>
      <c r="BY127" s="497" t="str">
        <f>IF($X$49="WEEKS","",IF($Z127="Manual Entry hrs/wk","",IF($X$49&gt;'FORMULA REFS'!AS$1,$Z127,"")))</f>
        <v/>
      </c>
      <c r="BZ127" s="497" t="str">
        <f>IF($X$49="WEEKS","",IF($Z127="Manual Entry hrs/wk","",IF($X$49&gt;'FORMULA REFS'!AT$1,$Z127,"")))</f>
        <v/>
      </c>
      <c r="CA127" s="497" t="str">
        <f>IF($X$49="WEEKS","",IF($Z127="Manual Entry hrs/wk","",IF($X$49&gt;'FORMULA REFS'!AU$1,$Z127,"")))</f>
        <v/>
      </c>
      <c r="CB127" s="497" t="str">
        <f>IF($X$49="WEEKS","",IF($Z127="Manual Entry hrs/wk","",IF($X$49&gt;'FORMULA REFS'!AV$1,$Z127,"")))</f>
        <v/>
      </c>
      <c r="CC127" s="497" t="str">
        <f>IF($X$49="WEEKS","",IF($Z127="Manual Entry hrs/wk","",IF($X$49&gt;'FORMULA REFS'!AW$1,$Z127,"")))</f>
        <v/>
      </c>
      <c r="CD127" s="497" t="str">
        <f>IF($X$49="WEEKS","",IF($Z127="Manual Entry hrs/wk","",IF($X$49&gt;'FORMULA REFS'!AX$1,$Z127,"")))</f>
        <v/>
      </c>
      <c r="CE127" s="497" t="str">
        <f>IF($X$49="WEEKS","",IF($Z127="Manual Entry hrs/wk","",IF($X$49&gt;'FORMULA REFS'!AY$1,$Z127,"")))</f>
        <v/>
      </c>
      <c r="CF127" s="497" t="str">
        <f>IF($X$49="WEEKS","",IF($Z127="Manual Entry hrs/wk","",IF($X$49&gt;'FORMULA REFS'!AZ$1,$Z127,"")))</f>
        <v/>
      </c>
      <c r="CG127" s="113"/>
      <c r="CH127" s="349" t="str">
        <f t="shared" si="20"/>
        <v/>
      </c>
      <c r="CI127" s="349"/>
      <c r="CJ127" s="349"/>
      <c r="CK127" s="349"/>
      <c r="CL127" s="350"/>
    </row>
    <row r="128" spans="2:90" hidden="1" outlineLevel="3" x14ac:dyDescent="0.3">
      <c r="B128">
        <v>79</v>
      </c>
      <c r="C128" s="346"/>
      <c r="D128" s="495"/>
      <c r="E128" s="346"/>
      <c r="F128" s="346" t="str">
        <f>IFERROR(_xlfn.XLOOKUP(E128,'Standard Rate Cards'!$BB$11:$BB$23,'Standard Rate Cards'!$BA$11:$BA$23),"")</f>
        <v/>
      </c>
      <c r="G128" s="346"/>
      <c r="H128" s="346" t="str">
        <f>IFERROR(_xlfn.XLOOKUP(G128,'Standard Rate Cards'!$AP$8:$AP$142,'Standard Rate Cards'!$AQ$8:$AQ$142),"")</f>
        <v/>
      </c>
      <c r="I128" s="346"/>
      <c r="J128" s="346"/>
      <c r="K128" s="496"/>
      <c r="L128" s="496">
        <f t="shared" si="21"/>
        <v>0</v>
      </c>
      <c r="M128" s="496" t="str" cm="1">
        <f t="array" ref="M128">IF(ISBLANK(D128),"",IF(D128&lt;&gt;"CrederaUS",INDEX('Standard Rate Cards'!$D$9:$D$433,MATCH(1,('Standard Rate Cards'!$B$9:$B$433='2. Pricing &amp; Import'!D128)*('Standard Rate Cards'!$C$9:$C$433='2. Pricing &amp; Import'!K128),0)),INDEX('Standard Rate Cards'!$D$9:$D$433,MATCH(1,('Standard Rate Cards'!$B$9:$B$433='2. Pricing &amp; Import'!D128)*('Standard Rate Cards'!$C$9:$C$433='2. Pricing &amp; Import'!K128)*('Standard Rate Cards'!$H$9:$H$433=L128),0))))</f>
        <v/>
      </c>
      <c r="N128" s="347"/>
      <c r="O128" s="110"/>
      <c r="P128" s="246"/>
      <c r="Q128" s="348"/>
      <c r="R128" s="250"/>
      <c r="S128" s="250"/>
      <c r="T128" s="614"/>
      <c r="U128" s="1637"/>
      <c r="V128" s="1638"/>
      <c r="W128" s="614"/>
      <c r="X128" s="681" t="str">
        <f t="shared" si="22"/>
        <v/>
      </c>
      <c r="Y128" s="682" t="str">
        <f t="shared" si="23"/>
        <v/>
      </c>
      <c r="Z128" s="1630" t="s">
        <v>309</v>
      </c>
      <c r="AA128" s="1631"/>
      <c r="AB128" s="94"/>
      <c r="AC128" s="94"/>
      <c r="AD128" s="94"/>
      <c r="AE128" s="94"/>
      <c r="AF128" s="94"/>
      <c r="AG128" s="497" t="str">
        <f>IF($X$49="WEEKS","",IF($Z128="Manual Entry hrs/wk","",IF($X$49&gt;'FORMULA REFS'!A$1,$Z128,"")))</f>
        <v/>
      </c>
      <c r="AH128" s="497" t="str">
        <f>IF($X$49="WEEKS","",IF($Z128="Manual Entry hrs/wk","",IF($X$49&gt;'FORMULA REFS'!B$1,$Z128,"")))</f>
        <v/>
      </c>
      <c r="AI128" s="497" t="str">
        <f>IF($X$49="WEEKS","",IF($Z128="Manual Entry hrs/wk","",IF($X$49&gt;'FORMULA REFS'!C$1,$Z128,"")))</f>
        <v/>
      </c>
      <c r="AJ128" s="497" t="str">
        <f>IF($X$49="WEEKS","",IF($Z128="Manual Entry hrs/wk","",IF($X$49&gt;'FORMULA REFS'!D$1,$Z128,"")))</f>
        <v/>
      </c>
      <c r="AK128" s="497" t="str">
        <f>IF($X$49="WEEKS","",IF($Z128="Manual Entry hrs/wk","",IF($X$49&gt;'FORMULA REFS'!E$1,$Z128,"")))</f>
        <v/>
      </c>
      <c r="AL128" s="497" t="str">
        <f>IF($X$49="WEEKS","",IF($Z128="Manual Entry hrs/wk","",IF($X$49&gt;'FORMULA REFS'!F$1,$Z128,"")))</f>
        <v/>
      </c>
      <c r="AM128" s="497" t="str">
        <f>IF($X$49="WEEKS","",IF($Z128="Manual Entry hrs/wk","",IF($X$49&gt;'FORMULA REFS'!G$1,$Z128,"")))</f>
        <v/>
      </c>
      <c r="AN128" s="497" t="str">
        <f>IF($X$49="WEEKS","",IF($Z128="Manual Entry hrs/wk","",IF($X$49&gt;'FORMULA REFS'!H$1,$Z128,"")))</f>
        <v/>
      </c>
      <c r="AO128" s="497" t="str">
        <f>IF($X$49="WEEKS","",IF($Z128="Manual Entry hrs/wk","",IF($X$49&gt;'FORMULA REFS'!I$1,$Z128,"")))</f>
        <v/>
      </c>
      <c r="AP128" s="497" t="str">
        <f>IF($X$49="WEEKS","",IF($Z128="Manual Entry hrs/wk","",IF($X$49&gt;'FORMULA REFS'!J$1,$Z128,"")))</f>
        <v/>
      </c>
      <c r="AQ128" s="497" t="str">
        <f>IF($X$49="WEEKS","",IF($Z128="Manual Entry hrs/wk","",IF($X$49&gt;'FORMULA REFS'!K$1,$Z128,"")))</f>
        <v/>
      </c>
      <c r="AR128" s="497" t="str">
        <f>IF($X$49="WEEKS","",IF($Z128="Manual Entry hrs/wk","",IF($X$49&gt;'FORMULA REFS'!L$1,$Z128,"")))</f>
        <v/>
      </c>
      <c r="AS128" s="497" t="str">
        <f>IF($X$49="WEEKS","",IF($Z128="Manual Entry hrs/wk","",IF($X$49&gt;'FORMULA REFS'!M$1,$Z128,"")))</f>
        <v/>
      </c>
      <c r="AT128" s="497" t="str">
        <f>IF($X$49="WEEKS","",IF($Z128="Manual Entry hrs/wk","",IF($X$49&gt;'FORMULA REFS'!N$1,$Z128,"")))</f>
        <v/>
      </c>
      <c r="AU128" s="497" t="str">
        <f>IF($X$49="WEEKS","",IF($Z128="Manual Entry hrs/wk","",IF($X$49&gt;'FORMULA REFS'!O$1,$Z128,"")))</f>
        <v/>
      </c>
      <c r="AV128" s="497" t="str">
        <f>IF($X$49="WEEKS","",IF($Z128="Manual Entry hrs/wk","",IF($X$49&gt;'FORMULA REFS'!P$1,$Z128,"")))</f>
        <v/>
      </c>
      <c r="AW128" s="497" t="str">
        <f>IF($X$49="WEEKS","",IF($Z128="Manual Entry hrs/wk","",IF($X$49&gt;'FORMULA REFS'!Q$1,$Z128,"")))</f>
        <v/>
      </c>
      <c r="AX128" s="497" t="str">
        <f>IF($X$49="WEEKS","",IF($Z128="Manual Entry hrs/wk","",IF($X$49&gt;'FORMULA REFS'!R$1,$Z128,"")))</f>
        <v/>
      </c>
      <c r="AY128" s="497" t="str">
        <f>IF($X$49="WEEKS","",IF($Z128="Manual Entry hrs/wk","",IF($X$49&gt;'FORMULA REFS'!S$1,$Z128,"")))</f>
        <v/>
      </c>
      <c r="AZ128" s="497" t="str">
        <f>IF($X$49="WEEKS","",IF($Z128="Manual Entry hrs/wk","",IF($X$49&gt;'FORMULA REFS'!T$1,$Z128,"")))</f>
        <v/>
      </c>
      <c r="BA128" s="497" t="str">
        <f>IF($X$49="WEEKS","",IF($Z128="Manual Entry hrs/wk","",IF($X$49&gt;'FORMULA REFS'!U$1,$Z128,"")))</f>
        <v/>
      </c>
      <c r="BB128" s="497" t="str">
        <f>IF($X$49="WEEKS","",IF($Z128="Manual Entry hrs/wk","",IF($X$49&gt;'FORMULA REFS'!V$1,$Z128,"")))</f>
        <v/>
      </c>
      <c r="BC128" s="497" t="str">
        <f>IF($X$49="WEEKS","",IF($Z128="Manual Entry hrs/wk","",IF($X$49&gt;'FORMULA REFS'!W$1,$Z128,"")))</f>
        <v/>
      </c>
      <c r="BD128" s="497" t="str">
        <f>IF($X$49="WEEKS","",IF($Z128="Manual Entry hrs/wk","",IF($X$49&gt;'FORMULA REFS'!X$1,$Z128,"")))</f>
        <v/>
      </c>
      <c r="BE128" s="497" t="str">
        <f>IF($X$49="WEEKS","",IF($Z128="Manual Entry hrs/wk","",IF($X$49&gt;'FORMULA REFS'!Y$1,$Z128,"")))</f>
        <v/>
      </c>
      <c r="BF128" s="497" t="str">
        <f>IF($X$49="WEEKS","",IF($Z128="Manual Entry hrs/wk","",IF($X$49&gt;'FORMULA REFS'!Z$1,$Z128,"")))</f>
        <v/>
      </c>
      <c r="BG128" s="497" t="str">
        <f>IF($X$49="WEEKS","",IF($Z128="Manual Entry hrs/wk","",IF($X$49&gt;'FORMULA REFS'!AA$1,$Z128,"")))</f>
        <v/>
      </c>
      <c r="BH128" s="497" t="str">
        <f>IF($X$49="WEEKS","",IF($Z128="Manual Entry hrs/wk","",IF($X$49&gt;'FORMULA REFS'!AB$1,$Z128,"")))</f>
        <v/>
      </c>
      <c r="BI128" s="497" t="str">
        <f>IF($X$49="WEEKS","",IF($Z128="Manual Entry hrs/wk","",IF($X$49&gt;'FORMULA REFS'!AC$1,$Z128,"")))</f>
        <v/>
      </c>
      <c r="BJ128" s="497" t="str">
        <f>IF($X$49="WEEKS","",IF($Z128="Manual Entry hrs/wk","",IF($X$49&gt;'FORMULA REFS'!AD$1,$Z128,"")))</f>
        <v/>
      </c>
      <c r="BK128" s="497" t="str">
        <f>IF($X$49="WEEKS","",IF($Z128="Manual Entry hrs/wk","",IF($X$49&gt;'FORMULA REFS'!AE$1,$Z128,"")))</f>
        <v/>
      </c>
      <c r="BL128" s="497" t="str">
        <f>IF($X$49="WEEKS","",IF($Z128="Manual Entry hrs/wk","",IF($X$49&gt;'FORMULA REFS'!AF$1,$Z128,"")))</f>
        <v/>
      </c>
      <c r="BM128" s="497" t="str">
        <f>IF($X$49="WEEKS","",IF($Z128="Manual Entry hrs/wk","",IF($X$49&gt;'FORMULA REFS'!AG$1,$Z128,"")))</f>
        <v/>
      </c>
      <c r="BN128" s="497" t="str">
        <f>IF($X$49="WEEKS","",IF($Z128="Manual Entry hrs/wk","",IF($X$49&gt;'FORMULA REFS'!AH$1,$Z128,"")))</f>
        <v/>
      </c>
      <c r="BO128" s="497" t="str">
        <f>IF($X$49="WEEKS","",IF($Z128="Manual Entry hrs/wk","",IF($X$49&gt;'FORMULA REFS'!AI$1,$Z128,"")))</f>
        <v/>
      </c>
      <c r="BP128" s="497" t="str">
        <f>IF($X$49="WEEKS","",IF($Z128="Manual Entry hrs/wk","",IF($X$49&gt;'FORMULA REFS'!AJ$1,$Z128,"")))</f>
        <v/>
      </c>
      <c r="BQ128" s="497" t="str">
        <f>IF($X$49="WEEKS","",IF($Z128="Manual Entry hrs/wk","",IF($X$49&gt;'FORMULA REFS'!AK$1,$Z128,"")))</f>
        <v/>
      </c>
      <c r="BR128" s="497" t="str">
        <f>IF($X$49="WEEKS","",IF($Z128="Manual Entry hrs/wk","",IF($X$49&gt;'FORMULA REFS'!AL$1,$Z128,"")))</f>
        <v/>
      </c>
      <c r="BS128" s="497" t="str">
        <f>IF($X$49="WEEKS","",IF($Z128="Manual Entry hrs/wk","",IF($X$49&gt;'FORMULA REFS'!AM$1,$Z128,"")))</f>
        <v/>
      </c>
      <c r="BT128" s="497" t="str">
        <f>IF($X$49="WEEKS","",IF($Z128="Manual Entry hrs/wk","",IF($X$49&gt;'FORMULA REFS'!AN$1,$Z128,"")))</f>
        <v/>
      </c>
      <c r="BU128" s="497" t="str">
        <f>IF($X$49="WEEKS","",IF($Z128="Manual Entry hrs/wk","",IF($X$49&gt;'FORMULA REFS'!AO$1,$Z128,"")))</f>
        <v/>
      </c>
      <c r="BV128" s="497" t="str">
        <f>IF($X$49="WEEKS","",IF($Z128="Manual Entry hrs/wk","",IF($X$49&gt;'FORMULA REFS'!AP$1,$Z128,"")))</f>
        <v/>
      </c>
      <c r="BW128" s="497" t="str">
        <f>IF($X$49="WEEKS","",IF($Z128="Manual Entry hrs/wk","",IF($X$49&gt;'FORMULA REFS'!AQ$1,$Z128,"")))</f>
        <v/>
      </c>
      <c r="BX128" s="497" t="str">
        <f>IF($X$49="WEEKS","",IF($Z128="Manual Entry hrs/wk","",IF($X$49&gt;'FORMULA REFS'!AR$1,$Z128,"")))</f>
        <v/>
      </c>
      <c r="BY128" s="497" t="str">
        <f>IF($X$49="WEEKS","",IF($Z128="Manual Entry hrs/wk","",IF($X$49&gt;'FORMULA REFS'!AS$1,$Z128,"")))</f>
        <v/>
      </c>
      <c r="BZ128" s="497" t="str">
        <f>IF($X$49="WEEKS","",IF($Z128="Manual Entry hrs/wk","",IF($X$49&gt;'FORMULA REFS'!AT$1,$Z128,"")))</f>
        <v/>
      </c>
      <c r="CA128" s="497" t="str">
        <f>IF($X$49="WEEKS","",IF($Z128="Manual Entry hrs/wk","",IF($X$49&gt;'FORMULA REFS'!AU$1,$Z128,"")))</f>
        <v/>
      </c>
      <c r="CB128" s="497" t="str">
        <f>IF($X$49="WEEKS","",IF($Z128="Manual Entry hrs/wk","",IF($X$49&gt;'FORMULA REFS'!AV$1,$Z128,"")))</f>
        <v/>
      </c>
      <c r="CC128" s="497" t="str">
        <f>IF($X$49="WEEKS","",IF($Z128="Manual Entry hrs/wk","",IF($X$49&gt;'FORMULA REFS'!AW$1,$Z128,"")))</f>
        <v/>
      </c>
      <c r="CD128" s="497" t="str">
        <f>IF($X$49="WEEKS","",IF($Z128="Manual Entry hrs/wk","",IF($X$49&gt;'FORMULA REFS'!AX$1,$Z128,"")))</f>
        <v/>
      </c>
      <c r="CE128" s="497" t="str">
        <f>IF($X$49="WEEKS","",IF($Z128="Manual Entry hrs/wk","",IF($X$49&gt;'FORMULA REFS'!AY$1,$Z128,"")))</f>
        <v/>
      </c>
      <c r="CF128" s="497" t="str">
        <f>IF($X$49="WEEKS","",IF($Z128="Manual Entry hrs/wk","",IF($X$49&gt;'FORMULA REFS'!AZ$1,$Z128,"")))</f>
        <v/>
      </c>
      <c r="CG128" s="113"/>
      <c r="CH128" s="349" t="str">
        <f t="shared" si="20"/>
        <v/>
      </c>
      <c r="CI128" s="349"/>
      <c r="CJ128" s="349"/>
      <c r="CK128" s="349"/>
      <c r="CL128" s="350"/>
    </row>
    <row r="129" spans="2:90" hidden="1" outlineLevel="3" x14ac:dyDescent="0.3">
      <c r="B129">
        <v>80</v>
      </c>
      <c r="C129" s="346"/>
      <c r="D129" s="495"/>
      <c r="E129" s="346"/>
      <c r="F129" s="346" t="str">
        <f>IFERROR(_xlfn.XLOOKUP(E129,'Standard Rate Cards'!$BB$11:$BB$23,'Standard Rate Cards'!$BA$11:$BA$23),"")</f>
        <v/>
      </c>
      <c r="G129" s="346"/>
      <c r="H129" s="346" t="str">
        <f>IFERROR(_xlfn.XLOOKUP(G129,'Standard Rate Cards'!$AP$8:$AP$142,'Standard Rate Cards'!$AQ$8:$AQ$142),"")</f>
        <v/>
      </c>
      <c r="I129" s="346"/>
      <c r="J129" s="346"/>
      <c r="K129" s="496"/>
      <c r="L129" s="496">
        <f t="shared" si="21"/>
        <v>0</v>
      </c>
      <c r="M129" s="496" t="str" cm="1">
        <f t="array" ref="M129">IF(ISBLANK(D129),"",IF(D129&lt;&gt;"CrederaUS",INDEX('Standard Rate Cards'!$D$9:$D$433,MATCH(1,('Standard Rate Cards'!$B$9:$B$433='2. Pricing &amp; Import'!D129)*('Standard Rate Cards'!$C$9:$C$433='2. Pricing &amp; Import'!K129),0)),INDEX('Standard Rate Cards'!$D$9:$D$433,MATCH(1,('Standard Rate Cards'!$B$9:$B$433='2. Pricing &amp; Import'!D129)*('Standard Rate Cards'!$C$9:$C$433='2. Pricing &amp; Import'!K129)*('Standard Rate Cards'!$H$9:$H$433=L129),0))))</f>
        <v/>
      </c>
      <c r="N129" s="347"/>
      <c r="O129" s="110"/>
      <c r="P129" s="246"/>
      <c r="Q129" s="348"/>
      <c r="R129" s="250"/>
      <c r="S129" s="250"/>
      <c r="T129" s="614"/>
      <c r="U129" s="1637"/>
      <c r="V129" s="1638"/>
      <c r="W129" s="614"/>
      <c r="X129" s="681" t="str">
        <f t="shared" si="22"/>
        <v/>
      </c>
      <c r="Y129" s="682" t="str">
        <f t="shared" si="23"/>
        <v/>
      </c>
      <c r="Z129" s="1630" t="s">
        <v>309</v>
      </c>
      <c r="AA129" s="1631"/>
      <c r="AB129" s="94"/>
      <c r="AC129" s="94"/>
      <c r="AD129" s="94"/>
      <c r="AE129" s="94"/>
      <c r="AF129" s="94"/>
      <c r="AG129" s="497" t="str">
        <f>IF($X$49="WEEKS","",IF($Z129="Manual Entry hrs/wk","",IF($X$49&gt;'FORMULA REFS'!A$1,$Z129,"")))</f>
        <v/>
      </c>
      <c r="AH129" s="497" t="str">
        <f>IF($X$49="WEEKS","",IF($Z129="Manual Entry hrs/wk","",IF($X$49&gt;'FORMULA REFS'!B$1,$Z129,"")))</f>
        <v/>
      </c>
      <c r="AI129" s="497" t="str">
        <f>IF($X$49="WEEKS","",IF($Z129="Manual Entry hrs/wk","",IF($X$49&gt;'FORMULA REFS'!C$1,$Z129,"")))</f>
        <v/>
      </c>
      <c r="AJ129" s="497" t="str">
        <f>IF($X$49="WEEKS","",IF($Z129="Manual Entry hrs/wk","",IF($X$49&gt;'FORMULA REFS'!D$1,$Z129,"")))</f>
        <v/>
      </c>
      <c r="AK129" s="497" t="str">
        <f>IF($X$49="WEEKS","",IF($Z129="Manual Entry hrs/wk","",IF($X$49&gt;'FORMULA REFS'!E$1,$Z129,"")))</f>
        <v/>
      </c>
      <c r="AL129" s="497" t="str">
        <f>IF($X$49="WEEKS","",IF($Z129="Manual Entry hrs/wk","",IF($X$49&gt;'FORMULA REFS'!F$1,$Z129,"")))</f>
        <v/>
      </c>
      <c r="AM129" s="497" t="str">
        <f>IF($X$49="WEEKS","",IF($Z129="Manual Entry hrs/wk","",IF($X$49&gt;'FORMULA REFS'!G$1,$Z129,"")))</f>
        <v/>
      </c>
      <c r="AN129" s="497" t="str">
        <f>IF($X$49="WEEKS","",IF($Z129="Manual Entry hrs/wk","",IF($X$49&gt;'FORMULA REFS'!H$1,$Z129,"")))</f>
        <v/>
      </c>
      <c r="AO129" s="497" t="str">
        <f>IF($X$49="WEEKS","",IF($Z129="Manual Entry hrs/wk","",IF($X$49&gt;'FORMULA REFS'!I$1,$Z129,"")))</f>
        <v/>
      </c>
      <c r="AP129" s="497" t="str">
        <f>IF($X$49="WEEKS","",IF($Z129="Manual Entry hrs/wk","",IF($X$49&gt;'FORMULA REFS'!J$1,$Z129,"")))</f>
        <v/>
      </c>
      <c r="AQ129" s="497" t="str">
        <f>IF($X$49="WEEKS","",IF($Z129="Manual Entry hrs/wk","",IF($X$49&gt;'FORMULA REFS'!K$1,$Z129,"")))</f>
        <v/>
      </c>
      <c r="AR129" s="497" t="str">
        <f>IF($X$49="WEEKS","",IF($Z129="Manual Entry hrs/wk","",IF($X$49&gt;'FORMULA REFS'!L$1,$Z129,"")))</f>
        <v/>
      </c>
      <c r="AS129" s="497" t="str">
        <f>IF($X$49="WEEKS","",IF($Z129="Manual Entry hrs/wk","",IF($X$49&gt;'FORMULA REFS'!M$1,$Z129,"")))</f>
        <v/>
      </c>
      <c r="AT129" s="497" t="str">
        <f>IF($X$49="WEEKS","",IF($Z129="Manual Entry hrs/wk","",IF($X$49&gt;'FORMULA REFS'!N$1,$Z129,"")))</f>
        <v/>
      </c>
      <c r="AU129" s="497" t="str">
        <f>IF($X$49="WEEKS","",IF($Z129="Manual Entry hrs/wk","",IF($X$49&gt;'FORMULA REFS'!O$1,$Z129,"")))</f>
        <v/>
      </c>
      <c r="AV129" s="497" t="str">
        <f>IF($X$49="WEEKS","",IF($Z129="Manual Entry hrs/wk","",IF($X$49&gt;'FORMULA REFS'!P$1,$Z129,"")))</f>
        <v/>
      </c>
      <c r="AW129" s="497" t="str">
        <f>IF($X$49="WEEKS","",IF($Z129="Manual Entry hrs/wk","",IF($X$49&gt;'FORMULA REFS'!Q$1,$Z129,"")))</f>
        <v/>
      </c>
      <c r="AX129" s="497" t="str">
        <f>IF($X$49="WEEKS","",IF($Z129="Manual Entry hrs/wk","",IF($X$49&gt;'FORMULA REFS'!R$1,$Z129,"")))</f>
        <v/>
      </c>
      <c r="AY129" s="497" t="str">
        <f>IF($X$49="WEEKS","",IF($Z129="Manual Entry hrs/wk","",IF($X$49&gt;'FORMULA REFS'!S$1,$Z129,"")))</f>
        <v/>
      </c>
      <c r="AZ129" s="497" t="str">
        <f>IF($X$49="WEEKS","",IF($Z129="Manual Entry hrs/wk","",IF($X$49&gt;'FORMULA REFS'!T$1,$Z129,"")))</f>
        <v/>
      </c>
      <c r="BA129" s="497" t="str">
        <f>IF($X$49="WEEKS","",IF($Z129="Manual Entry hrs/wk","",IF($X$49&gt;'FORMULA REFS'!U$1,$Z129,"")))</f>
        <v/>
      </c>
      <c r="BB129" s="497" t="str">
        <f>IF($X$49="WEEKS","",IF($Z129="Manual Entry hrs/wk","",IF($X$49&gt;'FORMULA REFS'!V$1,$Z129,"")))</f>
        <v/>
      </c>
      <c r="BC129" s="497" t="str">
        <f>IF($X$49="WEEKS","",IF($Z129="Manual Entry hrs/wk","",IF($X$49&gt;'FORMULA REFS'!W$1,$Z129,"")))</f>
        <v/>
      </c>
      <c r="BD129" s="497" t="str">
        <f>IF($X$49="WEEKS","",IF($Z129="Manual Entry hrs/wk","",IF($X$49&gt;'FORMULA REFS'!X$1,$Z129,"")))</f>
        <v/>
      </c>
      <c r="BE129" s="497" t="str">
        <f>IF($X$49="WEEKS","",IF($Z129="Manual Entry hrs/wk","",IF($X$49&gt;'FORMULA REFS'!Y$1,$Z129,"")))</f>
        <v/>
      </c>
      <c r="BF129" s="497" t="str">
        <f>IF($X$49="WEEKS","",IF($Z129="Manual Entry hrs/wk","",IF($X$49&gt;'FORMULA REFS'!Z$1,$Z129,"")))</f>
        <v/>
      </c>
      <c r="BG129" s="497" t="str">
        <f>IF($X$49="WEEKS","",IF($Z129="Manual Entry hrs/wk","",IF($X$49&gt;'FORMULA REFS'!AA$1,$Z129,"")))</f>
        <v/>
      </c>
      <c r="BH129" s="497" t="str">
        <f>IF($X$49="WEEKS","",IF($Z129="Manual Entry hrs/wk","",IF($X$49&gt;'FORMULA REFS'!AB$1,$Z129,"")))</f>
        <v/>
      </c>
      <c r="BI129" s="497" t="str">
        <f>IF($X$49="WEEKS","",IF($Z129="Manual Entry hrs/wk","",IF($X$49&gt;'FORMULA REFS'!AC$1,$Z129,"")))</f>
        <v/>
      </c>
      <c r="BJ129" s="497" t="str">
        <f>IF($X$49="WEEKS","",IF($Z129="Manual Entry hrs/wk","",IF($X$49&gt;'FORMULA REFS'!AD$1,$Z129,"")))</f>
        <v/>
      </c>
      <c r="BK129" s="497" t="str">
        <f>IF($X$49="WEEKS","",IF($Z129="Manual Entry hrs/wk","",IF($X$49&gt;'FORMULA REFS'!AE$1,$Z129,"")))</f>
        <v/>
      </c>
      <c r="BL129" s="497" t="str">
        <f>IF($X$49="WEEKS","",IF($Z129="Manual Entry hrs/wk","",IF($X$49&gt;'FORMULA REFS'!AF$1,$Z129,"")))</f>
        <v/>
      </c>
      <c r="BM129" s="497" t="str">
        <f>IF($X$49="WEEKS","",IF($Z129="Manual Entry hrs/wk","",IF($X$49&gt;'FORMULA REFS'!AG$1,$Z129,"")))</f>
        <v/>
      </c>
      <c r="BN129" s="497" t="str">
        <f>IF($X$49="WEEKS","",IF($Z129="Manual Entry hrs/wk","",IF($X$49&gt;'FORMULA REFS'!AH$1,$Z129,"")))</f>
        <v/>
      </c>
      <c r="BO129" s="497" t="str">
        <f>IF($X$49="WEEKS","",IF($Z129="Manual Entry hrs/wk","",IF($X$49&gt;'FORMULA REFS'!AI$1,$Z129,"")))</f>
        <v/>
      </c>
      <c r="BP129" s="497" t="str">
        <f>IF($X$49="WEEKS","",IF($Z129="Manual Entry hrs/wk","",IF($X$49&gt;'FORMULA REFS'!AJ$1,$Z129,"")))</f>
        <v/>
      </c>
      <c r="BQ129" s="497" t="str">
        <f>IF($X$49="WEEKS","",IF($Z129="Manual Entry hrs/wk","",IF($X$49&gt;'FORMULA REFS'!AK$1,$Z129,"")))</f>
        <v/>
      </c>
      <c r="BR129" s="497" t="str">
        <f>IF($X$49="WEEKS","",IF($Z129="Manual Entry hrs/wk","",IF($X$49&gt;'FORMULA REFS'!AL$1,$Z129,"")))</f>
        <v/>
      </c>
      <c r="BS129" s="497" t="str">
        <f>IF($X$49="WEEKS","",IF($Z129="Manual Entry hrs/wk","",IF($X$49&gt;'FORMULA REFS'!AM$1,$Z129,"")))</f>
        <v/>
      </c>
      <c r="BT129" s="497" t="str">
        <f>IF($X$49="WEEKS","",IF($Z129="Manual Entry hrs/wk","",IF($X$49&gt;'FORMULA REFS'!AN$1,$Z129,"")))</f>
        <v/>
      </c>
      <c r="BU129" s="497" t="str">
        <f>IF($X$49="WEEKS","",IF($Z129="Manual Entry hrs/wk","",IF($X$49&gt;'FORMULA REFS'!AO$1,$Z129,"")))</f>
        <v/>
      </c>
      <c r="BV129" s="497" t="str">
        <f>IF($X$49="WEEKS","",IF($Z129="Manual Entry hrs/wk","",IF($X$49&gt;'FORMULA REFS'!AP$1,$Z129,"")))</f>
        <v/>
      </c>
      <c r="BW129" s="497" t="str">
        <f>IF($X$49="WEEKS","",IF($Z129="Manual Entry hrs/wk","",IF($X$49&gt;'FORMULA REFS'!AQ$1,$Z129,"")))</f>
        <v/>
      </c>
      <c r="BX129" s="497" t="str">
        <f>IF($X$49="WEEKS","",IF($Z129="Manual Entry hrs/wk","",IF($X$49&gt;'FORMULA REFS'!AR$1,$Z129,"")))</f>
        <v/>
      </c>
      <c r="BY129" s="497" t="str">
        <f>IF($X$49="WEEKS","",IF($Z129="Manual Entry hrs/wk","",IF($X$49&gt;'FORMULA REFS'!AS$1,$Z129,"")))</f>
        <v/>
      </c>
      <c r="BZ129" s="497" t="str">
        <f>IF($X$49="WEEKS","",IF($Z129="Manual Entry hrs/wk","",IF($X$49&gt;'FORMULA REFS'!AT$1,$Z129,"")))</f>
        <v/>
      </c>
      <c r="CA129" s="497" t="str">
        <f>IF($X$49="WEEKS","",IF($Z129="Manual Entry hrs/wk","",IF($X$49&gt;'FORMULA REFS'!AU$1,$Z129,"")))</f>
        <v/>
      </c>
      <c r="CB129" s="497" t="str">
        <f>IF($X$49="WEEKS","",IF($Z129="Manual Entry hrs/wk","",IF($X$49&gt;'FORMULA REFS'!AV$1,$Z129,"")))</f>
        <v/>
      </c>
      <c r="CC129" s="497" t="str">
        <f>IF($X$49="WEEKS","",IF($Z129="Manual Entry hrs/wk","",IF($X$49&gt;'FORMULA REFS'!AW$1,$Z129,"")))</f>
        <v/>
      </c>
      <c r="CD129" s="497" t="str">
        <f>IF($X$49="WEEKS","",IF($Z129="Manual Entry hrs/wk","",IF($X$49&gt;'FORMULA REFS'!AX$1,$Z129,"")))</f>
        <v/>
      </c>
      <c r="CE129" s="497" t="str">
        <f>IF($X$49="WEEKS","",IF($Z129="Manual Entry hrs/wk","",IF($X$49&gt;'FORMULA REFS'!AY$1,$Z129,"")))</f>
        <v/>
      </c>
      <c r="CF129" s="497" t="str">
        <f>IF($X$49="WEEKS","",IF($Z129="Manual Entry hrs/wk","",IF($X$49&gt;'FORMULA REFS'!AZ$1,$Z129,"")))</f>
        <v/>
      </c>
      <c r="CG129" s="113"/>
      <c r="CH129" s="349" t="str">
        <f t="shared" si="20"/>
        <v/>
      </c>
      <c r="CI129" s="349"/>
      <c r="CJ129" s="349"/>
      <c r="CK129" s="349"/>
      <c r="CL129" s="350"/>
    </row>
    <row r="130" spans="2:90" hidden="1" outlineLevel="3" x14ac:dyDescent="0.3">
      <c r="B130">
        <v>81</v>
      </c>
      <c r="C130" s="346"/>
      <c r="D130" s="495"/>
      <c r="E130" s="346"/>
      <c r="F130" s="346" t="str">
        <f>IFERROR(_xlfn.XLOOKUP(E130,'Standard Rate Cards'!$BB$11:$BB$23,'Standard Rate Cards'!$BA$11:$BA$23),"")</f>
        <v/>
      </c>
      <c r="G130" s="346"/>
      <c r="H130" s="346" t="str">
        <f>IFERROR(_xlfn.XLOOKUP(G130,'Standard Rate Cards'!$AP$8:$AP$142,'Standard Rate Cards'!$AQ$8:$AQ$142),"")</f>
        <v/>
      </c>
      <c r="I130" s="346"/>
      <c r="J130" s="346"/>
      <c r="K130" s="496"/>
      <c r="L130" s="496">
        <f t="shared" si="21"/>
        <v>0</v>
      </c>
      <c r="M130" s="496" t="str" cm="1">
        <f t="array" ref="M130">IF(ISBLANK(D130),"",IF(D130&lt;&gt;"CrederaUS",INDEX('Standard Rate Cards'!$D$9:$D$433,MATCH(1,('Standard Rate Cards'!$B$9:$B$433='2. Pricing &amp; Import'!D130)*('Standard Rate Cards'!$C$9:$C$433='2. Pricing &amp; Import'!K130),0)),INDEX('Standard Rate Cards'!$D$9:$D$433,MATCH(1,('Standard Rate Cards'!$B$9:$B$433='2. Pricing &amp; Import'!D130)*('Standard Rate Cards'!$C$9:$C$433='2. Pricing &amp; Import'!K130)*('Standard Rate Cards'!$H$9:$H$433=L130),0))))</f>
        <v/>
      </c>
      <c r="N130" s="347"/>
      <c r="O130" s="110"/>
      <c r="P130" s="246"/>
      <c r="Q130" s="348"/>
      <c r="R130" s="250"/>
      <c r="S130" s="250"/>
      <c r="T130" s="614"/>
      <c r="U130" s="1637"/>
      <c r="V130" s="1638"/>
      <c r="W130" s="614"/>
      <c r="X130" s="681" t="str">
        <f t="shared" si="22"/>
        <v/>
      </c>
      <c r="Y130" s="682" t="str">
        <f t="shared" si="23"/>
        <v/>
      </c>
      <c r="Z130" s="1630" t="s">
        <v>309</v>
      </c>
      <c r="AA130" s="1631"/>
      <c r="AB130" s="94"/>
      <c r="AC130" s="94"/>
      <c r="AD130" s="94"/>
      <c r="AE130" s="94"/>
      <c r="AF130" s="94"/>
      <c r="AG130" s="497" t="str">
        <f>IF($X$49="WEEKS","",IF($Z130="Manual Entry hrs/wk","",IF($X$49&gt;'FORMULA REFS'!A$1,$Z130,"")))</f>
        <v/>
      </c>
      <c r="AH130" s="497" t="str">
        <f>IF($X$49="WEEKS","",IF($Z130="Manual Entry hrs/wk","",IF($X$49&gt;'FORMULA REFS'!B$1,$Z130,"")))</f>
        <v/>
      </c>
      <c r="AI130" s="497" t="str">
        <f>IF($X$49="WEEKS","",IF($Z130="Manual Entry hrs/wk","",IF($X$49&gt;'FORMULA REFS'!C$1,$Z130,"")))</f>
        <v/>
      </c>
      <c r="AJ130" s="497" t="str">
        <f>IF($X$49="WEEKS","",IF($Z130="Manual Entry hrs/wk","",IF($X$49&gt;'FORMULA REFS'!D$1,$Z130,"")))</f>
        <v/>
      </c>
      <c r="AK130" s="497" t="str">
        <f>IF($X$49="WEEKS","",IF($Z130="Manual Entry hrs/wk","",IF($X$49&gt;'FORMULA REFS'!E$1,$Z130,"")))</f>
        <v/>
      </c>
      <c r="AL130" s="497" t="str">
        <f>IF($X$49="WEEKS","",IF($Z130="Manual Entry hrs/wk","",IF($X$49&gt;'FORMULA REFS'!F$1,$Z130,"")))</f>
        <v/>
      </c>
      <c r="AM130" s="497" t="str">
        <f>IF($X$49="WEEKS","",IF($Z130="Manual Entry hrs/wk","",IF($X$49&gt;'FORMULA REFS'!G$1,$Z130,"")))</f>
        <v/>
      </c>
      <c r="AN130" s="497" t="str">
        <f>IF($X$49="WEEKS","",IF($Z130="Manual Entry hrs/wk","",IF($X$49&gt;'FORMULA REFS'!H$1,$Z130,"")))</f>
        <v/>
      </c>
      <c r="AO130" s="497" t="str">
        <f>IF($X$49="WEEKS","",IF($Z130="Manual Entry hrs/wk","",IF($X$49&gt;'FORMULA REFS'!I$1,$Z130,"")))</f>
        <v/>
      </c>
      <c r="AP130" s="497" t="str">
        <f>IF($X$49="WEEKS","",IF($Z130="Manual Entry hrs/wk","",IF($X$49&gt;'FORMULA REFS'!J$1,$Z130,"")))</f>
        <v/>
      </c>
      <c r="AQ130" s="497" t="str">
        <f>IF($X$49="WEEKS","",IF($Z130="Manual Entry hrs/wk","",IF($X$49&gt;'FORMULA REFS'!K$1,$Z130,"")))</f>
        <v/>
      </c>
      <c r="AR130" s="497" t="str">
        <f>IF($X$49="WEEKS","",IF($Z130="Manual Entry hrs/wk","",IF($X$49&gt;'FORMULA REFS'!L$1,$Z130,"")))</f>
        <v/>
      </c>
      <c r="AS130" s="497" t="str">
        <f>IF($X$49="WEEKS","",IF($Z130="Manual Entry hrs/wk","",IF($X$49&gt;'FORMULA REFS'!M$1,$Z130,"")))</f>
        <v/>
      </c>
      <c r="AT130" s="497" t="str">
        <f>IF($X$49="WEEKS","",IF($Z130="Manual Entry hrs/wk","",IF($X$49&gt;'FORMULA REFS'!N$1,$Z130,"")))</f>
        <v/>
      </c>
      <c r="AU130" s="497" t="str">
        <f>IF($X$49="WEEKS","",IF($Z130="Manual Entry hrs/wk","",IF($X$49&gt;'FORMULA REFS'!O$1,$Z130,"")))</f>
        <v/>
      </c>
      <c r="AV130" s="497" t="str">
        <f>IF($X$49="WEEKS","",IF($Z130="Manual Entry hrs/wk","",IF($X$49&gt;'FORMULA REFS'!P$1,$Z130,"")))</f>
        <v/>
      </c>
      <c r="AW130" s="497" t="str">
        <f>IF($X$49="WEEKS","",IF($Z130="Manual Entry hrs/wk","",IF($X$49&gt;'FORMULA REFS'!Q$1,$Z130,"")))</f>
        <v/>
      </c>
      <c r="AX130" s="497" t="str">
        <f>IF($X$49="WEEKS","",IF($Z130="Manual Entry hrs/wk","",IF($X$49&gt;'FORMULA REFS'!R$1,$Z130,"")))</f>
        <v/>
      </c>
      <c r="AY130" s="497" t="str">
        <f>IF($X$49="WEEKS","",IF($Z130="Manual Entry hrs/wk","",IF($X$49&gt;'FORMULA REFS'!S$1,$Z130,"")))</f>
        <v/>
      </c>
      <c r="AZ130" s="497" t="str">
        <f>IF($X$49="WEEKS","",IF($Z130="Manual Entry hrs/wk","",IF($X$49&gt;'FORMULA REFS'!T$1,$Z130,"")))</f>
        <v/>
      </c>
      <c r="BA130" s="497" t="str">
        <f>IF($X$49="WEEKS","",IF($Z130="Manual Entry hrs/wk","",IF($X$49&gt;'FORMULA REFS'!U$1,$Z130,"")))</f>
        <v/>
      </c>
      <c r="BB130" s="497" t="str">
        <f>IF($X$49="WEEKS","",IF($Z130="Manual Entry hrs/wk","",IF($X$49&gt;'FORMULA REFS'!V$1,$Z130,"")))</f>
        <v/>
      </c>
      <c r="BC130" s="497" t="str">
        <f>IF($X$49="WEEKS","",IF($Z130="Manual Entry hrs/wk","",IF($X$49&gt;'FORMULA REFS'!W$1,$Z130,"")))</f>
        <v/>
      </c>
      <c r="BD130" s="497" t="str">
        <f>IF($X$49="WEEKS","",IF($Z130="Manual Entry hrs/wk","",IF($X$49&gt;'FORMULA REFS'!X$1,$Z130,"")))</f>
        <v/>
      </c>
      <c r="BE130" s="497" t="str">
        <f>IF($X$49="WEEKS","",IF($Z130="Manual Entry hrs/wk","",IF($X$49&gt;'FORMULA REFS'!Y$1,$Z130,"")))</f>
        <v/>
      </c>
      <c r="BF130" s="497" t="str">
        <f>IF($X$49="WEEKS","",IF($Z130="Manual Entry hrs/wk","",IF($X$49&gt;'FORMULA REFS'!Z$1,$Z130,"")))</f>
        <v/>
      </c>
      <c r="BG130" s="497" t="str">
        <f>IF($X$49="WEEKS","",IF($Z130="Manual Entry hrs/wk","",IF($X$49&gt;'FORMULA REFS'!AA$1,$Z130,"")))</f>
        <v/>
      </c>
      <c r="BH130" s="497" t="str">
        <f>IF($X$49="WEEKS","",IF($Z130="Manual Entry hrs/wk","",IF($X$49&gt;'FORMULA REFS'!AB$1,$Z130,"")))</f>
        <v/>
      </c>
      <c r="BI130" s="497" t="str">
        <f>IF($X$49="WEEKS","",IF($Z130="Manual Entry hrs/wk","",IF($X$49&gt;'FORMULA REFS'!AC$1,$Z130,"")))</f>
        <v/>
      </c>
      <c r="BJ130" s="497" t="str">
        <f>IF($X$49="WEEKS","",IF($Z130="Manual Entry hrs/wk","",IF($X$49&gt;'FORMULA REFS'!AD$1,$Z130,"")))</f>
        <v/>
      </c>
      <c r="BK130" s="497" t="str">
        <f>IF($X$49="WEEKS","",IF($Z130="Manual Entry hrs/wk","",IF($X$49&gt;'FORMULA REFS'!AE$1,$Z130,"")))</f>
        <v/>
      </c>
      <c r="BL130" s="497" t="str">
        <f>IF($X$49="WEEKS","",IF($Z130="Manual Entry hrs/wk","",IF($X$49&gt;'FORMULA REFS'!AF$1,$Z130,"")))</f>
        <v/>
      </c>
      <c r="BM130" s="497" t="str">
        <f>IF($X$49="WEEKS","",IF($Z130="Manual Entry hrs/wk","",IF($X$49&gt;'FORMULA REFS'!AG$1,$Z130,"")))</f>
        <v/>
      </c>
      <c r="BN130" s="497" t="str">
        <f>IF($X$49="WEEKS","",IF($Z130="Manual Entry hrs/wk","",IF($X$49&gt;'FORMULA REFS'!AH$1,$Z130,"")))</f>
        <v/>
      </c>
      <c r="BO130" s="497" t="str">
        <f>IF($X$49="WEEKS","",IF($Z130="Manual Entry hrs/wk","",IF($X$49&gt;'FORMULA REFS'!AI$1,$Z130,"")))</f>
        <v/>
      </c>
      <c r="BP130" s="497" t="str">
        <f>IF($X$49="WEEKS","",IF($Z130="Manual Entry hrs/wk","",IF($X$49&gt;'FORMULA REFS'!AJ$1,$Z130,"")))</f>
        <v/>
      </c>
      <c r="BQ130" s="497" t="str">
        <f>IF($X$49="WEEKS","",IF($Z130="Manual Entry hrs/wk","",IF($X$49&gt;'FORMULA REFS'!AK$1,$Z130,"")))</f>
        <v/>
      </c>
      <c r="BR130" s="497" t="str">
        <f>IF($X$49="WEEKS","",IF($Z130="Manual Entry hrs/wk","",IF($X$49&gt;'FORMULA REFS'!AL$1,$Z130,"")))</f>
        <v/>
      </c>
      <c r="BS130" s="497" t="str">
        <f>IF($X$49="WEEKS","",IF($Z130="Manual Entry hrs/wk","",IF($X$49&gt;'FORMULA REFS'!AM$1,$Z130,"")))</f>
        <v/>
      </c>
      <c r="BT130" s="497" t="str">
        <f>IF($X$49="WEEKS","",IF($Z130="Manual Entry hrs/wk","",IF($X$49&gt;'FORMULA REFS'!AN$1,$Z130,"")))</f>
        <v/>
      </c>
      <c r="BU130" s="497" t="str">
        <f>IF($X$49="WEEKS","",IF($Z130="Manual Entry hrs/wk","",IF($X$49&gt;'FORMULA REFS'!AO$1,$Z130,"")))</f>
        <v/>
      </c>
      <c r="BV130" s="497" t="str">
        <f>IF($X$49="WEEKS","",IF($Z130="Manual Entry hrs/wk","",IF($X$49&gt;'FORMULA REFS'!AP$1,$Z130,"")))</f>
        <v/>
      </c>
      <c r="BW130" s="497" t="str">
        <f>IF($X$49="WEEKS","",IF($Z130="Manual Entry hrs/wk","",IF($X$49&gt;'FORMULA REFS'!AQ$1,$Z130,"")))</f>
        <v/>
      </c>
      <c r="BX130" s="497" t="str">
        <f>IF($X$49="WEEKS","",IF($Z130="Manual Entry hrs/wk","",IF($X$49&gt;'FORMULA REFS'!AR$1,$Z130,"")))</f>
        <v/>
      </c>
      <c r="BY130" s="497" t="str">
        <f>IF($X$49="WEEKS","",IF($Z130="Manual Entry hrs/wk","",IF($X$49&gt;'FORMULA REFS'!AS$1,$Z130,"")))</f>
        <v/>
      </c>
      <c r="BZ130" s="497" t="str">
        <f>IF($X$49="WEEKS","",IF($Z130="Manual Entry hrs/wk","",IF($X$49&gt;'FORMULA REFS'!AT$1,$Z130,"")))</f>
        <v/>
      </c>
      <c r="CA130" s="497" t="str">
        <f>IF($X$49="WEEKS","",IF($Z130="Manual Entry hrs/wk","",IF($X$49&gt;'FORMULA REFS'!AU$1,$Z130,"")))</f>
        <v/>
      </c>
      <c r="CB130" s="497" t="str">
        <f>IF($X$49="WEEKS","",IF($Z130="Manual Entry hrs/wk","",IF($X$49&gt;'FORMULA REFS'!AV$1,$Z130,"")))</f>
        <v/>
      </c>
      <c r="CC130" s="497" t="str">
        <f>IF($X$49="WEEKS","",IF($Z130="Manual Entry hrs/wk","",IF($X$49&gt;'FORMULA REFS'!AW$1,$Z130,"")))</f>
        <v/>
      </c>
      <c r="CD130" s="497" t="str">
        <f>IF($X$49="WEEKS","",IF($Z130="Manual Entry hrs/wk","",IF($X$49&gt;'FORMULA REFS'!AX$1,$Z130,"")))</f>
        <v/>
      </c>
      <c r="CE130" s="497" t="str">
        <f>IF($X$49="WEEKS","",IF($Z130="Manual Entry hrs/wk","",IF($X$49&gt;'FORMULA REFS'!AY$1,$Z130,"")))</f>
        <v/>
      </c>
      <c r="CF130" s="497" t="str">
        <f>IF($X$49="WEEKS","",IF($Z130="Manual Entry hrs/wk","",IF($X$49&gt;'FORMULA REFS'!AZ$1,$Z130,"")))</f>
        <v/>
      </c>
      <c r="CG130" s="113"/>
      <c r="CH130" s="349" t="str">
        <f t="shared" si="20"/>
        <v/>
      </c>
      <c r="CI130" s="349"/>
      <c r="CJ130" s="349"/>
      <c r="CK130" s="349"/>
      <c r="CL130" s="350"/>
    </row>
    <row r="131" spans="2:90" hidden="1" outlineLevel="3" x14ac:dyDescent="0.3">
      <c r="B131">
        <v>82</v>
      </c>
      <c r="C131" s="346"/>
      <c r="D131" s="495"/>
      <c r="E131" s="346"/>
      <c r="F131" s="346" t="str">
        <f>IFERROR(_xlfn.XLOOKUP(E131,'Standard Rate Cards'!$BB$11:$BB$23,'Standard Rate Cards'!$BA$11:$BA$23),"")</f>
        <v/>
      </c>
      <c r="G131" s="346"/>
      <c r="H131" s="346" t="str">
        <f>IFERROR(_xlfn.XLOOKUP(G131,'Standard Rate Cards'!$AP$8:$AP$142,'Standard Rate Cards'!$AQ$8:$AQ$142),"")</f>
        <v/>
      </c>
      <c r="I131" s="346"/>
      <c r="J131" s="346"/>
      <c r="K131" s="496"/>
      <c r="L131" s="496">
        <f t="shared" si="21"/>
        <v>0</v>
      </c>
      <c r="M131" s="496" t="str" cm="1">
        <f t="array" ref="M131">IF(ISBLANK(D131),"",IF(D131&lt;&gt;"CrederaUS",INDEX('Standard Rate Cards'!$D$9:$D$433,MATCH(1,('Standard Rate Cards'!$B$9:$B$433='2. Pricing &amp; Import'!D131)*('Standard Rate Cards'!$C$9:$C$433='2. Pricing &amp; Import'!K131),0)),INDEX('Standard Rate Cards'!$D$9:$D$433,MATCH(1,('Standard Rate Cards'!$B$9:$B$433='2. Pricing &amp; Import'!D131)*('Standard Rate Cards'!$C$9:$C$433='2. Pricing &amp; Import'!K131)*('Standard Rate Cards'!$H$9:$H$433=L131),0))))</f>
        <v/>
      </c>
      <c r="N131" s="347"/>
      <c r="O131" s="110"/>
      <c r="P131" s="246"/>
      <c r="Q131" s="348"/>
      <c r="R131" s="250"/>
      <c r="S131" s="250"/>
      <c r="T131" s="614"/>
      <c r="U131" s="1637"/>
      <c r="V131" s="1638"/>
      <c r="W131" s="614"/>
      <c r="X131" s="681" t="str">
        <f t="shared" si="22"/>
        <v/>
      </c>
      <c r="Y131" s="682" t="str">
        <f t="shared" si="23"/>
        <v/>
      </c>
      <c r="Z131" s="1630" t="s">
        <v>309</v>
      </c>
      <c r="AA131" s="1631"/>
      <c r="AB131" s="94"/>
      <c r="AC131" s="94"/>
      <c r="AD131" s="94"/>
      <c r="AE131" s="94"/>
      <c r="AF131" s="94"/>
      <c r="AG131" s="497" t="str">
        <f>IF($X$49="WEEKS","",IF($Z131="Manual Entry hrs/wk","",IF($X$49&gt;'FORMULA REFS'!A$1,$Z131,"")))</f>
        <v/>
      </c>
      <c r="AH131" s="497" t="str">
        <f>IF($X$49="WEEKS","",IF($Z131="Manual Entry hrs/wk","",IF($X$49&gt;'FORMULA REFS'!B$1,$Z131,"")))</f>
        <v/>
      </c>
      <c r="AI131" s="497" t="str">
        <f>IF($X$49="WEEKS","",IF($Z131="Manual Entry hrs/wk","",IF($X$49&gt;'FORMULA REFS'!C$1,$Z131,"")))</f>
        <v/>
      </c>
      <c r="AJ131" s="497" t="str">
        <f>IF($X$49="WEEKS","",IF($Z131="Manual Entry hrs/wk","",IF($X$49&gt;'FORMULA REFS'!D$1,$Z131,"")))</f>
        <v/>
      </c>
      <c r="AK131" s="497" t="str">
        <f>IF($X$49="WEEKS","",IF($Z131="Manual Entry hrs/wk","",IF($X$49&gt;'FORMULA REFS'!E$1,$Z131,"")))</f>
        <v/>
      </c>
      <c r="AL131" s="497" t="str">
        <f>IF($X$49="WEEKS","",IF($Z131="Manual Entry hrs/wk","",IF($X$49&gt;'FORMULA REFS'!F$1,$Z131,"")))</f>
        <v/>
      </c>
      <c r="AM131" s="497" t="str">
        <f>IF($X$49="WEEKS","",IF($Z131="Manual Entry hrs/wk","",IF($X$49&gt;'FORMULA REFS'!G$1,$Z131,"")))</f>
        <v/>
      </c>
      <c r="AN131" s="497" t="str">
        <f>IF($X$49="WEEKS","",IF($Z131="Manual Entry hrs/wk","",IF($X$49&gt;'FORMULA REFS'!H$1,$Z131,"")))</f>
        <v/>
      </c>
      <c r="AO131" s="497" t="str">
        <f>IF($X$49="WEEKS","",IF($Z131="Manual Entry hrs/wk","",IF($X$49&gt;'FORMULA REFS'!I$1,$Z131,"")))</f>
        <v/>
      </c>
      <c r="AP131" s="497" t="str">
        <f>IF($X$49="WEEKS","",IF($Z131="Manual Entry hrs/wk","",IF($X$49&gt;'FORMULA REFS'!J$1,$Z131,"")))</f>
        <v/>
      </c>
      <c r="AQ131" s="497" t="str">
        <f>IF($X$49="WEEKS","",IF($Z131="Manual Entry hrs/wk","",IF($X$49&gt;'FORMULA REFS'!K$1,$Z131,"")))</f>
        <v/>
      </c>
      <c r="AR131" s="497" t="str">
        <f>IF($X$49="WEEKS","",IF($Z131="Manual Entry hrs/wk","",IF($X$49&gt;'FORMULA REFS'!L$1,$Z131,"")))</f>
        <v/>
      </c>
      <c r="AS131" s="497" t="str">
        <f>IF($X$49="WEEKS","",IF($Z131="Manual Entry hrs/wk","",IF($X$49&gt;'FORMULA REFS'!M$1,$Z131,"")))</f>
        <v/>
      </c>
      <c r="AT131" s="497" t="str">
        <f>IF($X$49="WEEKS","",IF($Z131="Manual Entry hrs/wk","",IF($X$49&gt;'FORMULA REFS'!N$1,$Z131,"")))</f>
        <v/>
      </c>
      <c r="AU131" s="497" t="str">
        <f>IF($X$49="WEEKS","",IF($Z131="Manual Entry hrs/wk","",IF($X$49&gt;'FORMULA REFS'!O$1,$Z131,"")))</f>
        <v/>
      </c>
      <c r="AV131" s="497" t="str">
        <f>IF($X$49="WEEKS","",IF($Z131="Manual Entry hrs/wk","",IF($X$49&gt;'FORMULA REFS'!P$1,$Z131,"")))</f>
        <v/>
      </c>
      <c r="AW131" s="497" t="str">
        <f>IF($X$49="WEEKS","",IF($Z131="Manual Entry hrs/wk","",IF($X$49&gt;'FORMULA REFS'!Q$1,$Z131,"")))</f>
        <v/>
      </c>
      <c r="AX131" s="497" t="str">
        <f>IF($X$49="WEEKS","",IF($Z131="Manual Entry hrs/wk","",IF($X$49&gt;'FORMULA REFS'!R$1,$Z131,"")))</f>
        <v/>
      </c>
      <c r="AY131" s="497" t="str">
        <f>IF($X$49="WEEKS","",IF($Z131="Manual Entry hrs/wk","",IF($X$49&gt;'FORMULA REFS'!S$1,$Z131,"")))</f>
        <v/>
      </c>
      <c r="AZ131" s="497" t="str">
        <f>IF($X$49="WEEKS","",IF($Z131="Manual Entry hrs/wk","",IF($X$49&gt;'FORMULA REFS'!T$1,$Z131,"")))</f>
        <v/>
      </c>
      <c r="BA131" s="497" t="str">
        <f>IF($X$49="WEEKS","",IF($Z131="Manual Entry hrs/wk","",IF($X$49&gt;'FORMULA REFS'!U$1,$Z131,"")))</f>
        <v/>
      </c>
      <c r="BB131" s="497" t="str">
        <f>IF($X$49="WEEKS","",IF($Z131="Manual Entry hrs/wk","",IF($X$49&gt;'FORMULA REFS'!V$1,$Z131,"")))</f>
        <v/>
      </c>
      <c r="BC131" s="497" t="str">
        <f>IF($X$49="WEEKS","",IF($Z131="Manual Entry hrs/wk","",IF($X$49&gt;'FORMULA REFS'!W$1,$Z131,"")))</f>
        <v/>
      </c>
      <c r="BD131" s="497" t="str">
        <f>IF($X$49="WEEKS","",IF($Z131="Manual Entry hrs/wk","",IF($X$49&gt;'FORMULA REFS'!X$1,$Z131,"")))</f>
        <v/>
      </c>
      <c r="BE131" s="497" t="str">
        <f>IF($X$49="WEEKS","",IF($Z131="Manual Entry hrs/wk","",IF($X$49&gt;'FORMULA REFS'!Y$1,$Z131,"")))</f>
        <v/>
      </c>
      <c r="BF131" s="497" t="str">
        <f>IF($X$49="WEEKS","",IF($Z131="Manual Entry hrs/wk","",IF($X$49&gt;'FORMULA REFS'!Z$1,$Z131,"")))</f>
        <v/>
      </c>
      <c r="BG131" s="497" t="str">
        <f>IF($X$49="WEEKS","",IF($Z131="Manual Entry hrs/wk","",IF($X$49&gt;'FORMULA REFS'!AA$1,$Z131,"")))</f>
        <v/>
      </c>
      <c r="BH131" s="497" t="str">
        <f>IF($X$49="WEEKS","",IF($Z131="Manual Entry hrs/wk","",IF($X$49&gt;'FORMULA REFS'!AB$1,$Z131,"")))</f>
        <v/>
      </c>
      <c r="BI131" s="497" t="str">
        <f>IF($X$49="WEEKS","",IF($Z131="Manual Entry hrs/wk","",IF($X$49&gt;'FORMULA REFS'!AC$1,$Z131,"")))</f>
        <v/>
      </c>
      <c r="BJ131" s="497" t="str">
        <f>IF($X$49="WEEKS","",IF($Z131="Manual Entry hrs/wk","",IF($X$49&gt;'FORMULA REFS'!AD$1,$Z131,"")))</f>
        <v/>
      </c>
      <c r="BK131" s="497" t="str">
        <f>IF($X$49="WEEKS","",IF($Z131="Manual Entry hrs/wk","",IF($X$49&gt;'FORMULA REFS'!AE$1,$Z131,"")))</f>
        <v/>
      </c>
      <c r="BL131" s="497" t="str">
        <f>IF($X$49="WEEKS","",IF($Z131="Manual Entry hrs/wk","",IF($X$49&gt;'FORMULA REFS'!AF$1,$Z131,"")))</f>
        <v/>
      </c>
      <c r="BM131" s="497" t="str">
        <f>IF($X$49="WEEKS","",IF($Z131="Manual Entry hrs/wk","",IF($X$49&gt;'FORMULA REFS'!AG$1,$Z131,"")))</f>
        <v/>
      </c>
      <c r="BN131" s="497" t="str">
        <f>IF($X$49="WEEKS","",IF($Z131="Manual Entry hrs/wk","",IF($X$49&gt;'FORMULA REFS'!AH$1,$Z131,"")))</f>
        <v/>
      </c>
      <c r="BO131" s="497" t="str">
        <f>IF($X$49="WEEKS","",IF($Z131="Manual Entry hrs/wk","",IF($X$49&gt;'FORMULA REFS'!AI$1,$Z131,"")))</f>
        <v/>
      </c>
      <c r="BP131" s="497" t="str">
        <f>IF($X$49="WEEKS","",IF($Z131="Manual Entry hrs/wk","",IF($X$49&gt;'FORMULA REFS'!AJ$1,$Z131,"")))</f>
        <v/>
      </c>
      <c r="BQ131" s="497" t="str">
        <f>IF($X$49="WEEKS","",IF($Z131="Manual Entry hrs/wk","",IF($X$49&gt;'FORMULA REFS'!AK$1,$Z131,"")))</f>
        <v/>
      </c>
      <c r="BR131" s="497" t="str">
        <f>IF($X$49="WEEKS","",IF($Z131="Manual Entry hrs/wk","",IF($X$49&gt;'FORMULA REFS'!AL$1,$Z131,"")))</f>
        <v/>
      </c>
      <c r="BS131" s="497" t="str">
        <f>IF($X$49="WEEKS","",IF($Z131="Manual Entry hrs/wk","",IF($X$49&gt;'FORMULA REFS'!AM$1,$Z131,"")))</f>
        <v/>
      </c>
      <c r="BT131" s="497" t="str">
        <f>IF($X$49="WEEKS","",IF($Z131="Manual Entry hrs/wk","",IF($X$49&gt;'FORMULA REFS'!AN$1,$Z131,"")))</f>
        <v/>
      </c>
      <c r="BU131" s="497" t="str">
        <f>IF($X$49="WEEKS","",IF($Z131="Manual Entry hrs/wk","",IF($X$49&gt;'FORMULA REFS'!AO$1,$Z131,"")))</f>
        <v/>
      </c>
      <c r="BV131" s="497" t="str">
        <f>IF($X$49="WEEKS","",IF($Z131="Manual Entry hrs/wk","",IF($X$49&gt;'FORMULA REFS'!AP$1,$Z131,"")))</f>
        <v/>
      </c>
      <c r="BW131" s="497" t="str">
        <f>IF($X$49="WEEKS","",IF($Z131="Manual Entry hrs/wk","",IF($X$49&gt;'FORMULA REFS'!AQ$1,$Z131,"")))</f>
        <v/>
      </c>
      <c r="BX131" s="497" t="str">
        <f>IF($X$49="WEEKS","",IF($Z131="Manual Entry hrs/wk","",IF($X$49&gt;'FORMULA REFS'!AR$1,$Z131,"")))</f>
        <v/>
      </c>
      <c r="BY131" s="497" t="str">
        <f>IF($X$49="WEEKS","",IF($Z131="Manual Entry hrs/wk","",IF($X$49&gt;'FORMULA REFS'!AS$1,$Z131,"")))</f>
        <v/>
      </c>
      <c r="BZ131" s="497" t="str">
        <f>IF($X$49="WEEKS","",IF($Z131="Manual Entry hrs/wk","",IF($X$49&gt;'FORMULA REFS'!AT$1,$Z131,"")))</f>
        <v/>
      </c>
      <c r="CA131" s="497" t="str">
        <f>IF($X$49="WEEKS","",IF($Z131="Manual Entry hrs/wk","",IF($X$49&gt;'FORMULA REFS'!AU$1,$Z131,"")))</f>
        <v/>
      </c>
      <c r="CB131" s="497" t="str">
        <f>IF($X$49="WEEKS","",IF($Z131="Manual Entry hrs/wk","",IF($X$49&gt;'FORMULA REFS'!AV$1,$Z131,"")))</f>
        <v/>
      </c>
      <c r="CC131" s="497" t="str">
        <f>IF($X$49="WEEKS","",IF($Z131="Manual Entry hrs/wk","",IF($X$49&gt;'FORMULA REFS'!AW$1,$Z131,"")))</f>
        <v/>
      </c>
      <c r="CD131" s="497" t="str">
        <f>IF($X$49="WEEKS","",IF($Z131="Manual Entry hrs/wk","",IF($X$49&gt;'FORMULA REFS'!AX$1,$Z131,"")))</f>
        <v/>
      </c>
      <c r="CE131" s="497" t="str">
        <f>IF($X$49="WEEKS","",IF($Z131="Manual Entry hrs/wk","",IF($X$49&gt;'FORMULA REFS'!AY$1,$Z131,"")))</f>
        <v/>
      </c>
      <c r="CF131" s="497" t="str">
        <f>IF($X$49="WEEKS","",IF($Z131="Manual Entry hrs/wk","",IF($X$49&gt;'FORMULA REFS'!AZ$1,$Z131,"")))</f>
        <v/>
      </c>
      <c r="CG131" s="113"/>
      <c r="CH131" s="349" t="str">
        <f t="shared" si="20"/>
        <v/>
      </c>
      <c r="CI131" s="349"/>
      <c r="CJ131" s="349"/>
      <c r="CK131" s="349"/>
      <c r="CL131" s="350"/>
    </row>
    <row r="132" spans="2:90" hidden="1" outlineLevel="3" x14ac:dyDescent="0.3">
      <c r="B132">
        <v>83</v>
      </c>
      <c r="C132" s="346"/>
      <c r="D132" s="495"/>
      <c r="E132" s="346"/>
      <c r="F132" s="346" t="str">
        <f>IFERROR(_xlfn.XLOOKUP(E132,'Standard Rate Cards'!$BB$11:$BB$23,'Standard Rate Cards'!$BA$11:$BA$23),"")</f>
        <v/>
      </c>
      <c r="G132" s="346"/>
      <c r="H132" s="346" t="str">
        <f>IFERROR(_xlfn.XLOOKUP(G132,'Standard Rate Cards'!$AP$8:$AP$142,'Standard Rate Cards'!$AQ$8:$AQ$142),"")</f>
        <v/>
      </c>
      <c r="I132" s="346"/>
      <c r="J132" s="346"/>
      <c r="K132" s="496"/>
      <c r="L132" s="496">
        <f t="shared" si="21"/>
        <v>0</v>
      </c>
      <c r="M132" s="496" t="str" cm="1">
        <f t="array" ref="M132">IF(ISBLANK(D132),"",IF(D132&lt;&gt;"CrederaUS",INDEX('Standard Rate Cards'!$D$9:$D$433,MATCH(1,('Standard Rate Cards'!$B$9:$B$433='2. Pricing &amp; Import'!D132)*('Standard Rate Cards'!$C$9:$C$433='2. Pricing &amp; Import'!K132),0)),INDEX('Standard Rate Cards'!$D$9:$D$433,MATCH(1,('Standard Rate Cards'!$B$9:$B$433='2. Pricing &amp; Import'!D132)*('Standard Rate Cards'!$C$9:$C$433='2. Pricing &amp; Import'!K132)*('Standard Rate Cards'!$H$9:$H$433=L132),0))))</f>
        <v/>
      </c>
      <c r="N132" s="347"/>
      <c r="O132" s="110"/>
      <c r="P132" s="246"/>
      <c r="Q132" s="348"/>
      <c r="R132" s="250"/>
      <c r="S132" s="250"/>
      <c r="T132" s="614"/>
      <c r="U132" s="1637"/>
      <c r="V132" s="1638"/>
      <c r="W132" s="614"/>
      <c r="X132" s="681" t="str">
        <f t="shared" si="22"/>
        <v/>
      </c>
      <c r="Y132" s="682" t="str">
        <f t="shared" si="23"/>
        <v/>
      </c>
      <c r="Z132" s="1630" t="s">
        <v>309</v>
      </c>
      <c r="AA132" s="1631"/>
      <c r="AB132" s="94"/>
      <c r="AC132" s="94"/>
      <c r="AD132" s="94"/>
      <c r="AE132" s="94"/>
      <c r="AF132" s="94"/>
      <c r="AG132" s="497" t="str">
        <f>IF($X$49="WEEKS","",IF($Z132="Manual Entry hrs/wk","",IF($X$49&gt;'FORMULA REFS'!A$1,$Z132,"")))</f>
        <v/>
      </c>
      <c r="AH132" s="497" t="str">
        <f>IF($X$49="WEEKS","",IF($Z132="Manual Entry hrs/wk","",IF($X$49&gt;'FORMULA REFS'!B$1,$Z132,"")))</f>
        <v/>
      </c>
      <c r="AI132" s="497" t="str">
        <f>IF($X$49="WEEKS","",IF($Z132="Manual Entry hrs/wk","",IF($X$49&gt;'FORMULA REFS'!C$1,$Z132,"")))</f>
        <v/>
      </c>
      <c r="AJ132" s="497" t="str">
        <f>IF($X$49="WEEKS","",IF($Z132="Manual Entry hrs/wk","",IF($X$49&gt;'FORMULA REFS'!D$1,$Z132,"")))</f>
        <v/>
      </c>
      <c r="AK132" s="497" t="str">
        <f>IF($X$49="WEEKS","",IF($Z132="Manual Entry hrs/wk","",IF($X$49&gt;'FORMULA REFS'!E$1,$Z132,"")))</f>
        <v/>
      </c>
      <c r="AL132" s="497" t="str">
        <f>IF($X$49="WEEKS","",IF($Z132="Manual Entry hrs/wk","",IF($X$49&gt;'FORMULA REFS'!F$1,$Z132,"")))</f>
        <v/>
      </c>
      <c r="AM132" s="497" t="str">
        <f>IF($X$49="WEEKS","",IF($Z132="Manual Entry hrs/wk","",IF($X$49&gt;'FORMULA REFS'!G$1,$Z132,"")))</f>
        <v/>
      </c>
      <c r="AN132" s="497" t="str">
        <f>IF($X$49="WEEKS","",IF($Z132="Manual Entry hrs/wk","",IF($X$49&gt;'FORMULA REFS'!H$1,$Z132,"")))</f>
        <v/>
      </c>
      <c r="AO132" s="497" t="str">
        <f>IF($X$49="WEEKS","",IF($Z132="Manual Entry hrs/wk","",IF($X$49&gt;'FORMULA REFS'!I$1,$Z132,"")))</f>
        <v/>
      </c>
      <c r="AP132" s="497" t="str">
        <f>IF($X$49="WEEKS","",IF($Z132="Manual Entry hrs/wk","",IF($X$49&gt;'FORMULA REFS'!J$1,$Z132,"")))</f>
        <v/>
      </c>
      <c r="AQ132" s="497" t="str">
        <f>IF($X$49="WEEKS","",IF($Z132="Manual Entry hrs/wk","",IF($X$49&gt;'FORMULA REFS'!K$1,$Z132,"")))</f>
        <v/>
      </c>
      <c r="AR132" s="497" t="str">
        <f>IF($X$49="WEEKS","",IF($Z132="Manual Entry hrs/wk","",IF($X$49&gt;'FORMULA REFS'!L$1,$Z132,"")))</f>
        <v/>
      </c>
      <c r="AS132" s="497" t="str">
        <f>IF($X$49="WEEKS","",IF($Z132="Manual Entry hrs/wk","",IF($X$49&gt;'FORMULA REFS'!M$1,$Z132,"")))</f>
        <v/>
      </c>
      <c r="AT132" s="497" t="str">
        <f>IF($X$49="WEEKS","",IF($Z132="Manual Entry hrs/wk","",IF($X$49&gt;'FORMULA REFS'!N$1,$Z132,"")))</f>
        <v/>
      </c>
      <c r="AU132" s="497" t="str">
        <f>IF($X$49="WEEKS","",IF($Z132="Manual Entry hrs/wk","",IF($X$49&gt;'FORMULA REFS'!O$1,$Z132,"")))</f>
        <v/>
      </c>
      <c r="AV132" s="497" t="str">
        <f>IF($X$49="WEEKS","",IF($Z132="Manual Entry hrs/wk","",IF($X$49&gt;'FORMULA REFS'!P$1,$Z132,"")))</f>
        <v/>
      </c>
      <c r="AW132" s="497" t="str">
        <f>IF($X$49="WEEKS","",IF($Z132="Manual Entry hrs/wk","",IF($X$49&gt;'FORMULA REFS'!Q$1,$Z132,"")))</f>
        <v/>
      </c>
      <c r="AX132" s="497" t="str">
        <f>IF($X$49="WEEKS","",IF($Z132="Manual Entry hrs/wk","",IF($X$49&gt;'FORMULA REFS'!R$1,$Z132,"")))</f>
        <v/>
      </c>
      <c r="AY132" s="497" t="str">
        <f>IF($X$49="WEEKS","",IF($Z132="Manual Entry hrs/wk","",IF($X$49&gt;'FORMULA REFS'!S$1,$Z132,"")))</f>
        <v/>
      </c>
      <c r="AZ132" s="497" t="str">
        <f>IF($X$49="WEEKS","",IF($Z132="Manual Entry hrs/wk","",IF($X$49&gt;'FORMULA REFS'!T$1,$Z132,"")))</f>
        <v/>
      </c>
      <c r="BA132" s="497" t="str">
        <f>IF($X$49="WEEKS","",IF($Z132="Manual Entry hrs/wk","",IF($X$49&gt;'FORMULA REFS'!U$1,$Z132,"")))</f>
        <v/>
      </c>
      <c r="BB132" s="497" t="str">
        <f>IF($X$49="WEEKS","",IF($Z132="Manual Entry hrs/wk","",IF($X$49&gt;'FORMULA REFS'!V$1,$Z132,"")))</f>
        <v/>
      </c>
      <c r="BC132" s="497" t="str">
        <f>IF($X$49="WEEKS","",IF($Z132="Manual Entry hrs/wk","",IF($X$49&gt;'FORMULA REFS'!W$1,$Z132,"")))</f>
        <v/>
      </c>
      <c r="BD132" s="497" t="str">
        <f>IF($X$49="WEEKS","",IF($Z132="Manual Entry hrs/wk","",IF($X$49&gt;'FORMULA REFS'!X$1,$Z132,"")))</f>
        <v/>
      </c>
      <c r="BE132" s="497" t="str">
        <f>IF($X$49="WEEKS","",IF($Z132="Manual Entry hrs/wk","",IF($X$49&gt;'FORMULA REFS'!Y$1,$Z132,"")))</f>
        <v/>
      </c>
      <c r="BF132" s="497" t="str">
        <f>IF($X$49="WEEKS","",IF($Z132="Manual Entry hrs/wk","",IF($X$49&gt;'FORMULA REFS'!Z$1,$Z132,"")))</f>
        <v/>
      </c>
      <c r="BG132" s="497" t="str">
        <f>IF($X$49="WEEKS","",IF($Z132="Manual Entry hrs/wk","",IF($X$49&gt;'FORMULA REFS'!AA$1,$Z132,"")))</f>
        <v/>
      </c>
      <c r="BH132" s="497" t="str">
        <f>IF($X$49="WEEKS","",IF($Z132="Manual Entry hrs/wk","",IF($X$49&gt;'FORMULA REFS'!AB$1,$Z132,"")))</f>
        <v/>
      </c>
      <c r="BI132" s="497" t="str">
        <f>IF($X$49="WEEKS","",IF($Z132="Manual Entry hrs/wk","",IF($X$49&gt;'FORMULA REFS'!AC$1,$Z132,"")))</f>
        <v/>
      </c>
      <c r="BJ132" s="497" t="str">
        <f>IF($X$49="WEEKS","",IF($Z132="Manual Entry hrs/wk","",IF($X$49&gt;'FORMULA REFS'!AD$1,$Z132,"")))</f>
        <v/>
      </c>
      <c r="BK132" s="497" t="str">
        <f>IF($X$49="WEEKS","",IF($Z132="Manual Entry hrs/wk","",IF($X$49&gt;'FORMULA REFS'!AE$1,$Z132,"")))</f>
        <v/>
      </c>
      <c r="BL132" s="497" t="str">
        <f>IF($X$49="WEEKS","",IF($Z132="Manual Entry hrs/wk","",IF($X$49&gt;'FORMULA REFS'!AF$1,$Z132,"")))</f>
        <v/>
      </c>
      <c r="BM132" s="497" t="str">
        <f>IF($X$49="WEEKS","",IF($Z132="Manual Entry hrs/wk","",IF($X$49&gt;'FORMULA REFS'!AG$1,$Z132,"")))</f>
        <v/>
      </c>
      <c r="BN132" s="497" t="str">
        <f>IF($X$49="WEEKS","",IF($Z132="Manual Entry hrs/wk","",IF($X$49&gt;'FORMULA REFS'!AH$1,$Z132,"")))</f>
        <v/>
      </c>
      <c r="BO132" s="497" t="str">
        <f>IF($X$49="WEEKS","",IF($Z132="Manual Entry hrs/wk","",IF($X$49&gt;'FORMULA REFS'!AI$1,$Z132,"")))</f>
        <v/>
      </c>
      <c r="BP132" s="497" t="str">
        <f>IF($X$49="WEEKS","",IF($Z132="Manual Entry hrs/wk","",IF($X$49&gt;'FORMULA REFS'!AJ$1,$Z132,"")))</f>
        <v/>
      </c>
      <c r="BQ132" s="497" t="str">
        <f>IF($X$49="WEEKS","",IF($Z132="Manual Entry hrs/wk","",IF($X$49&gt;'FORMULA REFS'!AK$1,$Z132,"")))</f>
        <v/>
      </c>
      <c r="BR132" s="497" t="str">
        <f>IF($X$49="WEEKS","",IF($Z132="Manual Entry hrs/wk","",IF($X$49&gt;'FORMULA REFS'!AL$1,$Z132,"")))</f>
        <v/>
      </c>
      <c r="BS132" s="497" t="str">
        <f>IF($X$49="WEEKS","",IF($Z132="Manual Entry hrs/wk","",IF($X$49&gt;'FORMULA REFS'!AM$1,$Z132,"")))</f>
        <v/>
      </c>
      <c r="BT132" s="497" t="str">
        <f>IF($X$49="WEEKS","",IF($Z132="Manual Entry hrs/wk","",IF($X$49&gt;'FORMULA REFS'!AN$1,$Z132,"")))</f>
        <v/>
      </c>
      <c r="BU132" s="497" t="str">
        <f>IF($X$49="WEEKS","",IF($Z132="Manual Entry hrs/wk","",IF($X$49&gt;'FORMULA REFS'!AO$1,$Z132,"")))</f>
        <v/>
      </c>
      <c r="BV132" s="497" t="str">
        <f>IF($X$49="WEEKS","",IF($Z132="Manual Entry hrs/wk","",IF($X$49&gt;'FORMULA REFS'!AP$1,$Z132,"")))</f>
        <v/>
      </c>
      <c r="BW132" s="497" t="str">
        <f>IF($X$49="WEEKS","",IF($Z132="Manual Entry hrs/wk","",IF($X$49&gt;'FORMULA REFS'!AQ$1,$Z132,"")))</f>
        <v/>
      </c>
      <c r="BX132" s="497" t="str">
        <f>IF($X$49="WEEKS","",IF($Z132="Manual Entry hrs/wk","",IF($X$49&gt;'FORMULA REFS'!AR$1,$Z132,"")))</f>
        <v/>
      </c>
      <c r="BY132" s="497" t="str">
        <f>IF($X$49="WEEKS","",IF($Z132="Manual Entry hrs/wk","",IF($X$49&gt;'FORMULA REFS'!AS$1,$Z132,"")))</f>
        <v/>
      </c>
      <c r="BZ132" s="497" t="str">
        <f>IF($X$49="WEEKS","",IF($Z132="Manual Entry hrs/wk","",IF($X$49&gt;'FORMULA REFS'!AT$1,$Z132,"")))</f>
        <v/>
      </c>
      <c r="CA132" s="497" t="str">
        <f>IF($X$49="WEEKS","",IF($Z132="Manual Entry hrs/wk","",IF($X$49&gt;'FORMULA REFS'!AU$1,$Z132,"")))</f>
        <v/>
      </c>
      <c r="CB132" s="497" t="str">
        <f>IF($X$49="WEEKS","",IF($Z132="Manual Entry hrs/wk","",IF($X$49&gt;'FORMULA REFS'!AV$1,$Z132,"")))</f>
        <v/>
      </c>
      <c r="CC132" s="497" t="str">
        <f>IF($X$49="WEEKS","",IF($Z132="Manual Entry hrs/wk","",IF($X$49&gt;'FORMULA REFS'!AW$1,$Z132,"")))</f>
        <v/>
      </c>
      <c r="CD132" s="497" t="str">
        <f>IF($X$49="WEEKS","",IF($Z132="Manual Entry hrs/wk","",IF($X$49&gt;'FORMULA REFS'!AX$1,$Z132,"")))</f>
        <v/>
      </c>
      <c r="CE132" s="497" t="str">
        <f>IF($X$49="WEEKS","",IF($Z132="Manual Entry hrs/wk","",IF($X$49&gt;'FORMULA REFS'!AY$1,$Z132,"")))</f>
        <v/>
      </c>
      <c r="CF132" s="497" t="str">
        <f>IF($X$49="WEEKS","",IF($Z132="Manual Entry hrs/wk","",IF($X$49&gt;'FORMULA REFS'!AZ$1,$Z132,"")))</f>
        <v/>
      </c>
      <c r="CG132" s="113"/>
      <c r="CH132" s="349" t="str">
        <f t="shared" si="20"/>
        <v/>
      </c>
      <c r="CI132" s="349"/>
      <c r="CJ132" s="349"/>
      <c r="CK132" s="349"/>
      <c r="CL132" s="350"/>
    </row>
    <row r="133" spans="2:90" hidden="1" outlineLevel="3" x14ac:dyDescent="0.3">
      <c r="B133">
        <v>84</v>
      </c>
      <c r="C133" s="346"/>
      <c r="D133" s="495"/>
      <c r="E133" s="346"/>
      <c r="F133" s="346" t="str">
        <f>IFERROR(_xlfn.XLOOKUP(E133,'Standard Rate Cards'!$BB$11:$BB$23,'Standard Rate Cards'!$BA$11:$BA$23),"")</f>
        <v/>
      </c>
      <c r="G133" s="346"/>
      <c r="H133" s="346" t="str">
        <f>IFERROR(_xlfn.XLOOKUP(G133,'Standard Rate Cards'!$AP$8:$AP$142,'Standard Rate Cards'!$AQ$8:$AQ$142),"")</f>
        <v/>
      </c>
      <c r="I133" s="346"/>
      <c r="J133" s="346"/>
      <c r="K133" s="496"/>
      <c r="L133" s="496">
        <f t="shared" si="21"/>
        <v>0</v>
      </c>
      <c r="M133" s="496" t="str" cm="1">
        <f t="array" ref="M133">IF(ISBLANK(D133),"",IF(D133&lt;&gt;"CrederaUS",INDEX('Standard Rate Cards'!$D$9:$D$433,MATCH(1,('Standard Rate Cards'!$B$9:$B$433='2. Pricing &amp; Import'!D133)*('Standard Rate Cards'!$C$9:$C$433='2. Pricing &amp; Import'!K133),0)),INDEX('Standard Rate Cards'!$D$9:$D$433,MATCH(1,('Standard Rate Cards'!$B$9:$B$433='2. Pricing &amp; Import'!D133)*('Standard Rate Cards'!$C$9:$C$433='2. Pricing &amp; Import'!K133)*('Standard Rate Cards'!$H$9:$H$433=L133),0))))</f>
        <v/>
      </c>
      <c r="N133" s="347"/>
      <c r="O133" s="110"/>
      <c r="P133" s="246"/>
      <c r="Q133" s="348"/>
      <c r="R133" s="250"/>
      <c r="S133" s="250"/>
      <c r="T133" s="614"/>
      <c r="U133" s="1637"/>
      <c r="V133" s="1638"/>
      <c r="W133" s="614"/>
      <c r="X133" s="681" t="str">
        <f t="shared" si="22"/>
        <v/>
      </c>
      <c r="Y133" s="682" t="str">
        <f t="shared" si="23"/>
        <v/>
      </c>
      <c r="Z133" s="1630" t="s">
        <v>309</v>
      </c>
      <c r="AA133" s="1631"/>
      <c r="AB133" s="94"/>
      <c r="AC133" s="94"/>
      <c r="AD133" s="94"/>
      <c r="AE133" s="94"/>
      <c r="AF133" s="94"/>
      <c r="AG133" s="497" t="str">
        <f>IF($X$49="WEEKS","",IF($Z133="Manual Entry hrs/wk","",IF($X$49&gt;'FORMULA REFS'!A$1,$Z133,"")))</f>
        <v/>
      </c>
      <c r="AH133" s="497" t="str">
        <f>IF($X$49="WEEKS","",IF($Z133="Manual Entry hrs/wk","",IF($X$49&gt;'FORMULA REFS'!B$1,$Z133,"")))</f>
        <v/>
      </c>
      <c r="AI133" s="497" t="str">
        <f>IF($X$49="WEEKS","",IF($Z133="Manual Entry hrs/wk","",IF($X$49&gt;'FORMULA REFS'!C$1,$Z133,"")))</f>
        <v/>
      </c>
      <c r="AJ133" s="497" t="str">
        <f>IF($X$49="WEEKS","",IF($Z133="Manual Entry hrs/wk","",IF($X$49&gt;'FORMULA REFS'!D$1,$Z133,"")))</f>
        <v/>
      </c>
      <c r="AK133" s="497" t="str">
        <f>IF($X$49="WEEKS","",IF($Z133="Manual Entry hrs/wk","",IF($X$49&gt;'FORMULA REFS'!E$1,$Z133,"")))</f>
        <v/>
      </c>
      <c r="AL133" s="497" t="str">
        <f>IF($X$49="WEEKS","",IF($Z133="Manual Entry hrs/wk","",IF($X$49&gt;'FORMULA REFS'!F$1,$Z133,"")))</f>
        <v/>
      </c>
      <c r="AM133" s="497" t="str">
        <f>IF($X$49="WEEKS","",IF($Z133="Manual Entry hrs/wk","",IF($X$49&gt;'FORMULA REFS'!G$1,$Z133,"")))</f>
        <v/>
      </c>
      <c r="AN133" s="497" t="str">
        <f>IF($X$49="WEEKS","",IF($Z133="Manual Entry hrs/wk","",IF($X$49&gt;'FORMULA REFS'!H$1,$Z133,"")))</f>
        <v/>
      </c>
      <c r="AO133" s="497" t="str">
        <f>IF($X$49="WEEKS","",IF($Z133="Manual Entry hrs/wk","",IF($X$49&gt;'FORMULA REFS'!I$1,$Z133,"")))</f>
        <v/>
      </c>
      <c r="AP133" s="497" t="str">
        <f>IF($X$49="WEEKS","",IF($Z133="Manual Entry hrs/wk","",IF($X$49&gt;'FORMULA REFS'!J$1,$Z133,"")))</f>
        <v/>
      </c>
      <c r="AQ133" s="497" t="str">
        <f>IF($X$49="WEEKS","",IF($Z133="Manual Entry hrs/wk","",IF($X$49&gt;'FORMULA REFS'!K$1,$Z133,"")))</f>
        <v/>
      </c>
      <c r="AR133" s="497" t="str">
        <f>IF($X$49="WEEKS","",IF($Z133="Manual Entry hrs/wk","",IF($X$49&gt;'FORMULA REFS'!L$1,$Z133,"")))</f>
        <v/>
      </c>
      <c r="AS133" s="497" t="str">
        <f>IF($X$49="WEEKS","",IF($Z133="Manual Entry hrs/wk","",IF($X$49&gt;'FORMULA REFS'!M$1,$Z133,"")))</f>
        <v/>
      </c>
      <c r="AT133" s="497" t="str">
        <f>IF($X$49="WEEKS","",IF($Z133="Manual Entry hrs/wk","",IF($X$49&gt;'FORMULA REFS'!N$1,$Z133,"")))</f>
        <v/>
      </c>
      <c r="AU133" s="497" t="str">
        <f>IF($X$49="WEEKS","",IF($Z133="Manual Entry hrs/wk","",IF($X$49&gt;'FORMULA REFS'!O$1,$Z133,"")))</f>
        <v/>
      </c>
      <c r="AV133" s="497" t="str">
        <f>IF($X$49="WEEKS","",IF($Z133="Manual Entry hrs/wk","",IF($X$49&gt;'FORMULA REFS'!P$1,$Z133,"")))</f>
        <v/>
      </c>
      <c r="AW133" s="497" t="str">
        <f>IF($X$49="WEEKS","",IF($Z133="Manual Entry hrs/wk","",IF($X$49&gt;'FORMULA REFS'!Q$1,$Z133,"")))</f>
        <v/>
      </c>
      <c r="AX133" s="497" t="str">
        <f>IF($X$49="WEEKS","",IF($Z133="Manual Entry hrs/wk","",IF($X$49&gt;'FORMULA REFS'!R$1,$Z133,"")))</f>
        <v/>
      </c>
      <c r="AY133" s="497" t="str">
        <f>IF($X$49="WEEKS","",IF($Z133="Manual Entry hrs/wk","",IF($X$49&gt;'FORMULA REFS'!S$1,$Z133,"")))</f>
        <v/>
      </c>
      <c r="AZ133" s="497" t="str">
        <f>IF($X$49="WEEKS","",IF($Z133="Manual Entry hrs/wk","",IF($X$49&gt;'FORMULA REFS'!T$1,$Z133,"")))</f>
        <v/>
      </c>
      <c r="BA133" s="497" t="str">
        <f>IF($X$49="WEEKS","",IF($Z133="Manual Entry hrs/wk","",IF($X$49&gt;'FORMULA REFS'!U$1,$Z133,"")))</f>
        <v/>
      </c>
      <c r="BB133" s="497" t="str">
        <f>IF($X$49="WEEKS","",IF($Z133="Manual Entry hrs/wk","",IF($X$49&gt;'FORMULA REFS'!V$1,$Z133,"")))</f>
        <v/>
      </c>
      <c r="BC133" s="497" t="str">
        <f>IF($X$49="WEEKS","",IF($Z133="Manual Entry hrs/wk","",IF($X$49&gt;'FORMULA REFS'!W$1,$Z133,"")))</f>
        <v/>
      </c>
      <c r="BD133" s="497" t="str">
        <f>IF($X$49="WEEKS","",IF($Z133="Manual Entry hrs/wk","",IF($X$49&gt;'FORMULA REFS'!X$1,$Z133,"")))</f>
        <v/>
      </c>
      <c r="BE133" s="497" t="str">
        <f>IF($X$49="WEEKS","",IF($Z133="Manual Entry hrs/wk","",IF($X$49&gt;'FORMULA REFS'!Y$1,$Z133,"")))</f>
        <v/>
      </c>
      <c r="BF133" s="497" t="str">
        <f>IF($X$49="WEEKS","",IF($Z133="Manual Entry hrs/wk","",IF($X$49&gt;'FORMULA REFS'!Z$1,$Z133,"")))</f>
        <v/>
      </c>
      <c r="BG133" s="497" t="str">
        <f>IF($X$49="WEEKS","",IF($Z133="Manual Entry hrs/wk","",IF($X$49&gt;'FORMULA REFS'!AA$1,$Z133,"")))</f>
        <v/>
      </c>
      <c r="BH133" s="497" t="str">
        <f>IF($X$49="WEEKS","",IF($Z133="Manual Entry hrs/wk","",IF($X$49&gt;'FORMULA REFS'!AB$1,$Z133,"")))</f>
        <v/>
      </c>
      <c r="BI133" s="497" t="str">
        <f>IF($X$49="WEEKS","",IF($Z133="Manual Entry hrs/wk","",IF($X$49&gt;'FORMULA REFS'!AC$1,$Z133,"")))</f>
        <v/>
      </c>
      <c r="BJ133" s="497" t="str">
        <f>IF($X$49="WEEKS","",IF($Z133="Manual Entry hrs/wk","",IF($X$49&gt;'FORMULA REFS'!AD$1,$Z133,"")))</f>
        <v/>
      </c>
      <c r="BK133" s="497" t="str">
        <f>IF($X$49="WEEKS","",IF($Z133="Manual Entry hrs/wk","",IF($X$49&gt;'FORMULA REFS'!AE$1,$Z133,"")))</f>
        <v/>
      </c>
      <c r="BL133" s="497" t="str">
        <f>IF($X$49="WEEKS","",IF($Z133="Manual Entry hrs/wk","",IF($X$49&gt;'FORMULA REFS'!AF$1,$Z133,"")))</f>
        <v/>
      </c>
      <c r="BM133" s="497" t="str">
        <f>IF($X$49="WEEKS","",IF($Z133="Manual Entry hrs/wk","",IF($X$49&gt;'FORMULA REFS'!AG$1,$Z133,"")))</f>
        <v/>
      </c>
      <c r="BN133" s="497" t="str">
        <f>IF($X$49="WEEKS","",IF($Z133="Manual Entry hrs/wk","",IF($X$49&gt;'FORMULA REFS'!AH$1,$Z133,"")))</f>
        <v/>
      </c>
      <c r="BO133" s="497" t="str">
        <f>IF($X$49="WEEKS","",IF($Z133="Manual Entry hrs/wk","",IF($X$49&gt;'FORMULA REFS'!AI$1,$Z133,"")))</f>
        <v/>
      </c>
      <c r="BP133" s="497" t="str">
        <f>IF($X$49="WEEKS","",IF($Z133="Manual Entry hrs/wk","",IF($X$49&gt;'FORMULA REFS'!AJ$1,$Z133,"")))</f>
        <v/>
      </c>
      <c r="BQ133" s="497" t="str">
        <f>IF($X$49="WEEKS","",IF($Z133="Manual Entry hrs/wk","",IF($X$49&gt;'FORMULA REFS'!AK$1,$Z133,"")))</f>
        <v/>
      </c>
      <c r="BR133" s="497" t="str">
        <f>IF($X$49="WEEKS","",IF($Z133="Manual Entry hrs/wk","",IF($X$49&gt;'FORMULA REFS'!AL$1,$Z133,"")))</f>
        <v/>
      </c>
      <c r="BS133" s="497" t="str">
        <f>IF($X$49="WEEKS","",IF($Z133="Manual Entry hrs/wk","",IF($X$49&gt;'FORMULA REFS'!AM$1,$Z133,"")))</f>
        <v/>
      </c>
      <c r="BT133" s="497" t="str">
        <f>IF($X$49="WEEKS","",IF($Z133="Manual Entry hrs/wk","",IF($X$49&gt;'FORMULA REFS'!AN$1,$Z133,"")))</f>
        <v/>
      </c>
      <c r="BU133" s="497" t="str">
        <f>IF($X$49="WEEKS","",IF($Z133="Manual Entry hrs/wk","",IF($X$49&gt;'FORMULA REFS'!AO$1,$Z133,"")))</f>
        <v/>
      </c>
      <c r="BV133" s="497" t="str">
        <f>IF($X$49="WEEKS","",IF($Z133="Manual Entry hrs/wk","",IF($X$49&gt;'FORMULA REFS'!AP$1,$Z133,"")))</f>
        <v/>
      </c>
      <c r="BW133" s="497" t="str">
        <f>IF($X$49="WEEKS","",IF($Z133="Manual Entry hrs/wk","",IF($X$49&gt;'FORMULA REFS'!AQ$1,$Z133,"")))</f>
        <v/>
      </c>
      <c r="BX133" s="497" t="str">
        <f>IF($X$49="WEEKS","",IF($Z133="Manual Entry hrs/wk","",IF($X$49&gt;'FORMULA REFS'!AR$1,$Z133,"")))</f>
        <v/>
      </c>
      <c r="BY133" s="497" t="str">
        <f>IF($X$49="WEEKS","",IF($Z133="Manual Entry hrs/wk","",IF($X$49&gt;'FORMULA REFS'!AS$1,$Z133,"")))</f>
        <v/>
      </c>
      <c r="BZ133" s="497" t="str">
        <f>IF($X$49="WEEKS","",IF($Z133="Manual Entry hrs/wk","",IF($X$49&gt;'FORMULA REFS'!AT$1,$Z133,"")))</f>
        <v/>
      </c>
      <c r="CA133" s="497" t="str">
        <f>IF($X$49="WEEKS","",IF($Z133="Manual Entry hrs/wk","",IF($X$49&gt;'FORMULA REFS'!AU$1,$Z133,"")))</f>
        <v/>
      </c>
      <c r="CB133" s="497" t="str">
        <f>IF($X$49="WEEKS","",IF($Z133="Manual Entry hrs/wk","",IF($X$49&gt;'FORMULA REFS'!AV$1,$Z133,"")))</f>
        <v/>
      </c>
      <c r="CC133" s="497" t="str">
        <f>IF($X$49="WEEKS","",IF($Z133="Manual Entry hrs/wk","",IF($X$49&gt;'FORMULA REFS'!AW$1,$Z133,"")))</f>
        <v/>
      </c>
      <c r="CD133" s="497" t="str">
        <f>IF($X$49="WEEKS","",IF($Z133="Manual Entry hrs/wk","",IF($X$49&gt;'FORMULA REFS'!AX$1,$Z133,"")))</f>
        <v/>
      </c>
      <c r="CE133" s="497" t="str">
        <f>IF($X$49="WEEKS","",IF($Z133="Manual Entry hrs/wk","",IF($X$49&gt;'FORMULA REFS'!AY$1,$Z133,"")))</f>
        <v/>
      </c>
      <c r="CF133" s="497" t="str">
        <f>IF($X$49="WEEKS","",IF($Z133="Manual Entry hrs/wk","",IF($X$49&gt;'FORMULA REFS'!AZ$1,$Z133,"")))</f>
        <v/>
      </c>
      <c r="CG133" s="113"/>
      <c r="CH133" s="349" t="str">
        <f t="shared" si="20"/>
        <v/>
      </c>
      <c r="CI133" s="349"/>
      <c r="CJ133" s="349"/>
      <c r="CK133" s="349"/>
      <c r="CL133" s="350"/>
    </row>
    <row r="134" spans="2:90" hidden="1" outlineLevel="3" x14ac:dyDescent="0.3">
      <c r="B134">
        <v>85</v>
      </c>
      <c r="C134" s="346"/>
      <c r="D134" s="495"/>
      <c r="E134" s="346"/>
      <c r="F134" s="346" t="str">
        <f>IFERROR(_xlfn.XLOOKUP(E134,'Standard Rate Cards'!$BB$11:$BB$23,'Standard Rate Cards'!$BA$11:$BA$23),"")</f>
        <v/>
      </c>
      <c r="G134" s="346"/>
      <c r="H134" s="346" t="str">
        <f>IFERROR(_xlfn.XLOOKUP(G134,'Standard Rate Cards'!$AP$8:$AP$142,'Standard Rate Cards'!$AQ$8:$AQ$142),"")</f>
        <v/>
      </c>
      <c r="I134" s="346"/>
      <c r="J134" s="346"/>
      <c r="K134" s="496"/>
      <c r="L134" s="496">
        <f t="shared" si="21"/>
        <v>0</v>
      </c>
      <c r="M134" s="496" t="str" cm="1">
        <f t="array" ref="M134">IF(ISBLANK(D134),"",IF(D134&lt;&gt;"CrederaUS",INDEX('Standard Rate Cards'!$D$9:$D$433,MATCH(1,('Standard Rate Cards'!$B$9:$B$433='2. Pricing &amp; Import'!D134)*('Standard Rate Cards'!$C$9:$C$433='2. Pricing &amp; Import'!K134),0)),INDEX('Standard Rate Cards'!$D$9:$D$433,MATCH(1,('Standard Rate Cards'!$B$9:$B$433='2. Pricing &amp; Import'!D134)*('Standard Rate Cards'!$C$9:$C$433='2. Pricing &amp; Import'!K134)*('Standard Rate Cards'!$H$9:$H$433=L134),0))))</f>
        <v/>
      </c>
      <c r="N134" s="347"/>
      <c r="O134" s="110"/>
      <c r="P134" s="246"/>
      <c r="Q134" s="348"/>
      <c r="R134" s="250"/>
      <c r="S134" s="250"/>
      <c r="T134" s="614"/>
      <c r="U134" s="1637"/>
      <c r="V134" s="1638"/>
      <c r="W134" s="614"/>
      <c r="X134" s="681" t="str">
        <f t="shared" si="22"/>
        <v/>
      </c>
      <c r="Y134" s="682" t="str">
        <f t="shared" si="23"/>
        <v/>
      </c>
      <c r="Z134" s="1630" t="s">
        <v>309</v>
      </c>
      <c r="AA134" s="1631"/>
      <c r="AB134" s="94"/>
      <c r="AC134" s="94"/>
      <c r="AD134" s="94"/>
      <c r="AE134" s="94"/>
      <c r="AF134" s="94"/>
      <c r="AG134" s="497" t="str">
        <f>IF($X$49="WEEKS","",IF($Z134="Manual Entry hrs/wk","",IF($X$49&gt;'FORMULA REFS'!A$1,$Z134,"")))</f>
        <v/>
      </c>
      <c r="AH134" s="497" t="str">
        <f>IF($X$49="WEEKS","",IF($Z134="Manual Entry hrs/wk","",IF($X$49&gt;'FORMULA REFS'!B$1,$Z134,"")))</f>
        <v/>
      </c>
      <c r="AI134" s="497" t="str">
        <f>IF($X$49="WEEKS","",IF($Z134="Manual Entry hrs/wk","",IF($X$49&gt;'FORMULA REFS'!C$1,$Z134,"")))</f>
        <v/>
      </c>
      <c r="AJ134" s="497" t="str">
        <f>IF($X$49="WEEKS","",IF($Z134="Manual Entry hrs/wk","",IF($X$49&gt;'FORMULA REFS'!D$1,$Z134,"")))</f>
        <v/>
      </c>
      <c r="AK134" s="497" t="str">
        <f>IF($X$49="WEEKS","",IF($Z134="Manual Entry hrs/wk","",IF($X$49&gt;'FORMULA REFS'!E$1,$Z134,"")))</f>
        <v/>
      </c>
      <c r="AL134" s="497" t="str">
        <f>IF($X$49="WEEKS","",IF($Z134="Manual Entry hrs/wk","",IF($X$49&gt;'FORMULA REFS'!F$1,$Z134,"")))</f>
        <v/>
      </c>
      <c r="AM134" s="497" t="str">
        <f>IF($X$49="WEEKS","",IF($Z134="Manual Entry hrs/wk","",IF($X$49&gt;'FORMULA REFS'!G$1,$Z134,"")))</f>
        <v/>
      </c>
      <c r="AN134" s="497" t="str">
        <f>IF($X$49="WEEKS","",IF($Z134="Manual Entry hrs/wk","",IF($X$49&gt;'FORMULA REFS'!H$1,$Z134,"")))</f>
        <v/>
      </c>
      <c r="AO134" s="497" t="str">
        <f>IF($X$49="WEEKS","",IF($Z134="Manual Entry hrs/wk","",IF($X$49&gt;'FORMULA REFS'!I$1,$Z134,"")))</f>
        <v/>
      </c>
      <c r="AP134" s="497" t="str">
        <f>IF($X$49="WEEKS","",IF($Z134="Manual Entry hrs/wk","",IF($X$49&gt;'FORMULA REFS'!J$1,$Z134,"")))</f>
        <v/>
      </c>
      <c r="AQ134" s="497" t="str">
        <f>IF($X$49="WEEKS","",IF($Z134="Manual Entry hrs/wk","",IF($X$49&gt;'FORMULA REFS'!K$1,$Z134,"")))</f>
        <v/>
      </c>
      <c r="AR134" s="497" t="str">
        <f>IF($X$49="WEEKS","",IF($Z134="Manual Entry hrs/wk","",IF($X$49&gt;'FORMULA REFS'!L$1,$Z134,"")))</f>
        <v/>
      </c>
      <c r="AS134" s="497" t="str">
        <f>IF($X$49="WEEKS","",IF($Z134="Manual Entry hrs/wk","",IF($X$49&gt;'FORMULA REFS'!M$1,$Z134,"")))</f>
        <v/>
      </c>
      <c r="AT134" s="497" t="str">
        <f>IF($X$49="WEEKS","",IF($Z134="Manual Entry hrs/wk","",IF($X$49&gt;'FORMULA REFS'!N$1,$Z134,"")))</f>
        <v/>
      </c>
      <c r="AU134" s="497" t="str">
        <f>IF($X$49="WEEKS","",IF($Z134="Manual Entry hrs/wk","",IF($X$49&gt;'FORMULA REFS'!O$1,$Z134,"")))</f>
        <v/>
      </c>
      <c r="AV134" s="497" t="str">
        <f>IF($X$49="WEEKS","",IF($Z134="Manual Entry hrs/wk","",IF($X$49&gt;'FORMULA REFS'!P$1,$Z134,"")))</f>
        <v/>
      </c>
      <c r="AW134" s="497" t="str">
        <f>IF($X$49="WEEKS","",IF($Z134="Manual Entry hrs/wk","",IF($X$49&gt;'FORMULA REFS'!Q$1,$Z134,"")))</f>
        <v/>
      </c>
      <c r="AX134" s="497" t="str">
        <f>IF($X$49="WEEKS","",IF($Z134="Manual Entry hrs/wk","",IF($X$49&gt;'FORMULA REFS'!R$1,$Z134,"")))</f>
        <v/>
      </c>
      <c r="AY134" s="497" t="str">
        <f>IF($X$49="WEEKS","",IF($Z134="Manual Entry hrs/wk","",IF($X$49&gt;'FORMULA REFS'!S$1,$Z134,"")))</f>
        <v/>
      </c>
      <c r="AZ134" s="497" t="str">
        <f>IF($X$49="WEEKS","",IF($Z134="Manual Entry hrs/wk","",IF($X$49&gt;'FORMULA REFS'!T$1,$Z134,"")))</f>
        <v/>
      </c>
      <c r="BA134" s="497" t="str">
        <f>IF($X$49="WEEKS","",IF($Z134="Manual Entry hrs/wk","",IF($X$49&gt;'FORMULA REFS'!U$1,$Z134,"")))</f>
        <v/>
      </c>
      <c r="BB134" s="497" t="str">
        <f>IF($X$49="WEEKS","",IF($Z134="Manual Entry hrs/wk","",IF($X$49&gt;'FORMULA REFS'!V$1,$Z134,"")))</f>
        <v/>
      </c>
      <c r="BC134" s="497" t="str">
        <f>IF($X$49="WEEKS","",IF($Z134="Manual Entry hrs/wk","",IF($X$49&gt;'FORMULA REFS'!W$1,$Z134,"")))</f>
        <v/>
      </c>
      <c r="BD134" s="497" t="str">
        <f>IF($X$49="WEEKS","",IF($Z134="Manual Entry hrs/wk","",IF($X$49&gt;'FORMULA REFS'!X$1,$Z134,"")))</f>
        <v/>
      </c>
      <c r="BE134" s="497" t="str">
        <f>IF($X$49="WEEKS","",IF($Z134="Manual Entry hrs/wk","",IF($X$49&gt;'FORMULA REFS'!Y$1,$Z134,"")))</f>
        <v/>
      </c>
      <c r="BF134" s="497" t="str">
        <f>IF($X$49="WEEKS","",IF($Z134="Manual Entry hrs/wk","",IF($X$49&gt;'FORMULA REFS'!Z$1,$Z134,"")))</f>
        <v/>
      </c>
      <c r="BG134" s="497" t="str">
        <f>IF($X$49="WEEKS","",IF($Z134="Manual Entry hrs/wk","",IF($X$49&gt;'FORMULA REFS'!AA$1,$Z134,"")))</f>
        <v/>
      </c>
      <c r="BH134" s="497" t="str">
        <f>IF($X$49="WEEKS","",IF($Z134="Manual Entry hrs/wk","",IF($X$49&gt;'FORMULA REFS'!AB$1,$Z134,"")))</f>
        <v/>
      </c>
      <c r="BI134" s="497" t="str">
        <f>IF($X$49="WEEKS","",IF($Z134="Manual Entry hrs/wk","",IF($X$49&gt;'FORMULA REFS'!AC$1,$Z134,"")))</f>
        <v/>
      </c>
      <c r="BJ134" s="497" t="str">
        <f>IF($X$49="WEEKS","",IF($Z134="Manual Entry hrs/wk","",IF($X$49&gt;'FORMULA REFS'!AD$1,$Z134,"")))</f>
        <v/>
      </c>
      <c r="BK134" s="497" t="str">
        <f>IF($X$49="WEEKS","",IF($Z134="Manual Entry hrs/wk","",IF($X$49&gt;'FORMULA REFS'!AE$1,$Z134,"")))</f>
        <v/>
      </c>
      <c r="BL134" s="497" t="str">
        <f>IF($X$49="WEEKS","",IF($Z134="Manual Entry hrs/wk","",IF($X$49&gt;'FORMULA REFS'!AF$1,$Z134,"")))</f>
        <v/>
      </c>
      <c r="BM134" s="497" t="str">
        <f>IF($X$49="WEEKS","",IF($Z134="Manual Entry hrs/wk","",IF($X$49&gt;'FORMULA REFS'!AG$1,$Z134,"")))</f>
        <v/>
      </c>
      <c r="BN134" s="497" t="str">
        <f>IF($X$49="WEEKS","",IF($Z134="Manual Entry hrs/wk","",IF($X$49&gt;'FORMULA REFS'!AH$1,$Z134,"")))</f>
        <v/>
      </c>
      <c r="BO134" s="497" t="str">
        <f>IF($X$49="WEEKS","",IF($Z134="Manual Entry hrs/wk","",IF($X$49&gt;'FORMULA REFS'!AI$1,$Z134,"")))</f>
        <v/>
      </c>
      <c r="BP134" s="497" t="str">
        <f>IF($X$49="WEEKS","",IF($Z134="Manual Entry hrs/wk","",IF($X$49&gt;'FORMULA REFS'!AJ$1,$Z134,"")))</f>
        <v/>
      </c>
      <c r="BQ134" s="497" t="str">
        <f>IF($X$49="WEEKS","",IF($Z134="Manual Entry hrs/wk","",IF($X$49&gt;'FORMULA REFS'!AK$1,$Z134,"")))</f>
        <v/>
      </c>
      <c r="BR134" s="497" t="str">
        <f>IF($X$49="WEEKS","",IF($Z134="Manual Entry hrs/wk","",IF($X$49&gt;'FORMULA REFS'!AL$1,$Z134,"")))</f>
        <v/>
      </c>
      <c r="BS134" s="497" t="str">
        <f>IF($X$49="WEEKS","",IF($Z134="Manual Entry hrs/wk","",IF($X$49&gt;'FORMULA REFS'!AM$1,$Z134,"")))</f>
        <v/>
      </c>
      <c r="BT134" s="497" t="str">
        <f>IF($X$49="WEEKS","",IF($Z134="Manual Entry hrs/wk","",IF($X$49&gt;'FORMULA REFS'!AN$1,$Z134,"")))</f>
        <v/>
      </c>
      <c r="BU134" s="497" t="str">
        <f>IF($X$49="WEEKS","",IF($Z134="Manual Entry hrs/wk","",IF($X$49&gt;'FORMULA REFS'!AO$1,$Z134,"")))</f>
        <v/>
      </c>
      <c r="BV134" s="497" t="str">
        <f>IF($X$49="WEEKS","",IF($Z134="Manual Entry hrs/wk","",IF($X$49&gt;'FORMULA REFS'!AP$1,$Z134,"")))</f>
        <v/>
      </c>
      <c r="BW134" s="497" t="str">
        <f>IF($X$49="WEEKS","",IF($Z134="Manual Entry hrs/wk","",IF($X$49&gt;'FORMULA REFS'!AQ$1,$Z134,"")))</f>
        <v/>
      </c>
      <c r="BX134" s="497" t="str">
        <f>IF($X$49="WEEKS","",IF($Z134="Manual Entry hrs/wk","",IF($X$49&gt;'FORMULA REFS'!AR$1,$Z134,"")))</f>
        <v/>
      </c>
      <c r="BY134" s="497" t="str">
        <f>IF($X$49="WEEKS","",IF($Z134="Manual Entry hrs/wk","",IF($X$49&gt;'FORMULA REFS'!AS$1,$Z134,"")))</f>
        <v/>
      </c>
      <c r="BZ134" s="497" t="str">
        <f>IF($X$49="WEEKS","",IF($Z134="Manual Entry hrs/wk","",IF($X$49&gt;'FORMULA REFS'!AT$1,$Z134,"")))</f>
        <v/>
      </c>
      <c r="CA134" s="497" t="str">
        <f>IF($X$49="WEEKS","",IF($Z134="Manual Entry hrs/wk","",IF($X$49&gt;'FORMULA REFS'!AU$1,$Z134,"")))</f>
        <v/>
      </c>
      <c r="CB134" s="497" t="str">
        <f>IF($X$49="WEEKS","",IF($Z134="Manual Entry hrs/wk","",IF($X$49&gt;'FORMULA REFS'!AV$1,$Z134,"")))</f>
        <v/>
      </c>
      <c r="CC134" s="497" t="str">
        <f>IF($X$49="WEEKS","",IF($Z134="Manual Entry hrs/wk","",IF($X$49&gt;'FORMULA REFS'!AW$1,$Z134,"")))</f>
        <v/>
      </c>
      <c r="CD134" s="497" t="str">
        <f>IF($X$49="WEEKS","",IF($Z134="Manual Entry hrs/wk","",IF($X$49&gt;'FORMULA REFS'!AX$1,$Z134,"")))</f>
        <v/>
      </c>
      <c r="CE134" s="497" t="str">
        <f>IF($X$49="WEEKS","",IF($Z134="Manual Entry hrs/wk","",IF($X$49&gt;'FORMULA REFS'!AY$1,$Z134,"")))</f>
        <v/>
      </c>
      <c r="CF134" s="497" t="str">
        <f>IF($X$49="WEEKS","",IF($Z134="Manual Entry hrs/wk","",IF($X$49&gt;'FORMULA REFS'!AZ$1,$Z134,"")))</f>
        <v/>
      </c>
      <c r="CG134" s="113"/>
      <c r="CH134" s="349" t="str">
        <f t="shared" si="20"/>
        <v/>
      </c>
      <c r="CI134" s="349"/>
      <c r="CJ134" s="349"/>
      <c r="CK134" s="349"/>
      <c r="CL134" s="350"/>
    </row>
    <row r="135" spans="2:90" hidden="1" outlineLevel="3" x14ac:dyDescent="0.3">
      <c r="B135">
        <v>86</v>
      </c>
      <c r="C135" s="346"/>
      <c r="D135" s="495"/>
      <c r="E135" s="346"/>
      <c r="F135" s="346" t="str">
        <f>IFERROR(_xlfn.XLOOKUP(E135,'Standard Rate Cards'!$BB$11:$BB$23,'Standard Rate Cards'!$BA$11:$BA$23),"")</f>
        <v/>
      </c>
      <c r="G135" s="346"/>
      <c r="H135" s="346" t="str">
        <f>IFERROR(_xlfn.XLOOKUP(G135,'Standard Rate Cards'!$AP$8:$AP$142,'Standard Rate Cards'!$AQ$8:$AQ$142),"")</f>
        <v/>
      </c>
      <c r="I135" s="346"/>
      <c r="J135" s="346"/>
      <c r="K135" s="496"/>
      <c r="L135" s="496">
        <f t="shared" si="21"/>
        <v>0</v>
      </c>
      <c r="M135" s="496" t="str" cm="1">
        <f t="array" ref="M135">IF(ISBLANK(D135),"",IF(D135&lt;&gt;"CrederaUS",INDEX('Standard Rate Cards'!$D$9:$D$433,MATCH(1,('Standard Rate Cards'!$B$9:$B$433='2. Pricing &amp; Import'!D135)*('Standard Rate Cards'!$C$9:$C$433='2. Pricing &amp; Import'!K135),0)),INDEX('Standard Rate Cards'!$D$9:$D$433,MATCH(1,('Standard Rate Cards'!$B$9:$B$433='2. Pricing &amp; Import'!D135)*('Standard Rate Cards'!$C$9:$C$433='2. Pricing &amp; Import'!K135)*('Standard Rate Cards'!$H$9:$H$433=L135),0))))</f>
        <v/>
      </c>
      <c r="N135" s="347"/>
      <c r="O135" s="110"/>
      <c r="P135" s="246"/>
      <c r="Q135" s="348"/>
      <c r="R135" s="250"/>
      <c r="S135" s="250"/>
      <c r="T135" s="614"/>
      <c r="U135" s="1637"/>
      <c r="V135" s="1638"/>
      <c r="W135" s="614"/>
      <c r="X135" s="681" t="str">
        <f t="shared" si="22"/>
        <v/>
      </c>
      <c r="Y135" s="682" t="str">
        <f t="shared" si="23"/>
        <v/>
      </c>
      <c r="Z135" s="1630" t="s">
        <v>309</v>
      </c>
      <c r="AA135" s="1631"/>
      <c r="AB135" s="94"/>
      <c r="AC135" s="94"/>
      <c r="AD135" s="94"/>
      <c r="AE135" s="94"/>
      <c r="AF135" s="94"/>
      <c r="AG135" s="497" t="str">
        <f>IF($X$49="WEEKS","",IF($Z135="Manual Entry hrs/wk","",IF($X$49&gt;'FORMULA REFS'!A$1,$Z135,"")))</f>
        <v/>
      </c>
      <c r="AH135" s="497" t="str">
        <f>IF($X$49="WEEKS","",IF($Z135="Manual Entry hrs/wk","",IF($X$49&gt;'FORMULA REFS'!B$1,$Z135,"")))</f>
        <v/>
      </c>
      <c r="AI135" s="497" t="str">
        <f>IF($X$49="WEEKS","",IF($Z135="Manual Entry hrs/wk","",IF($X$49&gt;'FORMULA REFS'!C$1,$Z135,"")))</f>
        <v/>
      </c>
      <c r="AJ135" s="497" t="str">
        <f>IF($X$49="WEEKS","",IF($Z135="Manual Entry hrs/wk","",IF($X$49&gt;'FORMULA REFS'!D$1,$Z135,"")))</f>
        <v/>
      </c>
      <c r="AK135" s="497" t="str">
        <f>IF($X$49="WEEKS","",IF($Z135="Manual Entry hrs/wk","",IF($X$49&gt;'FORMULA REFS'!E$1,$Z135,"")))</f>
        <v/>
      </c>
      <c r="AL135" s="497" t="str">
        <f>IF($X$49="WEEKS","",IF($Z135="Manual Entry hrs/wk","",IF($X$49&gt;'FORMULA REFS'!F$1,$Z135,"")))</f>
        <v/>
      </c>
      <c r="AM135" s="497" t="str">
        <f>IF($X$49="WEEKS","",IF($Z135="Manual Entry hrs/wk","",IF($X$49&gt;'FORMULA REFS'!G$1,$Z135,"")))</f>
        <v/>
      </c>
      <c r="AN135" s="497" t="str">
        <f>IF($X$49="WEEKS","",IF($Z135="Manual Entry hrs/wk","",IF($X$49&gt;'FORMULA REFS'!H$1,$Z135,"")))</f>
        <v/>
      </c>
      <c r="AO135" s="497" t="str">
        <f>IF($X$49="WEEKS","",IF($Z135="Manual Entry hrs/wk","",IF($X$49&gt;'FORMULA REFS'!I$1,$Z135,"")))</f>
        <v/>
      </c>
      <c r="AP135" s="497" t="str">
        <f>IF($X$49="WEEKS","",IF($Z135="Manual Entry hrs/wk","",IF($X$49&gt;'FORMULA REFS'!J$1,$Z135,"")))</f>
        <v/>
      </c>
      <c r="AQ135" s="497" t="str">
        <f>IF($X$49="WEEKS","",IF($Z135="Manual Entry hrs/wk","",IF($X$49&gt;'FORMULA REFS'!K$1,$Z135,"")))</f>
        <v/>
      </c>
      <c r="AR135" s="497" t="str">
        <f>IF($X$49="WEEKS","",IF($Z135="Manual Entry hrs/wk","",IF($X$49&gt;'FORMULA REFS'!L$1,$Z135,"")))</f>
        <v/>
      </c>
      <c r="AS135" s="497" t="str">
        <f>IF($X$49="WEEKS","",IF($Z135="Manual Entry hrs/wk","",IF($X$49&gt;'FORMULA REFS'!M$1,$Z135,"")))</f>
        <v/>
      </c>
      <c r="AT135" s="497" t="str">
        <f>IF($X$49="WEEKS","",IF($Z135="Manual Entry hrs/wk","",IF($X$49&gt;'FORMULA REFS'!N$1,$Z135,"")))</f>
        <v/>
      </c>
      <c r="AU135" s="497" t="str">
        <f>IF($X$49="WEEKS","",IF($Z135="Manual Entry hrs/wk","",IF($X$49&gt;'FORMULA REFS'!O$1,$Z135,"")))</f>
        <v/>
      </c>
      <c r="AV135" s="497" t="str">
        <f>IF($X$49="WEEKS","",IF($Z135="Manual Entry hrs/wk","",IF($X$49&gt;'FORMULA REFS'!P$1,$Z135,"")))</f>
        <v/>
      </c>
      <c r="AW135" s="497" t="str">
        <f>IF($X$49="WEEKS","",IF($Z135="Manual Entry hrs/wk","",IF($X$49&gt;'FORMULA REFS'!Q$1,$Z135,"")))</f>
        <v/>
      </c>
      <c r="AX135" s="497" t="str">
        <f>IF($X$49="WEEKS","",IF($Z135="Manual Entry hrs/wk","",IF($X$49&gt;'FORMULA REFS'!R$1,$Z135,"")))</f>
        <v/>
      </c>
      <c r="AY135" s="497" t="str">
        <f>IF($X$49="WEEKS","",IF($Z135="Manual Entry hrs/wk","",IF($X$49&gt;'FORMULA REFS'!S$1,$Z135,"")))</f>
        <v/>
      </c>
      <c r="AZ135" s="497" t="str">
        <f>IF($X$49="WEEKS","",IF($Z135="Manual Entry hrs/wk","",IF($X$49&gt;'FORMULA REFS'!T$1,$Z135,"")))</f>
        <v/>
      </c>
      <c r="BA135" s="497" t="str">
        <f>IF($X$49="WEEKS","",IF($Z135="Manual Entry hrs/wk","",IF($X$49&gt;'FORMULA REFS'!U$1,$Z135,"")))</f>
        <v/>
      </c>
      <c r="BB135" s="497" t="str">
        <f>IF($X$49="WEEKS","",IF($Z135="Manual Entry hrs/wk","",IF($X$49&gt;'FORMULA REFS'!V$1,$Z135,"")))</f>
        <v/>
      </c>
      <c r="BC135" s="497" t="str">
        <f>IF($X$49="WEEKS","",IF($Z135="Manual Entry hrs/wk","",IF($X$49&gt;'FORMULA REFS'!W$1,$Z135,"")))</f>
        <v/>
      </c>
      <c r="BD135" s="497" t="str">
        <f>IF($X$49="WEEKS","",IF($Z135="Manual Entry hrs/wk","",IF($X$49&gt;'FORMULA REFS'!X$1,$Z135,"")))</f>
        <v/>
      </c>
      <c r="BE135" s="497" t="str">
        <f>IF($X$49="WEEKS","",IF($Z135="Manual Entry hrs/wk","",IF($X$49&gt;'FORMULA REFS'!Y$1,$Z135,"")))</f>
        <v/>
      </c>
      <c r="BF135" s="497" t="str">
        <f>IF($X$49="WEEKS","",IF($Z135="Manual Entry hrs/wk","",IF($X$49&gt;'FORMULA REFS'!Z$1,$Z135,"")))</f>
        <v/>
      </c>
      <c r="BG135" s="497" t="str">
        <f>IF($X$49="WEEKS","",IF($Z135="Manual Entry hrs/wk","",IF($X$49&gt;'FORMULA REFS'!AA$1,$Z135,"")))</f>
        <v/>
      </c>
      <c r="BH135" s="497" t="str">
        <f>IF($X$49="WEEKS","",IF($Z135="Manual Entry hrs/wk","",IF($X$49&gt;'FORMULA REFS'!AB$1,$Z135,"")))</f>
        <v/>
      </c>
      <c r="BI135" s="497" t="str">
        <f>IF($X$49="WEEKS","",IF($Z135="Manual Entry hrs/wk","",IF($X$49&gt;'FORMULA REFS'!AC$1,$Z135,"")))</f>
        <v/>
      </c>
      <c r="BJ135" s="497" t="str">
        <f>IF($X$49="WEEKS","",IF($Z135="Manual Entry hrs/wk","",IF($X$49&gt;'FORMULA REFS'!AD$1,$Z135,"")))</f>
        <v/>
      </c>
      <c r="BK135" s="497" t="str">
        <f>IF($X$49="WEEKS","",IF($Z135="Manual Entry hrs/wk","",IF($X$49&gt;'FORMULA REFS'!AE$1,$Z135,"")))</f>
        <v/>
      </c>
      <c r="BL135" s="497" t="str">
        <f>IF($X$49="WEEKS","",IF($Z135="Manual Entry hrs/wk","",IF($X$49&gt;'FORMULA REFS'!AF$1,$Z135,"")))</f>
        <v/>
      </c>
      <c r="BM135" s="497" t="str">
        <f>IF($X$49="WEEKS","",IF($Z135="Manual Entry hrs/wk","",IF($X$49&gt;'FORMULA REFS'!AG$1,$Z135,"")))</f>
        <v/>
      </c>
      <c r="BN135" s="497" t="str">
        <f>IF($X$49="WEEKS","",IF($Z135="Manual Entry hrs/wk","",IF($X$49&gt;'FORMULA REFS'!AH$1,$Z135,"")))</f>
        <v/>
      </c>
      <c r="BO135" s="497" t="str">
        <f>IF($X$49="WEEKS","",IF($Z135="Manual Entry hrs/wk","",IF($X$49&gt;'FORMULA REFS'!AI$1,$Z135,"")))</f>
        <v/>
      </c>
      <c r="BP135" s="497" t="str">
        <f>IF($X$49="WEEKS","",IF($Z135="Manual Entry hrs/wk","",IF($X$49&gt;'FORMULA REFS'!AJ$1,$Z135,"")))</f>
        <v/>
      </c>
      <c r="BQ135" s="497" t="str">
        <f>IF($X$49="WEEKS","",IF($Z135="Manual Entry hrs/wk","",IF($X$49&gt;'FORMULA REFS'!AK$1,$Z135,"")))</f>
        <v/>
      </c>
      <c r="BR135" s="497" t="str">
        <f>IF($X$49="WEEKS","",IF($Z135="Manual Entry hrs/wk","",IF($X$49&gt;'FORMULA REFS'!AL$1,$Z135,"")))</f>
        <v/>
      </c>
      <c r="BS135" s="497" t="str">
        <f>IF($X$49="WEEKS","",IF($Z135="Manual Entry hrs/wk","",IF($X$49&gt;'FORMULA REFS'!AM$1,$Z135,"")))</f>
        <v/>
      </c>
      <c r="BT135" s="497" t="str">
        <f>IF($X$49="WEEKS","",IF($Z135="Manual Entry hrs/wk","",IF($X$49&gt;'FORMULA REFS'!AN$1,$Z135,"")))</f>
        <v/>
      </c>
      <c r="BU135" s="497" t="str">
        <f>IF($X$49="WEEKS","",IF($Z135="Manual Entry hrs/wk","",IF($X$49&gt;'FORMULA REFS'!AO$1,$Z135,"")))</f>
        <v/>
      </c>
      <c r="BV135" s="497" t="str">
        <f>IF($X$49="WEEKS","",IF($Z135="Manual Entry hrs/wk","",IF($X$49&gt;'FORMULA REFS'!AP$1,$Z135,"")))</f>
        <v/>
      </c>
      <c r="BW135" s="497" t="str">
        <f>IF($X$49="WEEKS","",IF($Z135="Manual Entry hrs/wk","",IF($X$49&gt;'FORMULA REFS'!AQ$1,$Z135,"")))</f>
        <v/>
      </c>
      <c r="BX135" s="497" t="str">
        <f>IF($X$49="WEEKS","",IF($Z135="Manual Entry hrs/wk","",IF($X$49&gt;'FORMULA REFS'!AR$1,$Z135,"")))</f>
        <v/>
      </c>
      <c r="BY135" s="497" t="str">
        <f>IF($X$49="WEEKS","",IF($Z135="Manual Entry hrs/wk","",IF($X$49&gt;'FORMULA REFS'!AS$1,$Z135,"")))</f>
        <v/>
      </c>
      <c r="BZ135" s="497" t="str">
        <f>IF($X$49="WEEKS","",IF($Z135="Manual Entry hrs/wk","",IF($X$49&gt;'FORMULA REFS'!AT$1,$Z135,"")))</f>
        <v/>
      </c>
      <c r="CA135" s="497" t="str">
        <f>IF($X$49="WEEKS","",IF($Z135="Manual Entry hrs/wk","",IF($X$49&gt;'FORMULA REFS'!AU$1,$Z135,"")))</f>
        <v/>
      </c>
      <c r="CB135" s="497" t="str">
        <f>IF($X$49="WEEKS","",IF($Z135="Manual Entry hrs/wk","",IF($X$49&gt;'FORMULA REFS'!AV$1,$Z135,"")))</f>
        <v/>
      </c>
      <c r="CC135" s="497" t="str">
        <f>IF($X$49="WEEKS","",IF($Z135="Manual Entry hrs/wk","",IF($X$49&gt;'FORMULA REFS'!AW$1,$Z135,"")))</f>
        <v/>
      </c>
      <c r="CD135" s="497" t="str">
        <f>IF($X$49="WEEKS","",IF($Z135="Manual Entry hrs/wk","",IF($X$49&gt;'FORMULA REFS'!AX$1,$Z135,"")))</f>
        <v/>
      </c>
      <c r="CE135" s="497" t="str">
        <f>IF($X$49="WEEKS","",IF($Z135="Manual Entry hrs/wk","",IF($X$49&gt;'FORMULA REFS'!AY$1,$Z135,"")))</f>
        <v/>
      </c>
      <c r="CF135" s="497" t="str">
        <f>IF($X$49="WEEKS","",IF($Z135="Manual Entry hrs/wk","",IF($X$49&gt;'FORMULA REFS'!AZ$1,$Z135,"")))</f>
        <v/>
      </c>
      <c r="CG135" s="113"/>
      <c r="CH135" s="349" t="str">
        <f t="shared" si="20"/>
        <v/>
      </c>
      <c r="CI135" s="349"/>
      <c r="CJ135" s="349"/>
      <c r="CK135" s="349"/>
      <c r="CL135" s="350"/>
    </row>
    <row r="136" spans="2:90" hidden="1" outlineLevel="3" x14ac:dyDescent="0.3">
      <c r="B136">
        <v>87</v>
      </c>
      <c r="C136" s="346"/>
      <c r="D136" s="495"/>
      <c r="E136" s="346"/>
      <c r="F136" s="346" t="str">
        <f>IFERROR(_xlfn.XLOOKUP(E136,'Standard Rate Cards'!$BB$11:$BB$23,'Standard Rate Cards'!$BA$11:$BA$23),"")</f>
        <v/>
      </c>
      <c r="G136" s="346"/>
      <c r="H136" s="346" t="str">
        <f>IFERROR(_xlfn.XLOOKUP(G136,'Standard Rate Cards'!$AP$8:$AP$142,'Standard Rate Cards'!$AQ$8:$AQ$142),"")</f>
        <v/>
      </c>
      <c r="I136" s="346"/>
      <c r="J136" s="346"/>
      <c r="K136" s="496"/>
      <c r="L136" s="496">
        <f t="shared" si="21"/>
        <v>0</v>
      </c>
      <c r="M136" s="496" t="str" cm="1">
        <f t="array" ref="M136">IF(ISBLANK(D136),"",IF(D136&lt;&gt;"CrederaUS",INDEX('Standard Rate Cards'!$D$9:$D$433,MATCH(1,('Standard Rate Cards'!$B$9:$B$433='2. Pricing &amp; Import'!D136)*('Standard Rate Cards'!$C$9:$C$433='2. Pricing &amp; Import'!K136),0)),INDEX('Standard Rate Cards'!$D$9:$D$433,MATCH(1,('Standard Rate Cards'!$B$9:$B$433='2. Pricing &amp; Import'!D136)*('Standard Rate Cards'!$C$9:$C$433='2. Pricing &amp; Import'!K136)*('Standard Rate Cards'!$H$9:$H$433=L136),0))))</f>
        <v/>
      </c>
      <c r="N136" s="347"/>
      <c r="O136" s="110"/>
      <c r="P136" s="246"/>
      <c r="Q136" s="348"/>
      <c r="R136" s="250"/>
      <c r="S136" s="250"/>
      <c r="T136" s="614"/>
      <c r="U136" s="1637"/>
      <c r="V136" s="1638"/>
      <c r="W136" s="614"/>
      <c r="X136" s="681" t="str">
        <f t="shared" si="22"/>
        <v/>
      </c>
      <c r="Y136" s="682" t="str">
        <f t="shared" si="23"/>
        <v/>
      </c>
      <c r="Z136" s="1630" t="s">
        <v>309</v>
      </c>
      <c r="AA136" s="1631"/>
      <c r="AB136" s="94"/>
      <c r="AC136" s="94"/>
      <c r="AD136" s="94"/>
      <c r="AE136" s="94"/>
      <c r="AF136" s="94"/>
      <c r="AG136" s="497" t="str">
        <f>IF($X$49="WEEKS","",IF($Z136="Manual Entry hrs/wk","",IF($X$49&gt;'FORMULA REFS'!A$1,$Z136,"")))</f>
        <v/>
      </c>
      <c r="AH136" s="497" t="str">
        <f>IF($X$49="WEEKS","",IF($Z136="Manual Entry hrs/wk","",IF($X$49&gt;'FORMULA REFS'!B$1,$Z136,"")))</f>
        <v/>
      </c>
      <c r="AI136" s="497" t="str">
        <f>IF($X$49="WEEKS","",IF($Z136="Manual Entry hrs/wk","",IF($X$49&gt;'FORMULA REFS'!C$1,$Z136,"")))</f>
        <v/>
      </c>
      <c r="AJ136" s="497" t="str">
        <f>IF($X$49="WEEKS","",IF($Z136="Manual Entry hrs/wk","",IF($X$49&gt;'FORMULA REFS'!D$1,$Z136,"")))</f>
        <v/>
      </c>
      <c r="AK136" s="497" t="str">
        <f>IF($X$49="WEEKS","",IF($Z136="Manual Entry hrs/wk","",IF($X$49&gt;'FORMULA REFS'!E$1,$Z136,"")))</f>
        <v/>
      </c>
      <c r="AL136" s="497" t="str">
        <f>IF($X$49="WEEKS","",IF($Z136="Manual Entry hrs/wk","",IF($X$49&gt;'FORMULA REFS'!F$1,$Z136,"")))</f>
        <v/>
      </c>
      <c r="AM136" s="497" t="str">
        <f>IF($X$49="WEEKS","",IF($Z136="Manual Entry hrs/wk","",IF($X$49&gt;'FORMULA REFS'!G$1,$Z136,"")))</f>
        <v/>
      </c>
      <c r="AN136" s="497" t="str">
        <f>IF($X$49="WEEKS","",IF($Z136="Manual Entry hrs/wk","",IF($X$49&gt;'FORMULA REFS'!H$1,$Z136,"")))</f>
        <v/>
      </c>
      <c r="AO136" s="497" t="str">
        <f>IF($X$49="WEEKS","",IF($Z136="Manual Entry hrs/wk","",IF($X$49&gt;'FORMULA REFS'!I$1,$Z136,"")))</f>
        <v/>
      </c>
      <c r="AP136" s="497" t="str">
        <f>IF($X$49="WEEKS","",IF($Z136="Manual Entry hrs/wk","",IF($X$49&gt;'FORMULA REFS'!J$1,$Z136,"")))</f>
        <v/>
      </c>
      <c r="AQ136" s="497" t="str">
        <f>IF($X$49="WEEKS","",IF($Z136="Manual Entry hrs/wk","",IF($X$49&gt;'FORMULA REFS'!K$1,$Z136,"")))</f>
        <v/>
      </c>
      <c r="AR136" s="497" t="str">
        <f>IF($X$49="WEEKS","",IF($Z136="Manual Entry hrs/wk","",IF($X$49&gt;'FORMULA REFS'!L$1,$Z136,"")))</f>
        <v/>
      </c>
      <c r="AS136" s="497" t="str">
        <f>IF($X$49="WEEKS","",IF($Z136="Manual Entry hrs/wk","",IF($X$49&gt;'FORMULA REFS'!M$1,$Z136,"")))</f>
        <v/>
      </c>
      <c r="AT136" s="497" t="str">
        <f>IF($X$49="WEEKS","",IF($Z136="Manual Entry hrs/wk","",IF($X$49&gt;'FORMULA REFS'!N$1,$Z136,"")))</f>
        <v/>
      </c>
      <c r="AU136" s="497" t="str">
        <f>IF($X$49="WEEKS","",IF($Z136="Manual Entry hrs/wk","",IF($X$49&gt;'FORMULA REFS'!O$1,$Z136,"")))</f>
        <v/>
      </c>
      <c r="AV136" s="497" t="str">
        <f>IF($X$49="WEEKS","",IF($Z136="Manual Entry hrs/wk","",IF($X$49&gt;'FORMULA REFS'!P$1,$Z136,"")))</f>
        <v/>
      </c>
      <c r="AW136" s="497" t="str">
        <f>IF($X$49="WEEKS","",IF($Z136="Manual Entry hrs/wk","",IF($X$49&gt;'FORMULA REFS'!Q$1,$Z136,"")))</f>
        <v/>
      </c>
      <c r="AX136" s="497" t="str">
        <f>IF($X$49="WEEKS","",IF($Z136="Manual Entry hrs/wk","",IF($X$49&gt;'FORMULA REFS'!R$1,$Z136,"")))</f>
        <v/>
      </c>
      <c r="AY136" s="497" t="str">
        <f>IF($X$49="WEEKS","",IF($Z136="Manual Entry hrs/wk","",IF($X$49&gt;'FORMULA REFS'!S$1,$Z136,"")))</f>
        <v/>
      </c>
      <c r="AZ136" s="497" t="str">
        <f>IF($X$49="WEEKS","",IF($Z136="Manual Entry hrs/wk","",IF($X$49&gt;'FORMULA REFS'!T$1,$Z136,"")))</f>
        <v/>
      </c>
      <c r="BA136" s="497" t="str">
        <f>IF($X$49="WEEKS","",IF($Z136="Manual Entry hrs/wk","",IF($X$49&gt;'FORMULA REFS'!U$1,$Z136,"")))</f>
        <v/>
      </c>
      <c r="BB136" s="497" t="str">
        <f>IF($X$49="WEEKS","",IF($Z136="Manual Entry hrs/wk","",IF($X$49&gt;'FORMULA REFS'!V$1,$Z136,"")))</f>
        <v/>
      </c>
      <c r="BC136" s="497" t="str">
        <f>IF($X$49="WEEKS","",IF($Z136="Manual Entry hrs/wk","",IF($X$49&gt;'FORMULA REFS'!W$1,$Z136,"")))</f>
        <v/>
      </c>
      <c r="BD136" s="497" t="str">
        <f>IF($X$49="WEEKS","",IF($Z136="Manual Entry hrs/wk","",IF($X$49&gt;'FORMULA REFS'!X$1,$Z136,"")))</f>
        <v/>
      </c>
      <c r="BE136" s="497" t="str">
        <f>IF($X$49="WEEKS","",IF($Z136="Manual Entry hrs/wk","",IF($X$49&gt;'FORMULA REFS'!Y$1,$Z136,"")))</f>
        <v/>
      </c>
      <c r="BF136" s="497" t="str">
        <f>IF($X$49="WEEKS","",IF($Z136="Manual Entry hrs/wk","",IF($X$49&gt;'FORMULA REFS'!Z$1,$Z136,"")))</f>
        <v/>
      </c>
      <c r="BG136" s="497" t="str">
        <f>IF($X$49="WEEKS","",IF($Z136="Manual Entry hrs/wk","",IF($X$49&gt;'FORMULA REFS'!AA$1,$Z136,"")))</f>
        <v/>
      </c>
      <c r="BH136" s="497" t="str">
        <f>IF($X$49="WEEKS","",IF($Z136="Manual Entry hrs/wk","",IF($X$49&gt;'FORMULA REFS'!AB$1,$Z136,"")))</f>
        <v/>
      </c>
      <c r="BI136" s="497" t="str">
        <f>IF($X$49="WEEKS","",IF($Z136="Manual Entry hrs/wk","",IF($X$49&gt;'FORMULA REFS'!AC$1,$Z136,"")))</f>
        <v/>
      </c>
      <c r="BJ136" s="497" t="str">
        <f>IF($X$49="WEEKS","",IF($Z136="Manual Entry hrs/wk","",IF($X$49&gt;'FORMULA REFS'!AD$1,$Z136,"")))</f>
        <v/>
      </c>
      <c r="BK136" s="497" t="str">
        <f>IF($X$49="WEEKS","",IF($Z136="Manual Entry hrs/wk","",IF($X$49&gt;'FORMULA REFS'!AE$1,$Z136,"")))</f>
        <v/>
      </c>
      <c r="BL136" s="497" t="str">
        <f>IF($X$49="WEEKS","",IF($Z136="Manual Entry hrs/wk","",IF($X$49&gt;'FORMULA REFS'!AF$1,$Z136,"")))</f>
        <v/>
      </c>
      <c r="BM136" s="497" t="str">
        <f>IF($X$49="WEEKS","",IF($Z136="Manual Entry hrs/wk","",IF($X$49&gt;'FORMULA REFS'!AG$1,$Z136,"")))</f>
        <v/>
      </c>
      <c r="BN136" s="497" t="str">
        <f>IF($X$49="WEEKS","",IF($Z136="Manual Entry hrs/wk","",IF($X$49&gt;'FORMULA REFS'!AH$1,$Z136,"")))</f>
        <v/>
      </c>
      <c r="BO136" s="497" t="str">
        <f>IF($X$49="WEEKS","",IF($Z136="Manual Entry hrs/wk","",IF($X$49&gt;'FORMULA REFS'!AI$1,$Z136,"")))</f>
        <v/>
      </c>
      <c r="BP136" s="497" t="str">
        <f>IF($X$49="WEEKS","",IF($Z136="Manual Entry hrs/wk","",IF($X$49&gt;'FORMULA REFS'!AJ$1,$Z136,"")))</f>
        <v/>
      </c>
      <c r="BQ136" s="497" t="str">
        <f>IF($X$49="WEEKS","",IF($Z136="Manual Entry hrs/wk","",IF($X$49&gt;'FORMULA REFS'!AK$1,$Z136,"")))</f>
        <v/>
      </c>
      <c r="BR136" s="497" t="str">
        <f>IF($X$49="WEEKS","",IF($Z136="Manual Entry hrs/wk","",IF($X$49&gt;'FORMULA REFS'!AL$1,$Z136,"")))</f>
        <v/>
      </c>
      <c r="BS136" s="497" t="str">
        <f>IF($X$49="WEEKS","",IF($Z136="Manual Entry hrs/wk","",IF($X$49&gt;'FORMULA REFS'!AM$1,$Z136,"")))</f>
        <v/>
      </c>
      <c r="BT136" s="497" t="str">
        <f>IF($X$49="WEEKS","",IF($Z136="Manual Entry hrs/wk","",IF($X$49&gt;'FORMULA REFS'!AN$1,$Z136,"")))</f>
        <v/>
      </c>
      <c r="BU136" s="497" t="str">
        <f>IF($X$49="WEEKS","",IF($Z136="Manual Entry hrs/wk","",IF($X$49&gt;'FORMULA REFS'!AO$1,$Z136,"")))</f>
        <v/>
      </c>
      <c r="BV136" s="497" t="str">
        <f>IF($X$49="WEEKS","",IF($Z136="Manual Entry hrs/wk","",IF($X$49&gt;'FORMULA REFS'!AP$1,$Z136,"")))</f>
        <v/>
      </c>
      <c r="BW136" s="497" t="str">
        <f>IF($X$49="WEEKS","",IF($Z136="Manual Entry hrs/wk","",IF($X$49&gt;'FORMULA REFS'!AQ$1,$Z136,"")))</f>
        <v/>
      </c>
      <c r="BX136" s="497" t="str">
        <f>IF($X$49="WEEKS","",IF($Z136="Manual Entry hrs/wk","",IF($X$49&gt;'FORMULA REFS'!AR$1,$Z136,"")))</f>
        <v/>
      </c>
      <c r="BY136" s="497" t="str">
        <f>IF($X$49="WEEKS","",IF($Z136="Manual Entry hrs/wk","",IF($X$49&gt;'FORMULA REFS'!AS$1,$Z136,"")))</f>
        <v/>
      </c>
      <c r="BZ136" s="497" t="str">
        <f>IF($X$49="WEEKS","",IF($Z136="Manual Entry hrs/wk","",IF($X$49&gt;'FORMULA REFS'!AT$1,$Z136,"")))</f>
        <v/>
      </c>
      <c r="CA136" s="497" t="str">
        <f>IF($X$49="WEEKS","",IF($Z136="Manual Entry hrs/wk","",IF($X$49&gt;'FORMULA REFS'!AU$1,$Z136,"")))</f>
        <v/>
      </c>
      <c r="CB136" s="497" t="str">
        <f>IF($X$49="WEEKS","",IF($Z136="Manual Entry hrs/wk","",IF($X$49&gt;'FORMULA REFS'!AV$1,$Z136,"")))</f>
        <v/>
      </c>
      <c r="CC136" s="497" t="str">
        <f>IF($X$49="WEEKS","",IF($Z136="Manual Entry hrs/wk","",IF($X$49&gt;'FORMULA REFS'!AW$1,$Z136,"")))</f>
        <v/>
      </c>
      <c r="CD136" s="497" t="str">
        <f>IF($X$49="WEEKS","",IF($Z136="Manual Entry hrs/wk","",IF($X$49&gt;'FORMULA REFS'!AX$1,$Z136,"")))</f>
        <v/>
      </c>
      <c r="CE136" s="497" t="str">
        <f>IF($X$49="WEEKS","",IF($Z136="Manual Entry hrs/wk","",IF($X$49&gt;'FORMULA REFS'!AY$1,$Z136,"")))</f>
        <v/>
      </c>
      <c r="CF136" s="497" t="str">
        <f>IF($X$49="WEEKS","",IF($Z136="Manual Entry hrs/wk","",IF($X$49&gt;'FORMULA REFS'!AZ$1,$Z136,"")))</f>
        <v/>
      </c>
      <c r="CG136" s="113"/>
      <c r="CH136" s="349" t="str">
        <f t="shared" si="20"/>
        <v/>
      </c>
      <c r="CI136" s="349"/>
      <c r="CJ136" s="349"/>
      <c r="CK136" s="349"/>
      <c r="CL136" s="350"/>
    </row>
    <row r="137" spans="2:90" hidden="1" outlineLevel="3" x14ac:dyDescent="0.3">
      <c r="B137">
        <v>88</v>
      </c>
      <c r="C137" s="346"/>
      <c r="D137" s="495"/>
      <c r="E137" s="346"/>
      <c r="F137" s="346" t="str">
        <f>IFERROR(_xlfn.XLOOKUP(E137,'Standard Rate Cards'!$BB$11:$BB$23,'Standard Rate Cards'!$BA$11:$BA$23),"")</f>
        <v/>
      </c>
      <c r="G137" s="346"/>
      <c r="H137" s="346" t="str">
        <f>IFERROR(_xlfn.XLOOKUP(G137,'Standard Rate Cards'!$AP$8:$AP$142,'Standard Rate Cards'!$AQ$8:$AQ$142),"")</f>
        <v/>
      </c>
      <c r="I137" s="346"/>
      <c r="J137" s="346"/>
      <c r="K137" s="496"/>
      <c r="L137" s="496">
        <f t="shared" si="21"/>
        <v>0</v>
      </c>
      <c r="M137" s="496" t="str" cm="1">
        <f t="array" ref="M137">IF(ISBLANK(D137),"",IF(D137&lt;&gt;"CrederaUS",INDEX('Standard Rate Cards'!$D$9:$D$433,MATCH(1,('Standard Rate Cards'!$B$9:$B$433='2. Pricing &amp; Import'!D137)*('Standard Rate Cards'!$C$9:$C$433='2. Pricing &amp; Import'!K137),0)),INDEX('Standard Rate Cards'!$D$9:$D$433,MATCH(1,('Standard Rate Cards'!$B$9:$B$433='2. Pricing &amp; Import'!D137)*('Standard Rate Cards'!$C$9:$C$433='2. Pricing &amp; Import'!K137)*('Standard Rate Cards'!$H$9:$H$433=L137),0))))</f>
        <v/>
      </c>
      <c r="N137" s="347"/>
      <c r="O137" s="110"/>
      <c r="P137" s="246"/>
      <c r="Q137" s="348"/>
      <c r="R137" s="250"/>
      <c r="S137" s="250"/>
      <c r="T137" s="614"/>
      <c r="U137" s="1637"/>
      <c r="V137" s="1638"/>
      <c r="W137" s="614"/>
      <c r="X137" s="681" t="str">
        <f t="shared" si="22"/>
        <v/>
      </c>
      <c r="Y137" s="682" t="str">
        <f t="shared" si="23"/>
        <v/>
      </c>
      <c r="Z137" s="1630" t="s">
        <v>309</v>
      </c>
      <c r="AA137" s="1631"/>
      <c r="AB137" s="94"/>
      <c r="AC137" s="94"/>
      <c r="AD137" s="94"/>
      <c r="AE137" s="94"/>
      <c r="AF137" s="94"/>
      <c r="AG137" s="497" t="str">
        <f>IF($X$49="WEEKS","",IF($Z137="Manual Entry hrs/wk","",IF($X$49&gt;'FORMULA REFS'!A$1,$Z137,"")))</f>
        <v/>
      </c>
      <c r="AH137" s="497" t="str">
        <f>IF($X$49="WEEKS","",IF($Z137="Manual Entry hrs/wk","",IF($X$49&gt;'FORMULA REFS'!B$1,$Z137,"")))</f>
        <v/>
      </c>
      <c r="AI137" s="497" t="str">
        <f>IF($X$49="WEEKS","",IF($Z137="Manual Entry hrs/wk","",IF($X$49&gt;'FORMULA REFS'!C$1,$Z137,"")))</f>
        <v/>
      </c>
      <c r="AJ137" s="497" t="str">
        <f>IF($X$49="WEEKS","",IF($Z137="Manual Entry hrs/wk","",IF($X$49&gt;'FORMULA REFS'!D$1,$Z137,"")))</f>
        <v/>
      </c>
      <c r="AK137" s="497" t="str">
        <f>IF($X$49="WEEKS","",IF($Z137="Manual Entry hrs/wk","",IF($X$49&gt;'FORMULA REFS'!E$1,$Z137,"")))</f>
        <v/>
      </c>
      <c r="AL137" s="497" t="str">
        <f>IF($X$49="WEEKS","",IF($Z137="Manual Entry hrs/wk","",IF($X$49&gt;'FORMULA REFS'!F$1,$Z137,"")))</f>
        <v/>
      </c>
      <c r="AM137" s="497" t="str">
        <f>IF($X$49="WEEKS","",IF($Z137="Manual Entry hrs/wk","",IF($X$49&gt;'FORMULA REFS'!G$1,$Z137,"")))</f>
        <v/>
      </c>
      <c r="AN137" s="497" t="str">
        <f>IF($X$49="WEEKS","",IF($Z137="Manual Entry hrs/wk","",IF($X$49&gt;'FORMULA REFS'!H$1,$Z137,"")))</f>
        <v/>
      </c>
      <c r="AO137" s="497" t="str">
        <f>IF($X$49="WEEKS","",IF($Z137="Manual Entry hrs/wk","",IF($X$49&gt;'FORMULA REFS'!I$1,$Z137,"")))</f>
        <v/>
      </c>
      <c r="AP137" s="497" t="str">
        <f>IF($X$49="WEEKS","",IF($Z137="Manual Entry hrs/wk","",IF($X$49&gt;'FORMULA REFS'!J$1,$Z137,"")))</f>
        <v/>
      </c>
      <c r="AQ137" s="497" t="str">
        <f>IF($X$49="WEEKS","",IF($Z137="Manual Entry hrs/wk","",IF($X$49&gt;'FORMULA REFS'!K$1,$Z137,"")))</f>
        <v/>
      </c>
      <c r="AR137" s="497" t="str">
        <f>IF($X$49="WEEKS","",IF($Z137="Manual Entry hrs/wk","",IF($X$49&gt;'FORMULA REFS'!L$1,$Z137,"")))</f>
        <v/>
      </c>
      <c r="AS137" s="497" t="str">
        <f>IF($X$49="WEEKS","",IF($Z137="Manual Entry hrs/wk","",IF($X$49&gt;'FORMULA REFS'!M$1,$Z137,"")))</f>
        <v/>
      </c>
      <c r="AT137" s="497" t="str">
        <f>IF($X$49="WEEKS","",IF($Z137="Manual Entry hrs/wk","",IF($X$49&gt;'FORMULA REFS'!N$1,$Z137,"")))</f>
        <v/>
      </c>
      <c r="AU137" s="497" t="str">
        <f>IF($X$49="WEEKS","",IF($Z137="Manual Entry hrs/wk","",IF($X$49&gt;'FORMULA REFS'!O$1,$Z137,"")))</f>
        <v/>
      </c>
      <c r="AV137" s="497" t="str">
        <f>IF($X$49="WEEKS","",IF($Z137="Manual Entry hrs/wk","",IF($X$49&gt;'FORMULA REFS'!P$1,$Z137,"")))</f>
        <v/>
      </c>
      <c r="AW137" s="497" t="str">
        <f>IF($X$49="WEEKS","",IF($Z137="Manual Entry hrs/wk","",IF($X$49&gt;'FORMULA REFS'!Q$1,$Z137,"")))</f>
        <v/>
      </c>
      <c r="AX137" s="497" t="str">
        <f>IF($X$49="WEEKS","",IF($Z137="Manual Entry hrs/wk","",IF($X$49&gt;'FORMULA REFS'!R$1,$Z137,"")))</f>
        <v/>
      </c>
      <c r="AY137" s="497" t="str">
        <f>IF($X$49="WEEKS","",IF($Z137="Manual Entry hrs/wk","",IF($X$49&gt;'FORMULA REFS'!S$1,$Z137,"")))</f>
        <v/>
      </c>
      <c r="AZ137" s="497" t="str">
        <f>IF($X$49="WEEKS","",IF($Z137="Manual Entry hrs/wk","",IF($X$49&gt;'FORMULA REFS'!T$1,$Z137,"")))</f>
        <v/>
      </c>
      <c r="BA137" s="497" t="str">
        <f>IF($X$49="WEEKS","",IF($Z137="Manual Entry hrs/wk","",IF($X$49&gt;'FORMULA REFS'!U$1,$Z137,"")))</f>
        <v/>
      </c>
      <c r="BB137" s="497" t="str">
        <f>IF($X$49="WEEKS","",IF($Z137="Manual Entry hrs/wk","",IF($X$49&gt;'FORMULA REFS'!V$1,$Z137,"")))</f>
        <v/>
      </c>
      <c r="BC137" s="497" t="str">
        <f>IF($X$49="WEEKS","",IF($Z137="Manual Entry hrs/wk","",IF($X$49&gt;'FORMULA REFS'!W$1,$Z137,"")))</f>
        <v/>
      </c>
      <c r="BD137" s="497" t="str">
        <f>IF($X$49="WEEKS","",IF($Z137="Manual Entry hrs/wk","",IF($X$49&gt;'FORMULA REFS'!X$1,$Z137,"")))</f>
        <v/>
      </c>
      <c r="BE137" s="497" t="str">
        <f>IF($X$49="WEEKS","",IF($Z137="Manual Entry hrs/wk","",IF($X$49&gt;'FORMULA REFS'!Y$1,$Z137,"")))</f>
        <v/>
      </c>
      <c r="BF137" s="497" t="str">
        <f>IF($X$49="WEEKS","",IF($Z137="Manual Entry hrs/wk","",IF($X$49&gt;'FORMULA REFS'!Z$1,$Z137,"")))</f>
        <v/>
      </c>
      <c r="BG137" s="497" t="str">
        <f>IF($X$49="WEEKS","",IF($Z137="Manual Entry hrs/wk","",IF($X$49&gt;'FORMULA REFS'!AA$1,$Z137,"")))</f>
        <v/>
      </c>
      <c r="BH137" s="497" t="str">
        <f>IF($X$49="WEEKS","",IF($Z137="Manual Entry hrs/wk","",IF($X$49&gt;'FORMULA REFS'!AB$1,$Z137,"")))</f>
        <v/>
      </c>
      <c r="BI137" s="497" t="str">
        <f>IF($X$49="WEEKS","",IF($Z137="Manual Entry hrs/wk","",IF($X$49&gt;'FORMULA REFS'!AC$1,$Z137,"")))</f>
        <v/>
      </c>
      <c r="BJ137" s="497" t="str">
        <f>IF($X$49="WEEKS","",IF($Z137="Manual Entry hrs/wk","",IF($X$49&gt;'FORMULA REFS'!AD$1,$Z137,"")))</f>
        <v/>
      </c>
      <c r="BK137" s="497" t="str">
        <f>IF($X$49="WEEKS","",IF($Z137="Manual Entry hrs/wk","",IF($X$49&gt;'FORMULA REFS'!AE$1,$Z137,"")))</f>
        <v/>
      </c>
      <c r="BL137" s="497" t="str">
        <f>IF($X$49="WEEKS","",IF($Z137="Manual Entry hrs/wk","",IF($X$49&gt;'FORMULA REFS'!AF$1,$Z137,"")))</f>
        <v/>
      </c>
      <c r="BM137" s="497" t="str">
        <f>IF($X$49="WEEKS","",IF($Z137="Manual Entry hrs/wk","",IF($X$49&gt;'FORMULA REFS'!AG$1,$Z137,"")))</f>
        <v/>
      </c>
      <c r="BN137" s="497" t="str">
        <f>IF($X$49="WEEKS","",IF($Z137="Manual Entry hrs/wk","",IF($X$49&gt;'FORMULA REFS'!AH$1,$Z137,"")))</f>
        <v/>
      </c>
      <c r="BO137" s="497" t="str">
        <f>IF($X$49="WEEKS","",IF($Z137="Manual Entry hrs/wk","",IF($X$49&gt;'FORMULA REFS'!AI$1,$Z137,"")))</f>
        <v/>
      </c>
      <c r="BP137" s="497" t="str">
        <f>IF($X$49="WEEKS","",IF($Z137="Manual Entry hrs/wk","",IF($X$49&gt;'FORMULA REFS'!AJ$1,$Z137,"")))</f>
        <v/>
      </c>
      <c r="BQ137" s="497" t="str">
        <f>IF($X$49="WEEKS","",IF($Z137="Manual Entry hrs/wk","",IF($X$49&gt;'FORMULA REFS'!AK$1,$Z137,"")))</f>
        <v/>
      </c>
      <c r="BR137" s="497" t="str">
        <f>IF($X$49="WEEKS","",IF($Z137="Manual Entry hrs/wk","",IF($X$49&gt;'FORMULA REFS'!AL$1,$Z137,"")))</f>
        <v/>
      </c>
      <c r="BS137" s="497" t="str">
        <f>IF($X$49="WEEKS","",IF($Z137="Manual Entry hrs/wk","",IF($X$49&gt;'FORMULA REFS'!AM$1,$Z137,"")))</f>
        <v/>
      </c>
      <c r="BT137" s="497" t="str">
        <f>IF($X$49="WEEKS","",IF($Z137="Manual Entry hrs/wk","",IF($X$49&gt;'FORMULA REFS'!AN$1,$Z137,"")))</f>
        <v/>
      </c>
      <c r="BU137" s="497" t="str">
        <f>IF($X$49="WEEKS","",IF($Z137="Manual Entry hrs/wk","",IF($X$49&gt;'FORMULA REFS'!AO$1,$Z137,"")))</f>
        <v/>
      </c>
      <c r="BV137" s="497" t="str">
        <f>IF($X$49="WEEKS","",IF($Z137="Manual Entry hrs/wk","",IF($X$49&gt;'FORMULA REFS'!AP$1,$Z137,"")))</f>
        <v/>
      </c>
      <c r="BW137" s="497" t="str">
        <f>IF($X$49="WEEKS","",IF($Z137="Manual Entry hrs/wk","",IF($X$49&gt;'FORMULA REFS'!AQ$1,$Z137,"")))</f>
        <v/>
      </c>
      <c r="BX137" s="497" t="str">
        <f>IF($X$49="WEEKS","",IF($Z137="Manual Entry hrs/wk","",IF($X$49&gt;'FORMULA REFS'!AR$1,$Z137,"")))</f>
        <v/>
      </c>
      <c r="BY137" s="497" t="str">
        <f>IF($X$49="WEEKS","",IF($Z137="Manual Entry hrs/wk","",IF($X$49&gt;'FORMULA REFS'!AS$1,$Z137,"")))</f>
        <v/>
      </c>
      <c r="BZ137" s="497" t="str">
        <f>IF($X$49="WEEKS","",IF($Z137="Manual Entry hrs/wk","",IF($X$49&gt;'FORMULA REFS'!AT$1,$Z137,"")))</f>
        <v/>
      </c>
      <c r="CA137" s="497" t="str">
        <f>IF($X$49="WEEKS","",IF($Z137="Manual Entry hrs/wk","",IF($X$49&gt;'FORMULA REFS'!AU$1,$Z137,"")))</f>
        <v/>
      </c>
      <c r="CB137" s="497" t="str">
        <f>IF($X$49="WEEKS","",IF($Z137="Manual Entry hrs/wk","",IF($X$49&gt;'FORMULA REFS'!AV$1,$Z137,"")))</f>
        <v/>
      </c>
      <c r="CC137" s="497" t="str">
        <f>IF($X$49="WEEKS","",IF($Z137="Manual Entry hrs/wk","",IF($X$49&gt;'FORMULA REFS'!AW$1,$Z137,"")))</f>
        <v/>
      </c>
      <c r="CD137" s="497" t="str">
        <f>IF($X$49="WEEKS","",IF($Z137="Manual Entry hrs/wk","",IF($X$49&gt;'FORMULA REFS'!AX$1,$Z137,"")))</f>
        <v/>
      </c>
      <c r="CE137" s="497" t="str">
        <f>IF($X$49="WEEKS","",IF($Z137="Manual Entry hrs/wk","",IF($X$49&gt;'FORMULA REFS'!AY$1,$Z137,"")))</f>
        <v/>
      </c>
      <c r="CF137" s="497" t="str">
        <f>IF($X$49="WEEKS","",IF($Z137="Manual Entry hrs/wk","",IF($X$49&gt;'FORMULA REFS'!AZ$1,$Z137,"")))</f>
        <v/>
      </c>
      <c r="CG137" s="113"/>
      <c r="CH137" s="349" t="str">
        <f t="shared" si="20"/>
        <v/>
      </c>
      <c r="CI137" s="349"/>
      <c r="CJ137" s="349"/>
      <c r="CK137" s="349"/>
      <c r="CL137" s="350"/>
    </row>
    <row r="138" spans="2:90" hidden="1" outlineLevel="3" x14ac:dyDescent="0.3">
      <c r="B138">
        <v>89</v>
      </c>
      <c r="C138" s="346"/>
      <c r="D138" s="495"/>
      <c r="E138" s="346"/>
      <c r="F138" s="346" t="str">
        <f>IFERROR(_xlfn.XLOOKUP(E138,'Standard Rate Cards'!$BB$11:$BB$23,'Standard Rate Cards'!$BA$11:$BA$23),"")</f>
        <v/>
      </c>
      <c r="G138" s="346"/>
      <c r="H138" s="346" t="str">
        <f>IFERROR(_xlfn.XLOOKUP(G138,'Standard Rate Cards'!$AP$8:$AP$142,'Standard Rate Cards'!$AQ$8:$AQ$142),"")</f>
        <v/>
      </c>
      <c r="I138" s="346"/>
      <c r="J138" s="346"/>
      <c r="K138" s="496"/>
      <c r="L138" s="496">
        <f t="shared" si="21"/>
        <v>0</v>
      </c>
      <c r="M138" s="496" t="str" cm="1">
        <f t="array" ref="M138">IF(ISBLANK(D138),"",IF(D138&lt;&gt;"CrederaUS",INDEX('Standard Rate Cards'!$D$9:$D$433,MATCH(1,('Standard Rate Cards'!$B$9:$B$433='2. Pricing &amp; Import'!D138)*('Standard Rate Cards'!$C$9:$C$433='2. Pricing &amp; Import'!K138),0)),INDEX('Standard Rate Cards'!$D$9:$D$433,MATCH(1,('Standard Rate Cards'!$B$9:$B$433='2. Pricing &amp; Import'!D138)*('Standard Rate Cards'!$C$9:$C$433='2. Pricing &amp; Import'!K138)*('Standard Rate Cards'!$H$9:$H$433=L138),0))))</f>
        <v/>
      </c>
      <c r="N138" s="347"/>
      <c r="O138" s="110"/>
      <c r="P138" s="246"/>
      <c r="Q138" s="348"/>
      <c r="R138" s="250"/>
      <c r="S138" s="250"/>
      <c r="T138" s="614"/>
      <c r="U138" s="1637"/>
      <c r="V138" s="1638"/>
      <c r="W138" s="614"/>
      <c r="X138" s="681" t="str">
        <f t="shared" si="22"/>
        <v/>
      </c>
      <c r="Y138" s="682" t="str">
        <f t="shared" si="23"/>
        <v/>
      </c>
      <c r="Z138" s="1630" t="s">
        <v>309</v>
      </c>
      <c r="AA138" s="1631"/>
      <c r="AB138" s="94"/>
      <c r="AC138" s="94"/>
      <c r="AD138" s="94"/>
      <c r="AE138" s="94"/>
      <c r="AF138" s="94"/>
      <c r="AG138" s="497" t="str">
        <f>IF($X$49="WEEKS","",IF($Z138="Manual Entry hrs/wk","",IF($X$49&gt;'FORMULA REFS'!A$1,$Z138,"")))</f>
        <v/>
      </c>
      <c r="AH138" s="497" t="str">
        <f>IF($X$49="WEEKS","",IF($Z138="Manual Entry hrs/wk","",IF($X$49&gt;'FORMULA REFS'!B$1,$Z138,"")))</f>
        <v/>
      </c>
      <c r="AI138" s="497" t="str">
        <f>IF($X$49="WEEKS","",IF($Z138="Manual Entry hrs/wk","",IF($X$49&gt;'FORMULA REFS'!C$1,$Z138,"")))</f>
        <v/>
      </c>
      <c r="AJ138" s="497" t="str">
        <f>IF($X$49="WEEKS","",IF($Z138="Manual Entry hrs/wk","",IF($X$49&gt;'FORMULA REFS'!D$1,$Z138,"")))</f>
        <v/>
      </c>
      <c r="AK138" s="497" t="str">
        <f>IF($X$49="WEEKS","",IF($Z138="Manual Entry hrs/wk","",IF($X$49&gt;'FORMULA REFS'!E$1,$Z138,"")))</f>
        <v/>
      </c>
      <c r="AL138" s="497" t="str">
        <f>IF($X$49="WEEKS","",IF($Z138="Manual Entry hrs/wk","",IF($X$49&gt;'FORMULA REFS'!F$1,$Z138,"")))</f>
        <v/>
      </c>
      <c r="AM138" s="497" t="str">
        <f>IF($X$49="WEEKS","",IF($Z138="Manual Entry hrs/wk","",IF($X$49&gt;'FORMULA REFS'!G$1,$Z138,"")))</f>
        <v/>
      </c>
      <c r="AN138" s="497" t="str">
        <f>IF($X$49="WEEKS","",IF($Z138="Manual Entry hrs/wk","",IF($X$49&gt;'FORMULA REFS'!H$1,$Z138,"")))</f>
        <v/>
      </c>
      <c r="AO138" s="497" t="str">
        <f>IF($X$49="WEEKS","",IF($Z138="Manual Entry hrs/wk","",IF($X$49&gt;'FORMULA REFS'!I$1,$Z138,"")))</f>
        <v/>
      </c>
      <c r="AP138" s="497" t="str">
        <f>IF($X$49="WEEKS","",IF($Z138="Manual Entry hrs/wk","",IF($X$49&gt;'FORMULA REFS'!J$1,$Z138,"")))</f>
        <v/>
      </c>
      <c r="AQ138" s="497" t="str">
        <f>IF($X$49="WEEKS","",IF($Z138="Manual Entry hrs/wk","",IF($X$49&gt;'FORMULA REFS'!K$1,$Z138,"")))</f>
        <v/>
      </c>
      <c r="AR138" s="497" t="str">
        <f>IF($X$49="WEEKS","",IF($Z138="Manual Entry hrs/wk","",IF($X$49&gt;'FORMULA REFS'!L$1,$Z138,"")))</f>
        <v/>
      </c>
      <c r="AS138" s="497" t="str">
        <f>IF($X$49="WEEKS","",IF($Z138="Manual Entry hrs/wk","",IF($X$49&gt;'FORMULA REFS'!M$1,$Z138,"")))</f>
        <v/>
      </c>
      <c r="AT138" s="497" t="str">
        <f>IF($X$49="WEEKS","",IF($Z138="Manual Entry hrs/wk","",IF($X$49&gt;'FORMULA REFS'!N$1,$Z138,"")))</f>
        <v/>
      </c>
      <c r="AU138" s="497" t="str">
        <f>IF($X$49="WEEKS","",IF($Z138="Manual Entry hrs/wk","",IF($X$49&gt;'FORMULA REFS'!O$1,$Z138,"")))</f>
        <v/>
      </c>
      <c r="AV138" s="497" t="str">
        <f>IF($X$49="WEEKS","",IF($Z138="Manual Entry hrs/wk","",IF($X$49&gt;'FORMULA REFS'!P$1,$Z138,"")))</f>
        <v/>
      </c>
      <c r="AW138" s="497" t="str">
        <f>IF($X$49="WEEKS","",IF($Z138="Manual Entry hrs/wk","",IF($X$49&gt;'FORMULA REFS'!Q$1,$Z138,"")))</f>
        <v/>
      </c>
      <c r="AX138" s="497" t="str">
        <f>IF($X$49="WEEKS","",IF($Z138="Manual Entry hrs/wk","",IF($X$49&gt;'FORMULA REFS'!R$1,$Z138,"")))</f>
        <v/>
      </c>
      <c r="AY138" s="497" t="str">
        <f>IF($X$49="WEEKS","",IF($Z138="Manual Entry hrs/wk","",IF($X$49&gt;'FORMULA REFS'!S$1,$Z138,"")))</f>
        <v/>
      </c>
      <c r="AZ138" s="497" t="str">
        <f>IF($X$49="WEEKS","",IF($Z138="Manual Entry hrs/wk","",IF($X$49&gt;'FORMULA REFS'!T$1,$Z138,"")))</f>
        <v/>
      </c>
      <c r="BA138" s="497" t="str">
        <f>IF($X$49="WEEKS","",IF($Z138="Manual Entry hrs/wk","",IF($X$49&gt;'FORMULA REFS'!U$1,$Z138,"")))</f>
        <v/>
      </c>
      <c r="BB138" s="497" t="str">
        <f>IF($X$49="WEEKS","",IF($Z138="Manual Entry hrs/wk","",IF($X$49&gt;'FORMULA REFS'!V$1,$Z138,"")))</f>
        <v/>
      </c>
      <c r="BC138" s="497" t="str">
        <f>IF($X$49="WEEKS","",IF($Z138="Manual Entry hrs/wk","",IF($X$49&gt;'FORMULA REFS'!W$1,$Z138,"")))</f>
        <v/>
      </c>
      <c r="BD138" s="497" t="str">
        <f>IF($X$49="WEEKS","",IF($Z138="Manual Entry hrs/wk","",IF($X$49&gt;'FORMULA REFS'!X$1,$Z138,"")))</f>
        <v/>
      </c>
      <c r="BE138" s="497" t="str">
        <f>IF($X$49="WEEKS","",IF($Z138="Manual Entry hrs/wk","",IF($X$49&gt;'FORMULA REFS'!Y$1,$Z138,"")))</f>
        <v/>
      </c>
      <c r="BF138" s="497" t="str">
        <f>IF($X$49="WEEKS","",IF($Z138="Manual Entry hrs/wk","",IF($X$49&gt;'FORMULA REFS'!Z$1,$Z138,"")))</f>
        <v/>
      </c>
      <c r="BG138" s="497" t="str">
        <f>IF($X$49="WEEKS","",IF($Z138="Manual Entry hrs/wk","",IF($X$49&gt;'FORMULA REFS'!AA$1,$Z138,"")))</f>
        <v/>
      </c>
      <c r="BH138" s="497" t="str">
        <f>IF($X$49="WEEKS","",IF($Z138="Manual Entry hrs/wk","",IF($X$49&gt;'FORMULA REFS'!AB$1,$Z138,"")))</f>
        <v/>
      </c>
      <c r="BI138" s="497" t="str">
        <f>IF($X$49="WEEKS","",IF($Z138="Manual Entry hrs/wk","",IF($X$49&gt;'FORMULA REFS'!AC$1,$Z138,"")))</f>
        <v/>
      </c>
      <c r="BJ138" s="497" t="str">
        <f>IF($X$49="WEEKS","",IF($Z138="Manual Entry hrs/wk","",IF($X$49&gt;'FORMULA REFS'!AD$1,$Z138,"")))</f>
        <v/>
      </c>
      <c r="BK138" s="497" t="str">
        <f>IF($X$49="WEEKS","",IF($Z138="Manual Entry hrs/wk","",IF($X$49&gt;'FORMULA REFS'!AE$1,$Z138,"")))</f>
        <v/>
      </c>
      <c r="BL138" s="497" t="str">
        <f>IF($X$49="WEEKS","",IF($Z138="Manual Entry hrs/wk","",IF($X$49&gt;'FORMULA REFS'!AF$1,$Z138,"")))</f>
        <v/>
      </c>
      <c r="BM138" s="497" t="str">
        <f>IF($X$49="WEEKS","",IF($Z138="Manual Entry hrs/wk","",IF($X$49&gt;'FORMULA REFS'!AG$1,$Z138,"")))</f>
        <v/>
      </c>
      <c r="BN138" s="497" t="str">
        <f>IF($X$49="WEEKS","",IF($Z138="Manual Entry hrs/wk","",IF($X$49&gt;'FORMULA REFS'!AH$1,$Z138,"")))</f>
        <v/>
      </c>
      <c r="BO138" s="497" t="str">
        <f>IF($X$49="WEEKS","",IF($Z138="Manual Entry hrs/wk","",IF($X$49&gt;'FORMULA REFS'!AI$1,$Z138,"")))</f>
        <v/>
      </c>
      <c r="BP138" s="497" t="str">
        <f>IF($X$49="WEEKS","",IF($Z138="Manual Entry hrs/wk","",IF($X$49&gt;'FORMULA REFS'!AJ$1,$Z138,"")))</f>
        <v/>
      </c>
      <c r="BQ138" s="497" t="str">
        <f>IF($X$49="WEEKS","",IF($Z138="Manual Entry hrs/wk","",IF($X$49&gt;'FORMULA REFS'!AK$1,$Z138,"")))</f>
        <v/>
      </c>
      <c r="BR138" s="497" t="str">
        <f>IF($X$49="WEEKS","",IF($Z138="Manual Entry hrs/wk","",IF($X$49&gt;'FORMULA REFS'!AL$1,$Z138,"")))</f>
        <v/>
      </c>
      <c r="BS138" s="497" t="str">
        <f>IF($X$49="WEEKS","",IF($Z138="Manual Entry hrs/wk","",IF($X$49&gt;'FORMULA REFS'!AM$1,$Z138,"")))</f>
        <v/>
      </c>
      <c r="BT138" s="497" t="str">
        <f>IF($X$49="WEEKS","",IF($Z138="Manual Entry hrs/wk","",IF($X$49&gt;'FORMULA REFS'!AN$1,$Z138,"")))</f>
        <v/>
      </c>
      <c r="BU138" s="497" t="str">
        <f>IF($X$49="WEEKS","",IF($Z138="Manual Entry hrs/wk","",IF($X$49&gt;'FORMULA REFS'!AO$1,$Z138,"")))</f>
        <v/>
      </c>
      <c r="BV138" s="497" t="str">
        <f>IF($X$49="WEEKS","",IF($Z138="Manual Entry hrs/wk","",IF($X$49&gt;'FORMULA REFS'!AP$1,$Z138,"")))</f>
        <v/>
      </c>
      <c r="BW138" s="497" t="str">
        <f>IF($X$49="WEEKS","",IF($Z138="Manual Entry hrs/wk","",IF($X$49&gt;'FORMULA REFS'!AQ$1,$Z138,"")))</f>
        <v/>
      </c>
      <c r="BX138" s="497" t="str">
        <f>IF($X$49="WEEKS","",IF($Z138="Manual Entry hrs/wk","",IF($X$49&gt;'FORMULA REFS'!AR$1,$Z138,"")))</f>
        <v/>
      </c>
      <c r="BY138" s="497" t="str">
        <f>IF($X$49="WEEKS","",IF($Z138="Manual Entry hrs/wk","",IF($X$49&gt;'FORMULA REFS'!AS$1,$Z138,"")))</f>
        <v/>
      </c>
      <c r="BZ138" s="497" t="str">
        <f>IF($X$49="WEEKS","",IF($Z138="Manual Entry hrs/wk","",IF($X$49&gt;'FORMULA REFS'!AT$1,$Z138,"")))</f>
        <v/>
      </c>
      <c r="CA138" s="497" t="str">
        <f>IF($X$49="WEEKS","",IF($Z138="Manual Entry hrs/wk","",IF($X$49&gt;'FORMULA REFS'!AU$1,$Z138,"")))</f>
        <v/>
      </c>
      <c r="CB138" s="497" t="str">
        <f>IF($X$49="WEEKS","",IF($Z138="Manual Entry hrs/wk","",IF($X$49&gt;'FORMULA REFS'!AV$1,$Z138,"")))</f>
        <v/>
      </c>
      <c r="CC138" s="497" t="str">
        <f>IF($X$49="WEEKS","",IF($Z138="Manual Entry hrs/wk","",IF($X$49&gt;'FORMULA REFS'!AW$1,$Z138,"")))</f>
        <v/>
      </c>
      <c r="CD138" s="497" t="str">
        <f>IF($X$49="WEEKS","",IF($Z138="Manual Entry hrs/wk","",IF($X$49&gt;'FORMULA REFS'!AX$1,$Z138,"")))</f>
        <v/>
      </c>
      <c r="CE138" s="497" t="str">
        <f>IF($X$49="WEEKS","",IF($Z138="Manual Entry hrs/wk","",IF($X$49&gt;'FORMULA REFS'!AY$1,$Z138,"")))</f>
        <v/>
      </c>
      <c r="CF138" s="497" t="str">
        <f>IF($X$49="WEEKS","",IF($Z138="Manual Entry hrs/wk","",IF($X$49&gt;'FORMULA REFS'!AZ$1,$Z138,"")))</f>
        <v/>
      </c>
      <c r="CG138" s="113"/>
      <c r="CH138" s="349" t="str">
        <f t="shared" si="20"/>
        <v/>
      </c>
      <c r="CI138" s="349"/>
      <c r="CJ138" s="349"/>
      <c r="CK138" s="349"/>
      <c r="CL138" s="350"/>
    </row>
    <row r="139" spans="2:90" hidden="1" outlineLevel="3" x14ac:dyDescent="0.3">
      <c r="B139">
        <v>90</v>
      </c>
      <c r="C139" s="346"/>
      <c r="D139" s="495"/>
      <c r="E139" s="346"/>
      <c r="F139" s="346" t="str">
        <f>IFERROR(_xlfn.XLOOKUP(E139,'Standard Rate Cards'!$BB$11:$BB$23,'Standard Rate Cards'!$BA$11:$BA$23),"")</f>
        <v/>
      </c>
      <c r="G139" s="346"/>
      <c r="H139" s="346" t="str">
        <f>IFERROR(_xlfn.XLOOKUP(G139,'Standard Rate Cards'!$AP$8:$AP$142,'Standard Rate Cards'!$AQ$8:$AQ$142),"")</f>
        <v/>
      </c>
      <c r="I139" s="346"/>
      <c r="J139" s="346"/>
      <c r="K139" s="496"/>
      <c r="L139" s="496">
        <f t="shared" si="21"/>
        <v>0</v>
      </c>
      <c r="M139" s="496" t="str" cm="1">
        <f t="array" ref="M139">IF(ISBLANK(D139),"",IF(D139&lt;&gt;"CrederaUS",INDEX('Standard Rate Cards'!$D$9:$D$433,MATCH(1,('Standard Rate Cards'!$B$9:$B$433='2. Pricing &amp; Import'!D139)*('Standard Rate Cards'!$C$9:$C$433='2. Pricing &amp; Import'!K139),0)),INDEX('Standard Rate Cards'!$D$9:$D$433,MATCH(1,('Standard Rate Cards'!$B$9:$B$433='2. Pricing &amp; Import'!D139)*('Standard Rate Cards'!$C$9:$C$433='2. Pricing &amp; Import'!K139)*('Standard Rate Cards'!$H$9:$H$433=L139),0))))</f>
        <v/>
      </c>
      <c r="N139" s="347"/>
      <c r="O139" s="110"/>
      <c r="P139" s="246"/>
      <c r="Q139" s="348"/>
      <c r="R139" s="250"/>
      <c r="S139" s="250"/>
      <c r="T139" s="614"/>
      <c r="U139" s="1637"/>
      <c r="V139" s="1638"/>
      <c r="W139" s="614"/>
      <c r="X139" s="681" t="str">
        <f t="shared" si="22"/>
        <v/>
      </c>
      <c r="Y139" s="682" t="str">
        <f t="shared" si="23"/>
        <v/>
      </c>
      <c r="Z139" s="1630" t="s">
        <v>309</v>
      </c>
      <c r="AA139" s="1631"/>
      <c r="AB139" s="94"/>
      <c r="AC139" s="94"/>
      <c r="AD139" s="94"/>
      <c r="AE139" s="94"/>
      <c r="AF139" s="94"/>
      <c r="AG139" s="497" t="str">
        <f>IF($X$49="WEEKS","",IF($Z139="Manual Entry hrs/wk","",IF($X$49&gt;'FORMULA REFS'!A$1,$Z139,"")))</f>
        <v/>
      </c>
      <c r="AH139" s="497" t="str">
        <f>IF($X$49="WEEKS","",IF($Z139="Manual Entry hrs/wk","",IF($X$49&gt;'FORMULA REFS'!B$1,$Z139,"")))</f>
        <v/>
      </c>
      <c r="AI139" s="497" t="str">
        <f>IF($X$49="WEEKS","",IF($Z139="Manual Entry hrs/wk","",IF($X$49&gt;'FORMULA REFS'!C$1,$Z139,"")))</f>
        <v/>
      </c>
      <c r="AJ139" s="497" t="str">
        <f>IF($X$49="WEEKS","",IF($Z139="Manual Entry hrs/wk","",IF($X$49&gt;'FORMULA REFS'!D$1,$Z139,"")))</f>
        <v/>
      </c>
      <c r="AK139" s="497" t="str">
        <f>IF($X$49="WEEKS","",IF($Z139="Manual Entry hrs/wk","",IF($X$49&gt;'FORMULA REFS'!E$1,$Z139,"")))</f>
        <v/>
      </c>
      <c r="AL139" s="497" t="str">
        <f>IF($X$49="WEEKS","",IF($Z139="Manual Entry hrs/wk","",IF($X$49&gt;'FORMULA REFS'!F$1,$Z139,"")))</f>
        <v/>
      </c>
      <c r="AM139" s="497" t="str">
        <f>IF($X$49="WEEKS","",IF($Z139="Manual Entry hrs/wk","",IF($X$49&gt;'FORMULA REFS'!G$1,$Z139,"")))</f>
        <v/>
      </c>
      <c r="AN139" s="497" t="str">
        <f>IF($X$49="WEEKS","",IF($Z139="Manual Entry hrs/wk","",IF($X$49&gt;'FORMULA REFS'!H$1,$Z139,"")))</f>
        <v/>
      </c>
      <c r="AO139" s="497" t="str">
        <f>IF($X$49="WEEKS","",IF($Z139="Manual Entry hrs/wk","",IF($X$49&gt;'FORMULA REFS'!I$1,$Z139,"")))</f>
        <v/>
      </c>
      <c r="AP139" s="497" t="str">
        <f>IF($X$49="WEEKS","",IF($Z139="Manual Entry hrs/wk","",IF($X$49&gt;'FORMULA REFS'!J$1,$Z139,"")))</f>
        <v/>
      </c>
      <c r="AQ139" s="497" t="str">
        <f>IF($X$49="WEEKS","",IF($Z139="Manual Entry hrs/wk","",IF($X$49&gt;'FORMULA REFS'!K$1,$Z139,"")))</f>
        <v/>
      </c>
      <c r="AR139" s="497" t="str">
        <f>IF($X$49="WEEKS","",IF($Z139="Manual Entry hrs/wk","",IF($X$49&gt;'FORMULA REFS'!L$1,$Z139,"")))</f>
        <v/>
      </c>
      <c r="AS139" s="497" t="str">
        <f>IF($X$49="WEEKS","",IF($Z139="Manual Entry hrs/wk","",IF($X$49&gt;'FORMULA REFS'!M$1,$Z139,"")))</f>
        <v/>
      </c>
      <c r="AT139" s="497" t="str">
        <f>IF($X$49="WEEKS","",IF($Z139="Manual Entry hrs/wk","",IF($X$49&gt;'FORMULA REFS'!N$1,$Z139,"")))</f>
        <v/>
      </c>
      <c r="AU139" s="497" t="str">
        <f>IF($X$49="WEEKS","",IF($Z139="Manual Entry hrs/wk","",IF($X$49&gt;'FORMULA REFS'!O$1,$Z139,"")))</f>
        <v/>
      </c>
      <c r="AV139" s="497" t="str">
        <f>IF($X$49="WEEKS","",IF($Z139="Manual Entry hrs/wk","",IF($X$49&gt;'FORMULA REFS'!P$1,$Z139,"")))</f>
        <v/>
      </c>
      <c r="AW139" s="497" t="str">
        <f>IF($X$49="WEEKS","",IF($Z139="Manual Entry hrs/wk","",IF($X$49&gt;'FORMULA REFS'!Q$1,$Z139,"")))</f>
        <v/>
      </c>
      <c r="AX139" s="497" t="str">
        <f>IF($X$49="WEEKS","",IF($Z139="Manual Entry hrs/wk","",IF($X$49&gt;'FORMULA REFS'!R$1,$Z139,"")))</f>
        <v/>
      </c>
      <c r="AY139" s="497" t="str">
        <f>IF($X$49="WEEKS","",IF($Z139="Manual Entry hrs/wk","",IF($X$49&gt;'FORMULA REFS'!S$1,$Z139,"")))</f>
        <v/>
      </c>
      <c r="AZ139" s="497" t="str">
        <f>IF($X$49="WEEKS","",IF($Z139="Manual Entry hrs/wk","",IF($X$49&gt;'FORMULA REFS'!T$1,$Z139,"")))</f>
        <v/>
      </c>
      <c r="BA139" s="497" t="str">
        <f>IF($X$49="WEEKS","",IF($Z139="Manual Entry hrs/wk","",IF($X$49&gt;'FORMULA REFS'!U$1,$Z139,"")))</f>
        <v/>
      </c>
      <c r="BB139" s="497" t="str">
        <f>IF($X$49="WEEKS","",IF($Z139="Manual Entry hrs/wk","",IF($X$49&gt;'FORMULA REFS'!V$1,$Z139,"")))</f>
        <v/>
      </c>
      <c r="BC139" s="497" t="str">
        <f>IF($X$49="WEEKS","",IF($Z139="Manual Entry hrs/wk","",IF($X$49&gt;'FORMULA REFS'!W$1,$Z139,"")))</f>
        <v/>
      </c>
      <c r="BD139" s="497" t="str">
        <f>IF($X$49="WEEKS","",IF($Z139="Manual Entry hrs/wk","",IF($X$49&gt;'FORMULA REFS'!X$1,$Z139,"")))</f>
        <v/>
      </c>
      <c r="BE139" s="497" t="str">
        <f>IF($X$49="WEEKS","",IF($Z139="Manual Entry hrs/wk","",IF($X$49&gt;'FORMULA REFS'!Y$1,$Z139,"")))</f>
        <v/>
      </c>
      <c r="BF139" s="497" t="str">
        <f>IF($X$49="WEEKS","",IF($Z139="Manual Entry hrs/wk","",IF($X$49&gt;'FORMULA REFS'!Z$1,$Z139,"")))</f>
        <v/>
      </c>
      <c r="BG139" s="497" t="str">
        <f>IF($X$49="WEEKS","",IF($Z139="Manual Entry hrs/wk","",IF($X$49&gt;'FORMULA REFS'!AA$1,$Z139,"")))</f>
        <v/>
      </c>
      <c r="BH139" s="497" t="str">
        <f>IF($X$49="WEEKS","",IF($Z139="Manual Entry hrs/wk","",IF($X$49&gt;'FORMULA REFS'!AB$1,$Z139,"")))</f>
        <v/>
      </c>
      <c r="BI139" s="497" t="str">
        <f>IF($X$49="WEEKS","",IF($Z139="Manual Entry hrs/wk","",IF($X$49&gt;'FORMULA REFS'!AC$1,$Z139,"")))</f>
        <v/>
      </c>
      <c r="BJ139" s="497" t="str">
        <f>IF($X$49="WEEKS","",IF($Z139="Manual Entry hrs/wk","",IF($X$49&gt;'FORMULA REFS'!AD$1,$Z139,"")))</f>
        <v/>
      </c>
      <c r="BK139" s="497" t="str">
        <f>IF($X$49="WEEKS","",IF($Z139="Manual Entry hrs/wk","",IF($X$49&gt;'FORMULA REFS'!AE$1,$Z139,"")))</f>
        <v/>
      </c>
      <c r="BL139" s="497" t="str">
        <f>IF($X$49="WEEKS","",IF($Z139="Manual Entry hrs/wk","",IF($X$49&gt;'FORMULA REFS'!AF$1,$Z139,"")))</f>
        <v/>
      </c>
      <c r="BM139" s="497" t="str">
        <f>IF($X$49="WEEKS","",IF($Z139="Manual Entry hrs/wk","",IF($X$49&gt;'FORMULA REFS'!AG$1,$Z139,"")))</f>
        <v/>
      </c>
      <c r="BN139" s="497" t="str">
        <f>IF($X$49="WEEKS","",IF($Z139="Manual Entry hrs/wk","",IF($X$49&gt;'FORMULA REFS'!AH$1,$Z139,"")))</f>
        <v/>
      </c>
      <c r="BO139" s="497" t="str">
        <f>IF($X$49="WEEKS","",IF($Z139="Manual Entry hrs/wk","",IF($X$49&gt;'FORMULA REFS'!AI$1,$Z139,"")))</f>
        <v/>
      </c>
      <c r="BP139" s="497" t="str">
        <f>IF($X$49="WEEKS","",IF($Z139="Manual Entry hrs/wk","",IF($X$49&gt;'FORMULA REFS'!AJ$1,$Z139,"")))</f>
        <v/>
      </c>
      <c r="BQ139" s="497" t="str">
        <f>IF($X$49="WEEKS","",IF($Z139="Manual Entry hrs/wk","",IF($X$49&gt;'FORMULA REFS'!AK$1,$Z139,"")))</f>
        <v/>
      </c>
      <c r="BR139" s="497" t="str">
        <f>IF($X$49="WEEKS","",IF($Z139="Manual Entry hrs/wk","",IF($X$49&gt;'FORMULA REFS'!AL$1,$Z139,"")))</f>
        <v/>
      </c>
      <c r="BS139" s="497" t="str">
        <f>IF($X$49="WEEKS","",IF($Z139="Manual Entry hrs/wk","",IF($X$49&gt;'FORMULA REFS'!AM$1,$Z139,"")))</f>
        <v/>
      </c>
      <c r="BT139" s="497" t="str">
        <f>IF($X$49="WEEKS","",IF($Z139="Manual Entry hrs/wk","",IF($X$49&gt;'FORMULA REFS'!AN$1,$Z139,"")))</f>
        <v/>
      </c>
      <c r="BU139" s="497" t="str">
        <f>IF($X$49="WEEKS","",IF($Z139="Manual Entry hrs/wk","",IF($X$49&gt;'FORMULA REFS'!AO$1,$Z139,"")))</f>
        <v/>
      </c>
      <c r="BV139" s="497" t="str">
        <f>IF($X$49="WEEKS","",IF($Z139="Manual Entry hrs/wk","",IF($X$49&gt;'FORMULA REFS'!AP$1,$Z139,"")))</f>
        <v/>
      </c>
      <c r="BW139" s="497" t="str">
        <f>IF($X$49="WEEKS","",IF($Z139="Manual Entry hrs/wk","",IF($X$49&gt;'FORMULA REFS'!AQ$1,$Z139,"")))</f>
        <v/>
      </c>
      <c r="BX139" s="497" t="str">
        <f>IF($X$49="WEEKS","",IF($Z139="Manual Entry hrs/wk","",IF($X$49&gt;'FORMULA REFS'!AR$1,$Z139,"")))</f>
        <v/>
      </c>
      <c r="BY139" s="497" t="str">
        <f>IF($X$49="WEEKS","",IF($Z139="Manual Entry hrs/wk","",IF($X$49&gt;'FORMULA REFS'!AS$1,$Z139,"")))</f>
        <v/>
      </c>
      <c r="BZ139" s="497" t="str">
        <f>IF($X$49="WEEKS","",IF($Z139="Manual Entry hrs/wk","",IF($X$49&gt;'FORMULA REFS'!AT$1,$Z139,"")))</f>
        <v/>
      </c>
      <c r="CA139" s="497" t="str">
        <f>IF($X$49="WEEKS","",IF($Z139="Manual Entry hrs/wk","",IF($X$49&gt;'FORMULA REFS'!AU$1,$Z139,"")))</f>
        <v/>
      </c>
      <c r="CB139" s="497" t="str">
        <f>IF($X$49="WEEKS","",IF($Z139="Manual Entry hrs/wk","",IF($X$49&gt;'FORMULA REFS'!AV$1,$Z139,"")))</f>
        <v/>
      </c>
      <c r="CC139" s="497" t="str">
        <f>IF($X$49="WEEKS","",IF($Z139="Manual Entry hrs/wk","",IF($X$49&gt;'FORMULA REFS'!AW$1,$Z139,"")))</f>
        <v/>
      </c>
      <c r="CD139" s="497" t="str">
        <f>IF($X$49="WEEKS","",IF($Z139="Manual Entry hrs/wk","",IF($X$49&gt;'FORMULA REFS'!AX$1,$Z139,"")))</f>
        <v/>
      </c>
      <c r="CE139" s="497" t="str">
        <f>IF($X$49="WEEKS","",IF($Z139="Manual Entry hrs/wk","",IF($X$49&gt;'FORMULA REFS'!AY$1,$Z139,"")))</f>
        <v/>
      </c>
      <c r="CF139" s="497" t="str">
        <f>IF($X$49="WEEKS","",IF($Z139="Manual Entry hrs/wk","",IF($X$49&gt;'FORMULA REFS'!AZ$1,$Z139,"")))</f>
        <v/>
      </c>
      <c r="CG139" s="113"/>
      <c r="CH139" s="349" t="str">
        <f t="shared" si="20"/>
        <v/>
      </c>
      <c r="CI139" s="349"/>
      <c r="CJ139" s="349"/>
      <c r="CK139" s="349"/>
      <c r="CL139" s="350"/>
    </row>
    <row r="140" spans="2:90" hidden="1" outlineLevel="3" x14ac:dyDescent="0.3">
      <c r="B140">
        <v>91</v>
      </c>
      <c r="C140" s="346"/>
      <c r="D140" s="495"/>
      <c r="E140" s="346"/>
      <c r="F140" s="346" t="str">
        <f>IFERROR(_xlfn.XLOOKUP(E140,'Standard Rate Cards'!$BB$11:$BB$23,'Standard Rate Cards'!$BA$11:$BA$23),"")</f>
        <v/>
      </c>
      <c r="G140" s="346"/>
      <c r="H140" s="346" t="str">
        <f>IFERROR(_xlfn.XLOOKUP(G140,'Standard Rate Cards'!$AP$8:$AP$142,'Standard Rate Cards'!$AQ$8:$AQ$142),"")</f>
        <v/>
      </c>
      <c r="I140" s="346"/>
      <c r="J140" s="346"/>
      <c r="K140" s="496"/>
      <c r="L140" s="496" t="str">
        <f t="shared" si="21"/>
        <v xml:space="preserve"> </v>
      </c>
      <c r="M140" s="496" t="str" cm="1">
        <f t="array" ref="M140">IF(ISBLANK(D140),"",IF(D140&lt;&gt;"CrederaUS",INDEX('Standard Rate Cards'!$D$9:$D$433,MATCH(1,('Standard Rate Cards'!$B$9:$B$433='2. Pricing &amp; Import'!D140)*('Standard Rate Cards'!$C$9:$C$433='2. Pricing &amp; Import'!K140),0)),INDEX('Standard Rate Cards'!$D$9:$D$433,MATCH(1,('Standard Rate Cards'!$B$9:$B$433='2. Pricing &amp; Import'!D140)*('Standard Rate Cards'!$C$9:$C$433='2. Pricing &amp; Import'!K140)*('Standard Rate Cards'!$H$9:$H$433=L140),0))))</f>
        <v/>
      </c>
      <c r="N140" s="347"/>
      <c r="O140" s="110" t="str">
        <f>IF(ISBLANK(K140)," ",_xlfn.XLOOKUP(K140,'Standard Rate Cards'!C:C,'Standard Rate Cards'!H:H))</f>
        <v xml:space="preserve"> </v>
      </c>
      <c r="P140" s="246" t="str">
        <f>IF(ISBLANK($K140)," ",_xlfn.XLOOKUP($K140,'Standard Rate Cards'!C:C,'Standard Rate Cards'!F:F))</f>
        <v xml:space="preserve"> </v>
      </c>
      <c r="Q140" s="348"/>
      <c r="R140" s="250"/>
      <c r="S140" s="250"/>
      <c r="T140" s="614"/>
      <c r="U140" s="1637"/>
      <c r="V140" s="1638"/>
      <c r="W140" s="614"/>
      <c r="X140" s="681" t="str">
        <f t="shared" si="22"/>
        <v/>
      </c>
      <c r="Y140" s="682" t="str">
        <f t="shared" si="23"/>
        <v/>
      </c>
      <c r="Z140" s="1630" t="s">
        <v>309</v>
      </c>
      <c r="AA140" s="1631"/>
      <c r="AB140" s="94"/>
      <c r="AC140" s="94"/>
      <c r="AD140" s="94"/>
      <c r="AE140" s="94"/>
      <c r="AF140" s="94"/>
      <c r="AG140" s="497" t="str">
        <f>IF($X$49="WEEKS","",IF($Z140="Manual Entry hrs/wk","",IF($X$49&gt;'FORMULA REFS'!A$1,$Z140,"")))</f>
        <v/>
      </c>
      <c r="AH140" s="497" t="str">
        <f>IF($X$49="WEEKS","",IF($Z140="Manual Entry hrs/wk","",IF($X$49&gt;'FORMULA REFS'!B$1,$Z140,"")))</f>
        <v/>
      </c>
      <c r="AI140" s="497" t="str">
        <f>IF($X$49="WEEKS","",IF($Z140="Manual Entry hrs/wk","",IF($X$49&gt;'FORMULA REFS'!C$1,$Z140,"")))</f>
        <v/>
      </c>
      <c r="AJ140" s="497" t="str">
        <f>IF($X$49="WEEKS","",IF($Z140="Manual Entry hrs/wk","",IF($X$49&gt;'FORMULA REFS'!D$1,$Z140,"")))</f>
        <v/>
      </c>
      <c r="AK140" s="497" t="str">
        <f>IF($X$49="WEEKS","",IF($Z140="Manual Entry hrs/wk","",IF($X$49&gt;'FORMULA REFS'!E$1,$Z140,"")))</f>
        <v/>
      </c>
      <c r="AL140" s="497" t="str">
        <f>IF($X$49="WEEKS","",IF($Z140="Manual Entry hrs/wk","",IF($X$49&gt;'FORMULA REFS'!F$1,$Z140,"")))</f>
        <v/>
      </c>
      <c r="AM140" s="497" t="str">
        <f>IF($X$49="WEEKS","",IF($Z140="Manual Entry hrs/wk","",IF($X$49&gt;'FORMULA REFS'!G$1,$Z140,"")))</f>
        <v/>
      </c>
      <c r="AN140" s="497" t="str">
        <f>IF($X$49="WEEKS","",IF($Z140="Manual Entry hrs/wk","",IF($X$49&gt;'FORMULA REFS'!H$1,$Z140,"")))</f>
        <v/>
      </c>
      <c r="AO140" s="497" t="str">
        <f>IF($X$49="WEEKS","",IF($Z140="Manual Entry hrs/wk","",IF($X$49&gt;'FORMULA REFS'!I$1,$Z140,"")))</f>
        <v/>
      </c>
      <c r="AP140" s="497" t="str">
        <f>IF($X$49="WEEKS","",IF($Z140="Manual Entry hrs/wk","",IF($X$49&gt;'FORMULA REFS'!J$1,$Z140,"")))</f>
        <v/>
      </c>
      <c r="AQ140" s="497" t="str">
        <f>IF($X$49="WEEKS","",IF($Z140="Manual Entry hrs/wk","",IF($X$49&gt;'FORMULA REFS'!K$1,$Z140,"")))</f>
        <v/>
      </c>
      <c r="AR140" s="497" t="str">
        <f>IF($X$49="WEEKS","",IF($Z140="Manual Entry hrs/wk","",IF($X$49&gt;'FORMULA REFS'!L$1,$Z140,"")))</f>
        <v/>
      </c>
      <c r="AS140" s="497" t="str">
        <f>IF($X$49="WEEKS","",IF($Z140="Manual Entry hrs/wk","",IF($X$49&gt;'FORMULA REFS'!M$1,$Z140,"")))</f>
        <v/>
      </c>
      <c r="AT140" s="497" t="str">
        <f>IF($X$49="WEEKS","",IF($Z140="Manual Entry hrs/wk","",IF($X$49&gt;'FORMULA REFS'!N$1,$Z140,"")))</f>
        <v/>
      </c>
      <c r="AU140" s="497" t="str">
        <f>IF($X$49="WEEKS","",IF($Z140="Manual Entry hrs/wk","",IF($X$49&gt;'FORMULA REFS'!O$1,$Z140,"")))</f>
        <v/>
      </c>
      <c r="AV140" s="497" t="str">
        <f>IF($X$49="WEEKS","",IF($Z140="Manual Entry hrs/wk","",IF($X$49&gt;'FORMULA REFS'!P$1,$Z140,"")))</f>
        <v/>
      </c>
      <c r="AW140" s="497" t="str">
        <f>IF($X$49="WEEKS","",IF($Z140="Manual Entry hrs/wk","",IF($X$49&gt;'FORMULA REFS'!Q$1,$Z140,"")))</f>
        <v/>
      </c>
      <c r="AX140" s="497" t="str">
        <f>IF($X$49="WEEKS","",IF($Z140="Manual Entry hrs/wk","",IF($X$49&gt;'FORMULA REFS'!R$1,$Z140,"")))</f>
        <v/>
      </c>
      <c r="AY140" s="497" t="str">
        <f>IF($X$49="WEEKS","",IF($Z140="Manual Entry hrs/wk","",IF($X$49&gt;'FORMULA REFS'!S$1,$Z140,"")))</f>
        <v/>
      </c>
      <c r="AZ140" s="497" t="str">
        <f>IF($X$49="WEEKS","",IF($Z140="Manual Entry hrs/wk","",IF($X$49&gt;'FORMULA REFS'!T$1,$Z140,"")))</f>
        <v/>
      </c>
      <c r="BA140" s="497" t="str">
        <f>IF($X$49="WEEKS","",IF($Z140="Manual Entry hrs/wk","",IF($X$49&gt;'FORMULA REFS'!U$1,$Z140,"")))</f>
        <v/>
      </c>
      <c r="BB140" s="497" t="str">
        <f>IF($X$49="WEEKS","",IF($Z140="Manual Entry hrs/wk","",IF($X$49&gt;'FORMULA REFS'!V$1,$Z140,"")))</f>
        <v/>
      </c>
      <c r="BC140" s="497" t="str">
        <f>IF($X$49="WEEKS","",IF($Z140="Manual Entry hrs/wk","",IF($X$49&gt;'FORMULA REFS'!W$1,$Z140,"")))</f>
        <v/>
      </c>
      <c r="BD140" s="497" t="str">
        <f>IF($X$49="WEEKS","",IF($Z140="Manual Entry hrs/wk","",IF($X$49&gt;'FORMULA REFS'!X$1,$Z140,"")))</f>
        <v/>
      </c>
      <c r="BE140" s="497" t="str">
        <f>IF($X$49="WEEKS","",IF($Z140="Manual Entry hrs/wk","",IF($X$49&gt;'FORMULA REFS'!Y$1,$Z140,"")))</f>
        <v/>
      </c>
      <c r="BF140" s="497" t="str">
        <f>IF($X$49="WEEKS","",IF($Z140="Manual Entry hrs/wk","",IF($X$49&gt;'FORMULA REFS'!Z$1,$Z140,"")))</f>
        <v/>
      </c>
      <c r="BG140" s="497" t="str">
        <f>IF($X$49="WEEKS","",IF($Z140="Manual Entry hrs/wk","",IF($X$49&gt;'FORMULA REFS'!AA$1,$Z140,"")))</f>
        <v/>
      </c>
      <c r="BH140" s="497" t="str">
        <f>IF($X$49="WEEKS","",IF($Z140="Manual Entry hrs/wk","",IF($X$49&gt;'FORMULA REFS'!AB$1,$Z140,"")))</f>
        <v/>
      </c>
      <c r="BI140" s="497" t="str">
        <f>IF($X$49="WEEKS","",IF($Z140="Manual Entry hrs/wk","",IF($X$49&gt;'FORMULA REFS'!AC$1,$Z140,"")))</f>
        <v/>
      </c>
      <c r="BJ140" s="497" t="str">
        <f>IF($X$49="WEEKS","",IF($Z140="Manual Entry hrs/wk","",IF($X$49&gt;'FORMULA REFS'!AD$1,$Z140,"")))</f>
        <v/>
      </c>
      <c r="BK140" s="497" t="str">
        <f>IF($X$49="WEEKS","",IF($Z140="Manual Entry hrs/wk","",IF($X$49&gt;'FORMULA REFS'!AE$1,$Z140,"")))</f>
        <v/>
      </c>
      <c r="BL140" s="497" t="str">
        <f>IF($X$49="WEEKS","",IF($Z140="Manual Entry hrs/wk","",IF($X$49&gt;'FORMULA REFS'!AF$1,$Z140,"")))</f>
        <v/>
      </c>
      <c r="BM140" s="497" t="str">
        <f>IF($X$49="WEEKS","",IF($Z140="Manual Entry hrs/wk","",IF($X$49&gt;'FORMULA REFS'!AG$1,$Z140,"")))</f>
        <v/>
      </c>
      <c r="BN140" s="497" t="str">
        <f>IF($X$49="WEEKS","",IF($Z140="Manual Entry hrs/wk","",IF($X$49&gt;'FORMULA REFS'!AH$1,$Z140,"")))</f>
        <v/>
      </c>
      <c r="BO140" s="497" t="str">
        <f>IF($X$49="WEEKS","",IF($Z140="Manual Entry hrs/wk","",IF($X$49&gt;'FORMULA REFS'!AI$1,$Z140,"")))</f>
        <v/>
      </c>
      <c r="BP140" s="497" t="str">
        <f>IF($X$49="WEEKS","",IF($Z140="Manual Entry hrs/wk","",IF($X$49&gt;'FORMULA REFS'!AJ$1,$Z140,"")))</f>
        <v/>
      </c>
      <c r="BQ140" s="497" t="str">
        <f>IF($X$49="WEEKS","",IF($Z140="Manual Entry hrs/wk","",IF($X$49&gt;'FORMULA REFS'!AK$1,$Z140,"")))</f>
        <v/>
      </c>
      <c r="BR140" s="497" t="str">
        <f>IF($X$49="WEEKS","",IF($Z140="Manual Entry hrs/wk","",IF($X$49&gt;'FORMULA REFS'!AL$1,$Z140,"")))</f>
        <v/>
      </c>
      <c r="BS140" s="497" t="str">
        <f>IF($X$49="WEEKS","",IF($Z140="Manual Entry hrs/wk","",IF($X$49&gt;'FORMULA REFS'!AM$1,$Z140,"")))</f>
        <v/>
      </c>
      <c r="BT140" s="497" t="str">
        <f>IF($X$49="WEEKS","",IF($Z140="Manual Entry hrs/wk","",IF($X$49&gt;'FORMULA REFS'!AN$1,$Z140,"")))</f>
        <v/>
      </c>
      <c r="BU140" s="497" t="str">
        <f>IF($X$49="WEEKS","",IF($Z140="Manual Entry hrs/wk","",IF($X$49&gt;'FORMULA REFS'!AO$1,$Z140,"")))</f>
        <v/>
      </c>
      <c r="BV140" s="497" t="str">
        <f>IF($X$49="WEEKS","",IF($Z140="Manual Entry hrs/wk","",IF($X$49&gt;'FORMULA REFS'!AP$1,$Z140,"")))</f>
        <v/>
      </c>
      <c r="BW140" s="497" t="str">
        <f>IF($X$49="WEEKS","",IF($Z140="Manual Entry hrs/wk","",IF($X$49&gt;'FORMULA REFS'!AQ$1,$Z140,"")))</f>
        <v/>
      </c>
      <c r="BX140" s="497" t="str">
        <f>IF($X$49="WEEKS","",IF($Z140="Manual Entry hrs/wk","",IF($X$49&gt;'FORMULA REFS'!AR$1,$Z140,"")))</f>
        <v/>
      </c>
      <c r="BY140" s="497" t="str">
        <f>IF($X$49="WEEKS","",IF($Z140="Manual Entry hrs/wk","",IF($X$49&gt;'FORMULA REFS'!AS$1,$Z140,"")))</f>
        <v/>
      </c>
      <c r="BZ140" s="497" t="str">
        <f>IF($X$49="WEEKS","",IF($Z140="Manual Entry hrs/wk","",IF($X$49&gt;'FORMULA REFS'!AT$1,$Z140,"")))</f>
        <v/>
      </c>
      <c r="CA140" s="497" t="str">
        <f>IF($X$49="WEEKS","",IF($Z140="Manual Entry hrs/wk","",IF($X$49&gt;'FORMULA REFS'!AU$1,$Z140,"")))</f>
        <v/>
      </c>
      <c r="CB140" s="497" t="str">
        <f>IF($X$49="WEEKS","",IF($Z140="Manual Entry hrs/wk","",IF($X$49&gt;'FORMULA REFS'!AV$1,$Z140,"")))</f>
        <v/>
      </c>
      <c r="CC140" s="497" t="str">
        <f>IF($X$49="WEEKS","",IF($Z140="Manual Entry hrs/wk","",IF($X$49&gt;'FORMULA REFS'!AW$1,$Z140,"")))</f>
        <v/>
      </c>
      <c r="CD140" s="497" t="str">
        <f>IF($X$49="WEEKS","",IF($Z140="Manual Entry hrs/wk","",IF($X$49&gt;'FORMULA REFS'!AX$1,$Z140,"")))</f>
        <v/>
      </c>
      <c r="CE140" s="497" t="str">
        <f>IF($X$49="WEEKS","",IF($Z140="Manual Entry hrs/wk","",IF($X$49&gt;'FORMULA REFS'!AY$1,$Z140,"")))</f>
        <v/>
      </c>
      <c r="CF140" s="497" t="str">
        <f>IF($X$49="WEEKS","",IF($Z140="Manual Entry hrs/wk","",IF($X$49&gt;'FORMULA REFS'!AZ$1,$Z140,"")))</f>
        <v/>
      </c>
      <c r="CG140" s="113"/>
      <c r="CH140" s="349" t="str">
        <f t="shared" si="20"/>
        <v/>
      </c>
      <c r="CI140" s="349">
        <f>IFERROR((_xlfn.XLOOKUP($M140,'Standard Rate Cards'!D:D,'Standard Rate Cards'!E:E))*AA140,0)</f>
        <v>0</v>
      </c>
      <c r="CJ140" s="349">
        <f>IFERROR(IF($M140="",0,IF($D$16="Client Custom Rates",0,IF($D$16="Standard Rates",_xlfn.XLOOKUP($M140,'Standard Rate Cards'!$D:$D,'Standard Rate Cards'!G:G)))),0)</f>
        <v>0</v>
      </c>
      <c r="CK140" s="349" cm="1">
        <f t="array" ref="CK140">IFERROR(IF($D$16&lt;&gt;"Client Custom Rates",0,INDEX('Client Rate Cards'!E:E,MATCH(1,('Client Rate Cards'!A:A='2. Pricing &amp; Import'!$D$9)*('Client Rate Cards'!D:D='2. Pricing &amp; Import'!N140),0))),0)</f>
        <v>0</v>
      </c>
      <c r="CL140" s="350"/>
    </row>
    <row r="141" spans="2:90" hidden="1" outlineLevel="3" x14ac:dyDescent="0.3">
      <c r="B141">
        <v>92</v>
      </c>
      <c r="C141" s="346"/>
      <c r="D141" s="495"/>
      <c r="E141" s="346"/>
      <c r="F141" s="346" t="str">
        <f>IFERROR(_xlfn.XLOOKUP(E141,'Standard Rate Cards'!$BB$11:$BB$23,'Standard Rate Cards'!$BA$11:$BA$23),"")</f>
        <v/>
      </c>
      <c r="G141" s="346"/>
      <c r="H141" s="346" t="str">
        <f>IFERROR(_xlfn.XLOOKUP(G141,'Standard Rate Cards'!$AP$8:$AP$142,'Standard Rate Cards'!$AQ$8:$AQ$142),"")</f>
        <v/>
      </c>
      <c r="I141" s="346"/>
      <c r="J141" s="346"/>
      <c r="K141" s="496"/>
      <c r="L141" s="496" t="str">
        <f t="shared" si="21"/>
        <v xml:space="preserve"> </v>
      </c>
      <c r="M141" s="496" t="str" cm="1">
        <f t="array" ref="M141">IF(ISBLANK(D141),"",IF(D141&lt;&gt;"CrederaUS",INDEX('Standard Rate Cards'!$D$9:$D$433,MATCH(1,('Standard Rate Cards'!$B$9:$B$433='2. Pricing &amp; Import'!D141)*('Standard Rate Cards'!$C$9:$C$433='2. Pricing &amp; Import'!K141),0)),INDEX('Standard Rate Cards'!$D$9:$D$433,MATCH(1,('Standard Rate Cards'!$B$9:$B$433='2. Pricing &amp; Import'!D141)*('Standard Rate Cards'!$C$9:$C$433='2. Pricing &amp; Import'!K141)*('Standard Rate Cards'!$H$9:$H$433=L141),0))))</f>
        <v/>
      </c>
      <c r="N141" s="347"/>
      <c r="O141" s="110" t="str">
        <f>IF(ISBLANK(K141)," ",_xlfn.XLOOKUP(K141,'Standard Rate Cards'!C:C,'Standard Rate Cards'!H:H))</f>
        <v xml:space="preserve"> </v>
      </c>
      <c r="P141" s="246" t="str">
        <f>IF(ISBLANK($K141)," ",_xlfn.XLOOKUP($K141,'Standard Rate Cards'!C:C,'Standard Rate Cards'!F:F))</f>
        <v xml:space="preserve"> </v>
      </c>
      <c r="Q141" s="348"/>
      <c r="R141" s="250"/>
      <c r="S141" s="250"/>
      <c r="T141" s="614"/>
      <c r="U141" s="1637"/>
      <c r="V141" s="1638"/>
      <c r="W141" s="614"/>
      <c r="X141" s="681" t="str">
        <f t="shared" si="22"/>
        <v/>
      </c>
      <c r="Y141" s="682" t="str">
        <f t="shared" si="23"/>
        <v/>
      </c>
      <c r="Z141" s="1630" t="s">
        <v>309</v>
      </c>
      <c r="AA141" s="1631"/>
      <c r="AB141" s="94"/>
      <c r="AC141" s="94"/>
      <c r="AD141" s="94"/>
      <c r="AE141" s="94"/>
      <c r="AF141" s="94"/>
      <c r="AG141" s="497" t="str">
        <f>IF($X$49="WEEKS","",IF($Z141="Manual Entry hrs/wk","",IF($X$49&gt;'FORMULA REFS'!A$1,$Z141,"")))</f>
        <v/>
      </c>
      <c r="AH141" s="497" t="str">
        <f>IF($X$49="WEEKS","",IF($Z141="Manual Entry hrs/wk","",IF($X$49&gt;'FORMULA REFS'!B$1,$Z141,"")))</f>
        <v/>
      </c>
      <c r="AI141" s="497" t="str">
        <f>IF($X$49="WEEKS","",IF($Z141="Manual Entry hrs/wk","",IF($X$49&gt;'FORMULA REFS'!C$1,$Z141,"")))</f>
        <v/>
      </c>
      <c r="AJ141" s="497" t="str">
        <f>IF($X$49="WEEKS","",IF($Z141="Manual Entry hrs/wk","",IF($X$49&gt;'FORMULA REFS'!D$1,$Z141,"")))</f>
        <v/>
      </c>
      <c r="AK141" s="497" t="str">
        <f>IF($X$49="WEEKS","",IF($Z141="Manual Entry hrs/wk","",IF($X$49&gt;'FORMULA REFS'!E$1,$Z141,"")))</f>
        <v/>
      </c>
      <c r="AL141" s="497" t="str">
        <f>IF($X$49="WEEKS","",IF($Z141="Manual Entry hrs/wk","",IF($X$49&gt;'FORMULA REFS'!F$1,$Z141,"")))</f>
        <v/>
      </c>
      <c r="AM141" s="497" t="str">
        <f>IF($X$49="WEEKS","",IF($Z141="Manual Entry hrs/wk","",IF($X$49&gt;'FORMULA REFS'!G$1,$Z141,"")))</f>
        <v/>
      </c>
      <c r="AN141" s="497" t="str">
        <f>IF($X$49="WEEKS","",IF($Z141="Manual Entry hrs/wk","",IF($X$49&gt;'FORMULA REFS'!H$1,$Z141,"")))</f>
        <v/>
      </c>
      <c r="AO141" s="497" t="str">
        <f>IF($X$49="WEEKS","",IF($Z141="Manual Entry hrs/wk","",IF($X$49&gt;'FORMULA REFS'!I$1,$Z141,"")))</f>
        <v/>
      </c>
      <c r="AP141" s="497" t="str">
        <f>IF($X$49="WEEKS","",IF($Z141="Manual Entry hrs/wk","",IF($X$49&gt;'FORMULA REFS'!J$1,$Z141,"")))</f>
        <v/>
      </c>
      <c r="AQ141" s="497" t="str">
        <f>IF($X$49="WEEKS","",IF($Z141="Manual Entry hrs/wk","",IF($X$49&gt;'FORMULA REFS'!K$1,$Z141,"")))</f>
        <v/>
      </c>
      <c r="AR141" s="497" t="str">
        <f>IF($X$49="WEEKS","",IF($Z141="Manual Entry hrs/wk","",IF($X$49&gt;'FORMULA REFS'!L$1,$Z141,"")))</f>
        <v/>
      </c>
      <c r="AS141" s="497" t="str">
        <f>IF($X$49="WEEKS","",IF($Z141="Manual Entry hrs/wk","",IF($X$49&gt;'FORMULA REFS'!M$1,$Z141,"")))</f>
        <v/>
      </c>
      <c r="AT141" s="497" t="str">
        <f>IF($X$49="WEEKS","",IF($Z141="Manual Entry hrs/wk","",IF($X$49&gt;'FORMULA REFS'!N$1,$Z141,"")))</f>
        <v/>
      </c>
      <c r="AU141" s="497" t="str">
        <f>IF($X$49="WEEKS","",IF($Z141="Manual Entry hrs/wk","",IF($X$49&gt;'FORMULA REFS'!O$1,$Z141,"")))</f>
        <v/>
      </c>
      <c r="AV141" s="497" t="str">
        <f>IF($X$49="WEEKS","",IF($Z141="Manual Entry hrs/wk","",IF($X$49&gt;'FORMULA REFS'!P$1,$Z141,"")))</f>
        <v/>
      </c>
      <c r="AW141" s="497" t="str">
        <f>IF($X$49="WEEKS","",IF($Z141="Manual Entry hrs/wk","",IF($X$49&gt;'FORMULA REFS'!Q$1,$Z141,"")))</f>
        <v/>
      </c>
      <c r="AX141" s="497" t="str">
        <f>IF($X$49="WEEKS","",IF($Z141="Manual Entry hrs/wk","",IF($X$49&gt;'FORMULA REFS'!R$1,$Z141,"")))</f>
        <v/>
      </c>
      <c r="AY141" s="497" t="str">
        <f>IF($X$49="WEEKS","",IF($Z141="Manual Entry hrs/wk","",IF($X$49&gt;'FORMULA REFS'!S$1,$Z141,"")))</f>
        <v/>
      </c>
      <c r="AZ141" s="497" t="str">
        <f>IF($X$49="WEEKS","",IF($Z141="Manual Entry hrs/wk","",IF($X$49&gt;'FORMULA REFS'!T$1,$Z141,"")))</f>
        <v/>
      </c>
      <c r="BA141" s="497" t="str">
        <f>IF($X$49="WEEKS","",IF($Z141="Manual Entry hrs/wk","",IF($X$49&gt;'FORMULA REFS'!U$1,$Z141,"")))</f>
        <v/>
      </c>
      <c r="BB141" s="497" t="str">
        <f>IF($X$49="WEEKS","",IF($Z141="Manual Entry hrs/wk","",IF($X$49&gt;'FORMULA REFS'!V$1,$Z141,"")))</f>
        <v/>
      </c>
      <c r="BC141" s="497" t="str">
        <f>IF($X$49="WEEKS","",IF($Z141="Manual Entry hrs/wk","",IF($X$49&gt;'FORMULA REFS'!W$1,$Z141,"")))</f>
        <v/>
      </c>
      <c r="BD141" s="497" t="str">
        <f>IF($X$49="WEEKS","",IF($Z141="Manual Entry hrs/wk","",IF($X$49&gt;'FORMULA REFS'!X$1,$Z141,"")))</f>
        <v/>
      </c>
      <c r="BE141" s="497" t="str">
        <f>IF($X$49="WEEKS","",IF($Z141="Manual Entry hrs/wk","",IF($X$49&gt;'FORMULA REFS'!Y$1,$Z141,"")))</f>
        <v/>
      </c>
      <c r="BF141" s="497" t="str">
        <f>IF($X$49="WEEKS","",IF($Z141="Manual Entry hrs/wk","",IF($X$49&gt;'FORMULA REFS'!Z$1,$Z141,"")))</f>
        <v/>
      </c>
      <c r="BG141" s="497" t="str">
        <f>IF($X$49="WEEKS","",IF($Z141="Manual Entry hrs/wk","",IF($X$49&gt;'FORMULA REFS'!AA$1,$Z141,"")))</f>
        <v/>
      </c>
      <c r="BH141" s="497" t="str">
        <f>IF($X$49="WEEKS","",IF($Z141="Manual Entry hrs/wk","",IF($X$49&gt;'FORMULA REFS'!AB$1,$Z141,"")))</f>
        <v/>
      </c>
      <c r="BI141" s="497" t="str">
        <f>IF($X$49="WEEKS","",IF($Z141="Manual Entry hrs/wk","",IF($X$49&gt;'FORMULA REFS'!AC$1,$Z141,"")))</f>
        <v/>
      </c>
      <c r="BJ141" s="497" t="str">
        <f>IF($X$49="WEEKS","",IF($Z141="Manual Entry hrs/wk","",IF($X$49&gt;'FORMULA REFS'!AD$1,$Z141,"")))</f>
        <v/>
      </c>
      <c r="BK141" s="497" t="str">
        <f>IF($X$49="WEEKS","",IF($Z141="Manual Entry hrs/wk","",IF($X$49&gt;'FORMULA REFS'!AE$1,$Z141,"")))</f>
        <v/>
      </c>
      <c r="BL141" s="497" t="str">
        <f>IF($X$49="WEEKS","",IF($Z141="Manual Entry hrs/wk","",IF($X$49&gt;'FORMULA REFS'!AF$1,$Z141,"")))</f>
        <v/>
      </c>
      <c r="BM141" s="497" t="str">
        <f>IF($X$49="WEEKS","",IF($Z141="Manual Entry hrs/wk","",IF($X$49&gt;'FORMULA REFS'!AG$1,$Z141,"")))</f>
        <v/>
      </c>
      <c r="BN141" s="497" t="str">
        <f>IF($X$49="WEEKS","",IF($Z141="Manual Entry hrs/wk","",IF($X$49&gt;'FORMULA REFS'!AH$1,$Z141,"")))</f>
        <v/>
      </c>
      <c r="BO141" s="497" t="str">
        <f>IF($X$49="WEEKS","",IF($Z141="Manual Entry hrs/wk","",IF($X$49&gt;'FORMULA REFS'!AI$1,$Z141,"")))</f>
        <v/>
      </c>
      <c r="BP141" s="497" t="str">
        <f>IF($X$49="WEEKS","",IF($Z141="Manual Entry hrs/wk","",IF($X$49&gt;'FORMULA REFS'!AJ$1,$Z141,"")))</f>
        <v/>
      </c>
      <c r="BQ141" s="497" t="str">
        <f>IF($X$49="WEEKS","",IF($Z141="Manual Entry hrs/wk","",IF($X$49&gt;'FORMULA REFS'!AK$1,$Z141,"")))</f>
        <v/>
      </c>
      <c r="BR141" s="497" t="str">
        <f>IF($X$49="WEEKS","",IF($Z141="Manual Entry hrs/wk","",IF($X$49&gt;'FORMULA REFS'!AL$1,$Z141,"")))</f>
        <v/>
      </c>
      <c r="BS141" s="497" t="str">
        <f>IF($X$49="WEEKS","",IF($Z141="Manual Entry hrs/wk","",IF($X$49&gt;'FORMULA REFS'!AM$1,$Z141,"")))</f>
        <v/>
      </c>
      <c r="BT141" s="497" t="str">
        <f>IF($X$49="WEEKS","",IF($Z141="Manual Entry hrs/wk","",IF($X$49&gt;'FORMULA REFS'!AN$1,$Z141,"")))</f>
        <v/>
      </c>
      <c r="BU141" s="497" t="str">
        <f>IF($X$49="WEEKS","",IF($Z141="Manual Entry hrs/wk","",IF($X$49&gt;'FORMULA REFS'!AO$1,$Z141,"")))</f>
        <v/>
      </c>
      <c r="BV141" s="497" t="str">
        <f>IF($X$49="WEEKS","",IF($Z141="Manual Entry hrs/wk","",IF($X$49&gt;'FORMULA REFS'!AP$1,$Z141,"")))</f>
        <v/>
      </c>
      <c r="BW141" s="497" t="str">
        <f>IF($X$49="WEEKS","",IF($Z141="Manual Entry hrs/wk","",IF($X$49&gt;'FORMULA REFS'!AQ$1,$Z141,"")))</f>
        <v/>
      </c>
      <c r="BX141" s="497" t="str">
        <f>IF($X$49="WEEKS","",IF($Z141="Manual Entry hrs/wk","",IF($X$49&gt;'FORMULA REFS'!AR$1,$Z141,"")))</f>
        <v/>
      </c>
      <c r="BY141" s="497" t="str">
        <f>IF($X$49="WEEKS","",IF($Z141="Manual Entry hrs/wk","",IF($X$49&gt;'FORMULA REFS'!AS$1,$Z141,"")))</f>
        <v/>
      </c>
      <c r="BZ141" s="497" t="str">
        <f>IF($X$49="WEEKS","",IF($Z141="Manual Entry hrs/wk","",IF($X$49&gt;'FORMULA REFS'!AT$1,$Z141,"")))</f>
        <v/>
      </c>
      <c r="CA141" s="497" t="str">
        <f>IF($X$49="WEEKS","",IF($Z141="Manual Entry hrs/wk","",IF($X$49&gt;'FORMULA REFS'!AU$1,$Z141,"")))</f>
        <v/>
      </c>
      <c r="CB141" s="497" t="str">
        <f>IF($X$49="WEEKS","",IF($Z141="Manual Entry hrs/wk","",IF($X$49&gt;'FORMULA REFS'!AV$1,$Z141,"")))</f>
        <v/>
      </c>
      <c r="CC141" s="497" t="str">
        <f>IF($X$49="WEEKS","",IF($Z141="Manual Entry hrs/wk","",IF($X$49&gt;'FORMULA REFS'!AW$1,$Z141,"")))</f>
        <v/>
      </c>
      <c r="CD141" s="497" t="str">
        <f>IF($X$49="WEEKS","",IF($Z141="Manual Entry hrs/wk","",IF($X$49&gt;'FORMULA REFS'!AX$1,$Z141,"")))</f>
        <v/>
      </c>
      <c r="CE141" s="497" t="str">
        <f>IF($X$49="WEEKS","",IF($Z141="Manual Entry hrs/wk","",IF($X$49&gt;'FORMULA REFS'!AY$1,$Z141,"")))</f>
        <v/>
      </c>
      <c r="CF141" s="497" t="str">
        <f>IF($X$49="WEEKS","",IF($Z141="Manual Entry hrs/wk","",IF($X$49&gt;'FORMULA REFS'!AZ$1,$Z141,"")))</f>
        <v/>
      </c>
      <c r="CG141" s="113"/>
      <c r="CH141" s="349" t="str">
        <f t="shared" si="20"/>
        <v/>
      </c>
      <c r="CI141" s="349">
        <f>IFERROR((_xlfn.XLOOKUP($M141,'Standard Rate Cards'!D:D,'Standard Rate Cards'!E:E))*AA141,0)</f>
        <v>0</v>
      </c>
      <c r="CJ141" s="349">
        <f>IFERROR(IF($M141="",0,IF($D$16="Client Custom Rates",0,IF($D$16="Standard Rates",_xlfn.XLOOKUP($M141,'Standard Rate Cards'!$D:$D,'Standard Rate Cards'!G:G)))),0)</f>
        <v>0</v>
      </c>
      <c r="CK141" s="349" cm="1">
        <f t="array" ref="CK141">IFERROR(IF($D$16&lt;&gt;"Client Custom Rates",0,INDEX('Client Rate Cards'!E:E,MATCH(1,('Client Rate Cards'!A:A='2. Pricing &amp; Import'!$D$9)*('Client Rate Cards'!D:D='2. Pricing &amp; Import'!N141),0))),0)</f>
        <v>0</v>
      </c>
      <c r="CL141" s="350"/>
    </row>
    <row r="142" spans="2:90" hidden="1" outlineLevel="3" x14ac:dyDescent="0.3">
      <c r="B142">
        <v>93</v>
      </c>
      <c r="C142" s="346"/>
      <c r="D142" s="495"/>
      <c r="E142" s="346"/>
      <c r="F142" s="346" t="str">
        <f>IFERROR(_xlfn.XLOOKUP(E142,'Standard Rate Cards'!$BB$11:$BB$23,'Standard Rate Cards'!$BA$11:$BA$23),"")</f>
        <v/>
      </c>
      <c r="G142" s="346"/>
      <c r="H142" s="346" t="str">
        <f>IFERROR(_xlfn.XLOOKUP(G142,'Standard Rate Cards'!$AP$8:$AP$142,'Standard Rate Cards'!$AQ$8:$AQ$142),"")</f>
        <v/>
      </c>
      <c r="I142" s="346"/>
      <c r="J142" s="346"/>
      <c r="K142" s="496"/>
      <c r="L142" s="496" t="str">
        <f t="shared" si="21"/>
        <v xml:space="preserve"> </v>
      </c>
      <c r="M142" s="496" t="str" cm="1">
        <f t="array" ref="M142">IF(ISBLANK(D142),"",IF(D142&lt;&gt;"CrederaUS",INDEX('Standard Rate Cards'!$D$9:$D$433,MATCH(1,('Standard Rate Cards'!$B$9:$B$433='2. Pricing &amp; Import'!D142)*('Standard Rate Cards'!$C$9:$C$433='2. Pricing &amp; Import'!K142),0)),INDEX('Standard Rate Cards'!$D$9:$D$433,MATCH(1,('Standard Rate Cards'!$B$9:$B$433='2. Pricing &amp; Import'!D142)*('Standard Rate Cards'!$C$9:$C$433='2. Pricing &amp; Import'!K142)*('Standard Rate Cards'!$H$9:$H$433=L142),0))))</f>
        <v/>
      </c>
      <c r="N142" s="347"/>
      <c r="O142" s="110" t="str">
        <f>IF(ISBLANK(K142)," ",_xlfn.XLOOKUP(K142,'Standard Rate Cards'!C:C,'Standard Rate Cards'!H:H))</f>
        <v xml:space="preserve"> </v>
      </c>
      <c r="P142" s="246" t="str">
        <f>IF(ISBLANK($K142)," ",_xlfn.XLOOKUP($K142,'Standard Rate Cards'!C:C,'Standard Rate Cards'!F:F))</f>
        <v xml:space="preserve"> </v>
      </c>
      <c r="Q142" s="348"/>
      <c r="R142" s="250"/>
      <c r="S142" s="250"/>
      <c r="T142" s="614"/>
      <c r="U142" s="1637"/>
      <c r="V142" s="1638"/>
      <c r="W142" s="614"/>
      <c r="X142" s="681" t="str">
        <f t="shared" si="22"/>
        <v/>
      </c>
      <c r="Y142" s="682" t="str">
        <f t="shared" si="23"/>
        <v/>
      </c>
      <c r="Z142" s="1630" t="s">
        <v>309</v>
      </c>
      <c r="AA142" s="1631"/>
      <c r="AB142" s="94"/>
      <c r="AC142" s="94"/>
      <c r="AD142" s="94"/>
      <c r="AE142" s="94"/>
      <c r="AF142" s="94"/>
      <c r="AG142" s="497" t="str">
        <f>IF($X$49="WEEKS","",IF($Z142="Manual Entry hrs/wk","",IF($X$49&gt;'FORMULA REFS'!A$1,$Z142,"")))</f>
        <v/>
      </c>
      <c r="AH142" s="497" t="str">
        <f>IF($X$49="WEEKS","",IF($Z142="Manual Entry hrs/wk","",IF($X$49&gt;'FORMULA REFS'!B$1,$Z142,"")))</f>
        <v/>
      </c>
      <c r="AI142" s="497" t="str">
        <f>IF($X$49="WEEKS","",IF($Z142="Manual Entry hrs/wk","",IF($X$49&gt;'FORMULA REFS'!C$1,$Z142,"")))</f>
        <v/>
      </c>
      <c r="AJ142" s="497" t="str">
        <f>IF($X$49="WEEKS","",IF($Z142="Manual Entry hrs/wk","",IF($X$49&gt;'FORMULA REFS'!D$1,$Z142,"")))</f>
        <v/>
      </c>
      <c r="AK142" s="497" t="str">
        <f>IF($X$49="WEEKS","",IF($Z142="Manual Entry hrs/wk","",IF($X$49&gt;'FORMULA REFS'!E$1,$Z142,"")))</f>
        <v/>
      </c>
      <c r="AL142" s="497" t="str">
        <f>IF($X$49="WEEKS","",IF($Z142="Manual Entry hrs/wk","",IF($X$49&gt;'FORMULA REFS'!F$1,$Z142,"")))</f>
        <v/>
      </c>
      <c r="AM142" s="497" t="str">
        <f>IF($X$49="WEEKS","",IF($Z142="Manual Entry hrs/wk","",IF($X$49&gt;'FORMULA REFS'!G$1,$Z142,"")))</f>
        <v/>
      </c>
      <c r="AN142" s="497" t="str">
        <f>IF($X$49="WEEKS","",IF($Z142="Manual Entry hrs/wk","",IF($X$49&gt;'FORMULA REFS'!H$1,$Z142,"")))</f>
        <v/>
      </c>
      <c r="AO142" s="497" t="str">
        <f>IF($X$49="WEEKS","",IF($Z142="Manual Entry hrs/wk","",IF($X$49&gt;'FORMULA REFS'!I$1,$Z142,"")))</f>
        <v/>
      </c>
      <c r="AP142" s="497" t="str">
        <f>IF($X$49="WEEKS","",IF($Z142="Manual Entry hrs/wk","",IF($X$49&gt;'FORMULA REFS'!J$1,$Z142,"")))</f>
        <v/>
      </c>
      <c r="AQ142" s="497" t="str">
        <f>IF($X$49="WEEKS","",IF($Z142="Manual Entry hrs/wk","",IF($X$49&gt;'FORMULA REFS'!K$1,$Z142,"")))</f>
        <v/>
      </c>
      <c r="AR142" s="497" t="str">
        <f>IF($X$49="WEEKS","",IF($Z142="Manual Entry hrs/wk","",IF($X$49&gt;'FORMULA REFS'!L$1,$Z142,"")))</f>
        <v/>
      </c>
      <c r="AS142" s="497" t="str">
        <f>IF($X$49="WEEKS","",IF($Z142="Manual Entry hrs/wk","",IF($X$49&gt;'FORMULA REFS'!M$1,$Z142,"")))</f>
        <v/>
      </c>
      <c r="AT142" s="497" t="str">
        <f>IF($X$49="WEEKS","",IF($Z142="Manual Entry hrs/wk","",IF($X$49&gt;'FORMULA REFS'!N$1,$Z142,"")))</f>
        <v/>
      </c>
      <c r="AU142" s="497" t="str">
        <f>IF($X$49="WEEKS","",IF($Z142="Manual Entry hrs/wk","",IF($X$49&gt;'FORMULA REFS'!O$1,$Z142,"")))</f>
        <v/>
      </c>
      <c r="AV142" s="497" t="str">
        <f>IF($X$49="WEEKS","",IF($Z142="Manual Entry hrs/wk","",IF($X$49&gt;'FORMULA REFS'!P$1,$Z142,"")))</f>
        <v/>
      </c>
      <c r="AW142" s="497" t="str">
        <f>IF($X$49="WEEKS","",IF($Z142="Manual Entry hrs/wk","",IF($X$49&gt;'FORMULA REFS'!Q$1,$Z142,"")))</f>
        <v/>
      </c>
      <c r="AX142" s="497" t="str">
        <f>IF($X$49="WEEKS","",IF($Z142="Manual Entry hrs/wk","",IF($X$49&gt;'FORMULA REFS'!R$1,$Z142,"")))</f>
        <v/>
      </c>
      <c r="AY142" s="497" t="str">
        <f>IF($X$49="WEEKS","",IF($Z142="Manual Entry hrs/wk","",IF($X$49&gt;'FORMULA REFS'!S$1,$Z142,"")))</f>
        <v/>
      </c>
      <c r="AZ142" s="497" t="str">
        <f>IF($X$49="WEEKS","",IF($Z142="Manual Entry hrs/wk","",IF($X$49&gt;'FORMULA REFS'!T$1,$Z142,"")))</f>
        <v/>
      </c>
      <c r="BA142" s="497" t="str">
        <f>IF($X$49="WEEKS","",IF($Z142="Manual Entry hrs/wk","",IF($X$49&gt;'FORMULA REFS'!U$1,$Z142,"")))</f>
        <v/>
      </c>
      <c r="BB142" s="497" t="str">
        <f>IF($X$49="WEEKS","",IF($Z142="Manual Entry hrs/wk","",IF($X$49&gt;'FORMULA REFS'!V$1,$Z142,"")))</f>
        <v/>
      </c>
      <c r="BC142" s="497" t="str">
        <f>IF($X$49="WEEKS","",IF($Z142="Manual Entry hrs/wk","",IF($X$49&gt;'FORMULA REFS'!W$1,$Z142,"")))</f>
        <v/>
      </c>
      <c r="BD142" s="497" t="str">
        <f>IF($X$49="WEEKS","",IF($Z142="Manual Entry hrs/wk","",IF($X$49&gt;'FORMULA REFS'!X$1,$Z142,"")))</f>
        <v/>
      </c>
      <c r="BE142" s="497" t="str">
        <f>IF($X$49="WEEKS","",IF($Z142="Manual Entry hrs/wk","",IF($X$49&gt;'FORMULA REFS'!Y$1,$Z142,"")))</f>
        <v/>
      </c>
      <c r="BF142" s="497" t="str">
        <f>IF($X$49="WEEKS","",IF($Z142="Manual Entry hrs/wk","",IF($X$49&gt;'FORMULA REFS'!Z$1,$Z142,"")))</f>
        <v/>
      </c>
      <c r="BG142" s="497" t="str">
        <f>IF($X$49="WEEKS","",IF($Z142="Manual Entry hrs/wk","",IF($X$49&gt;'FORMULA REFS'!AA$1,$Z142,"")))</f>
        <v/>
      </c>
      <c r="BH142" s="497" t="str">
        <f>IF($X$49="WEEKS","",IF($Z142="Manual Entry hrs/wk","",IF($X$49&gt;'FORMULA REFS'!AB$1,$Z142,"")))</f>
        <v/>
      </c>
      <c r="BI142" s="497" t="str">
        <f>IF($X$49="WEEKS","",IF($Z142="Manual Entry hrs/wk","",IF($X$49&gt;'FORMULA REFS'!AC$1,$Z142,"")))</f>
        <v/>
      </c>
      <c r="BJ142" s="497" t="str">
        <f>IF($X$49="WEEKS","",IF($Z142="Manual Entry hrs/wk","",IF($X$49&gt;'FORMULA REFS'!AD$1,$Z142,"")))</f>
        <v/>
      </c>
      <c r="BK142" s="497" t="str">
        <f>IF($X$49="WEEKS","",IF($Z142="Manual Entry hrs/wk","",IF($X$49&gt;'FORMULA REFS'!AE$1,$Z142,"")))</f>
        <v/>
      </c>
      <c r="BL142" s="497" t="str">
        <f>IF($X$49="WEEKS","",IF($Z142="Manual Entry hrs/wk","",IF($X$49&gt;'FORMULA REFS'!AF$1,$Z142,"")))</f>
        <v/>
      </c>
      <c r="BM142" s="497" t="str">
        <f>IF($X$49="WEEKS","",IF($Z142="Manual Entry hrs/wk","",IF($X$49&gt;'FORMULA REFS'!AG$1,$Z142,"")))</f>
        <v/>
      </c>
      <c r="BN142" s="497" t="str">
        <f>IF($X$49="WEEKS","",IF($Z142="Manual Entry hrs/wk","",IF($X$49&gt;'FORMULA REFS'!AH$1,$Z142,"")))</f>
        <v/>
      </c>
      <c r="BO142" s="497" t="str">
        <f>IF($X$49="WEEKS","",IF($Z142="Manual Entry hrs/wk","",IF($X$49&gt;'FORMULA REFS'!AI$1,$Z142,"")))</f>
        <v/>
      </c>
      <c r="BP142" s="497" t="str">
        <f>IF($X$49="WEEKS","",IF($Z142="Manual Entry hrs/wk","",IF($X$49&gt;'FORMULA REFS'!AJ$1,$Z142,"")))</f>
        <v/>
      </c>
      <c r="BQ142" s="497" t="str">
        <f>IF($X$49="WEEKS","",IF($Z142="Manual Entry hrs/wk","",IF($X$49&gt;'FORMULA REFS'!AK$1,$Z142,"")))</f>
        <v/>
      </c>
      <c r="BR142" s="497" t="str">
        <f>IF($X$49="WEEKS","",IF($Z142="Manual Entry hrs/wk","",IF($X$49&gt;'FORMULA REFS'!AL$1,$Z142,"")))</f>
        <v/>
      </c>
      <c r="BS142" s="497" t="str">
        <f>IF($X$49="WEEKS","",IF($Z142="Manual Entry hrs/wk","",IF($X$49&gt;'FORMULA REFS'!AM$1,$Z142,"")))</f>
        <v/>
      </c>
      <c r="BT142" s="497" t="str">
        <f>IF($X$49="WEEKS","",IF($Z142="Manual Entry hrs/wk","",IF($X$49&gt;'FORMULA REFS'!AN$1,$Z142,"")))</f>
        <v/>
      </c>
      <c r="BU142" s="497" t="str">
        <f>IF($X$49="WEEKS","",IF($Z142="Manual Entry hrs/wk","",IF($X$49&gt;'FORMULA REFS'!AO$1,$Z142,"")))</f>
        <v/>
      </c>
      <c r="BV142" s="497" t="str">
        <f>IF($X$49="WEEKS","",IF($Z142="Manual Entry hrs/wk","",IF($X$49&gt;'FORMULA REFS'!AP$1,$Z142,"")))</f>
        <v/>
      </c>
      <c r="BW142" s="497" t="str">
        <f>IF($X$49="WEEKS","",IF($Z142="Manual Entry hrs/wk","",IF($X$49&gt;'FORMULA REFS'!AQ$1,$Z142,"")))</f>
        <v/>
      </c>
      <c r="BX142" s="497" t="str">
        <f>IF($X$49="WEEKS","",IF($Z142="Manual Entry hrs/wk","",IF($X$49&gt;'FORMULA REFS'!AR$1,$Z142,"")))</f>
        <v/>
      </c>
      <c r="BY142" s="497" t="str">
        <f>IF($X$49="WEEKS","",IF($Z142="Manual Entry hrs/wk","",IF($X$49&gt;'FORMULA REFS'!AS$1,$Z142,"")))</f>
        <v/>
      </c>
      <c r="BZ142" s="497" t="str">
        <f>IF($X$49="WEEKS","",IF($Z142="Manual Entry hrs/wk","",IF($X$49&gt;'FORMULA REFS'!AT$1,$Z142,"")))</f>
        <v/>
      </c>
      <c r="CA142" s="497" t="str">
        <f>IF($X$49="WEEKS","",IF($Z142="Manual Entry hrs/wk","",IF($X$49&gt;'FORMULA REFS'!AU$1,$Z142,"")))</f>
        <v/>
      </c>
      <c r="CB142" s="497" t="str">
        <f>IF($X$49="WEEKS","",IF($Z142="Manual Entry hrs/wk","",IF($X$49&gt;'FORMULA REFS'!AV$1,$Z142,"")))</f>
        <v/>
      </c>
      <c r="CC142" s="497" t="str">
        <f>IF($X$49="WEEKS","",IF($Z142="Manual Entry hrs/wk","",IF($X$49&gt;'FORMULA REFS'!AW$1,$Z142,"")))</f>
        <v/>
      </c>
      <c r="CD142" s="497" t="str">
        <f>IF($X$49="WEEKS","",IF($Z142="Manual Entry hrs/wk","",IF($X$49&gt;'FORMULA REFS'!AX$1,$Z142,"")))</f>
        <v/>
      </c>
      <c r="CE142" s="497" t="str">
        <f>IF($X$49="WEEKS","",IF($Z142="Manual Entry hrs/wk","",IF($X$49&gt;'FORMULA REFS'!AY$1,$Z142,"")))</f>
        <v/>
      </c>
      <c r="CF142" s="497" t="str">
        <f>IF($X$49="WEEKS","",IF($Z142="Manual Entry hrs/wk","",IF($X$49&gt;'FORMULA REFS'!AZ$1,$Z142,"")))</f>
        <v/>
      </c>
      <c r="CG142" s="113"/>
      <c r="CH142" s="349" t="str">
        <f t="shared" si="20"/>
        <v/>
      </c>
      <c r="CI142" s="349">
        <f>IFERROR((_xlfn.XLOOKUP($M142,'Standard Rate Cards'!D:D,'Standard Rate Cards'!E:E))*AA142,0)</f>
        <v>0</v>
      </c>
      <c r="CJ142" s="349">
        <f>IFERROR(IF($M142="",0,IF($D$16="Client Custom Rates",0,IF($D$16="Standard Rates",_xlfn.XLOOKUP($M142,'Standard Rate Cards'!$D:$D,'Standard Rate Cards'!G:G)))),0)</f>
        <v>0</v>
      </c>
      <c r="CK142" s="349" cm="1">
        <f t="array" ref="CK142">IFERROR(IF($D$16&lt;&gt;"Client Custom Rates",0,INDEX('Client Rate Cards'!E:E,MATCH(1,('Client Rate Cards'!A:A='2. Pricing &amp; Import'!$D$9)*('Client Rate Cards'!D:D='2. Pricing &amp; Import'!N142),0))),0)</f>
        <v>0</v>
      </c>
      <c r="CL142" s="350"/>
    </row>
    <row r="143" spans="2:90" hidden="1" outlineLevel="3" x14ac:dyDescent="0.3">
      <c r="B143">
        <v>94</v>
      </c>
      <c r="C143" s="346"/>
      <c r="D143" s="495"/>
      <c r="E143" s="346"/>
      <c r="F143" s="346" t="str">
        <f>IFERROR(_xlfn.XLOOKUP(E143,'Standard Rate Cards'!$BB$11:$BB$23,'Standard Rate Cards'!$BA$11:$BA$23),"")</f>
        <v/>
      </c>
      <c r="G143" s="346"/>
      <c r="H143" s="346" t="str">
        <f>IFERROR(_xlfn.XLOOKUP(G143,'Standard Rate Cards'!$AP$8:$AP$142,'Standard Rate Cards'!$AQ$8:$AQ$142),"")</f>
        <v/>
      </c>
      <c r="I143" s="346"/>
      <c r="J143" s="346"/>
      <c r="K143" s="496"/>
      <c r="L143" s="496">
        <f t="shared" si="21"/>
        <v>0</v>
      </c>
      <c r="M143" s="496" t="str" cm="1">
        <f t="array" ref="M143">IF(ISBLANK(D143),"",IF(D143&lt;&gt;"CrederaUS",INDEX('Standard Rate Cards'!$D$9:$D$433,MATCH(1,('Standard Rate Cards'!$B$9:$B$433='2. Pricing &amp; Import'!D143)*('Standard Rate Cards'!$C$9:$C$433='2. Pricing &amp; Import'!K143),0)),INDEX('Standard Rate Cards'!$D$9:$D$433,MATCH(1,('Standard Rate Cards'!$B$9:$B$433='2. Pricing &amp; Import'!D143)*('Standard Rate Cards'!$C$9:$C$433='2. Pricing &amp; Import'!K143)*('Standard Rate Cards'!$H$9:$H$433=L143),0))))</f>
        <v/>
      </c>
      <c r="N143" s="347"/>
      <c r="O143" s="110"/>
      <c r="P143" s="246"/>
      <c r="Q143" s="348"/>
      <c r="R143" s="250"/>
      <c r="S143" s="250"/>
      <c r="T143" s="614"/>
      <c r="U143" s="1637"/>
      <c r="V143" s="1638"/>
      <c r="W143" s="614"/>
      <c r="X143" s="681" t="str">
        <f t="shared" si="22"/>
        <v/>
      </c>
      <c r="Y143" s="682" t="str">
        <f t="shared" si="23"/>
        <v/>
      </c>
      <c r="Z143" s="1630" t="s">
        <v>309</v>
      </c>
      <c r="AA143" s="1631"/>
      <c r="AB143" s="94"/>
      <c r="AC143" s="94"/>
      <c r="AD143" s="94"/>
      <c r="AE143" s="94"/>
      <c r="AF143" s="94"/>
      <c r="AG143" s="497" t="str">
        <f>IF($X$49="WEEKS","",IF($Z143="Manual Entry hrs/wk","",IF($X$49&gt;'FORMULA REFS'!A$1,$Z143,"")))</f>
        <v/>
      </c>
      <c r="AH143" s="497" t="str">
        <f>IF($X$49="WEEKS","",IF($Z143="Manual Entry hrs/wk","",IF($X$49&gt;'FORMULA REFS'!B$1,$Z143,"")))</f>
        <v/>
      </c>
      <c r="AI143" s="497" t="str">
        <f>IF($X$49="WEEKS","",IF($Z143="Manual Entry hrs/wk","",IF($X$49&gt;'FORMULA REFS'!C$1,$Z143,"")))</f>
        <v/>
      </c>
      <c r="AJ143" s="497" t="str">
        <f>IF($X$49="WEEKS","",IF($Z143="Manual Entry hrs/wk","",IF($X$49&gt;'FORMULA REFS'!D$1,$Z143,"")))</f>
        <v/>
      </c>
      <c r="AK143" s="497" t="str">
        <f>IF($X$49="WEEKS","",IF($Z143="Manual Entry hrs/wk","",IF($X$49&gt;'FORMULA REFS'!E$1,$Z143,"")))</f>
        <v/>
      </c>
      <c r="AL143" s="497" t="str">
        <f>IF($X$49="WEEKS","",IF($Z143="Manual Entry hrs/wk","",IF($X$49&gt;'FORMULA REFS'!F$1,$Z143,"")))</f>
        <v/>
      </c>
      <c r="AM143" s="497" t="str">
        <f>IF($X$49="WEEKS","",IF($Z143="Manual Entry hrs/wk","",IF($X$49&gt;'FORMULA REFS'!G$1,$Z143,"")))</f>
        <v/>
      </c>
      <c r="AN143" s="497" t="str">
        <f>IF($X$49="WEEKS","",IF($Z143="Manual Entry hrs/wk","",IF($X$49&gt;'FORMULA REFS'!H$1,$Z143,"")))</f>
        <v/>
      </c>
      <c r="AO143" s="497" t="str">
        <f>IF($X$49="WEEKS","",IF($Z143="Manual Entry hrs/wk","",IF($X$49&gt;'FORMULA REFS'!I$1,$Z143,"")))</f>
        <v/>
      </c>
      <c r="AP143" s="497" t="str">
        <f>IF($X$49="WEEKS","",IF($Z143="Manual Entry hrs/wk","",IF($X$49&gt;'FORMULA REFS'!J$1,$Z143,"")))</f>
        <v/>
      </c>
      <c r="AQ143" s="497" t="str">
        <f>IF($X$49="WEEKS","",IF($Z143="Manual Entry hrs/wk","",IF($X$49&gt;'FORMULA REFS'!K$1,$Z143,"")))</f>
        <v/>
      </c>
      <c r="AR143" s="497" t="str">
        <f>IF($X$49="WEEKS","",IF($Z143="Manual Entry hrs/wk","",IF($X$49&gt;'FORMULA REFS'!L$1,$Z143,"")))</f>
        <v/>
      </c>
      <c r="AS143" s="497" t="str">
        <f>IF($X$49="WEEKS","",IF($Z143="Manual Entry hrs/wk","",IF($X$49&gt;'FORMULA REFS'!M$1,$Z143,"")))</f>
        <v/>
      </c>
      <c r="AT143" s="497" t="str">
        <f>IF($X$49="WEEKS","",IF($Z143="Manual Entry hrs/wk","",IF($X$49&gt;'FORMULA REFS'!N$1,$Z143,"")))</f>
        <v/>
      </c>
      <c r="AU143" s="497" t="str">
        <f>IF($X$49="WEEKS","",IF($Z143="Manual Entry hrs/wk","",IF($X$49&gt;'FORMULA REFS'!O$1,$Z143,"")))</f>
        <v/>
      </c>
      <c r="AV143" s="497" t="str">
        <f>IF($X$49="WEEKS","",IF($Z143="Manual Entry hrs/wk","",IF($X$49&gt;'FORMULA REFS'!P$1,$Z143,"")))</f>
        <v/>
      </c>
      <c r="AW143" s="497" t="str">
        <f>IF($X$49="WEEKS","",IF($Z143="Manual Entry hrs/wk","",IF($X$49&gt;'FORMULA REFS'!Q$1,$Z143,"")))</f>
        <v/>
      </c>
      <c r="AX143" s="497" t="str">
        <f>IF($X$49="WEEKS","",IF($Z143="Manual Entry hrs/wk","",IF($X$49&gt;'FORMULA REFS'!R$1,$Z143,"")))</f>
        <v/>
      </c>
      <c r="AY143" s="497" t="str">
        <f>IF($X$49="WEEKS","",IF($Z143="Manual Entry hrs/wk","",IF($X$49&gt;'FORMULA REFS'!S$1,$Z143,"")))</f>
        <v/>
      </c>
      <c r="AZ143" s="497" t="str">
        <f>IF($X$49="WEEKS","",IF($Z143="Manual Entry hrs/wk","",IF($X$49&gt;'FORMULA REFS'!T$1,$Z143,"")))</f>
        <v/>
      </c>
      <c r="BA143" s="497" t="str">
        <f>IF($X$49="WEEKS","",IF($Z143="Manual Entry hrs/wk","",IF($X$49&gt;'FORMULA REFS'!U$1,$Z143,"")))</f>
        <v/>
      </c>
      <c r="BB143" s="497" t="str">
        <f>IF($X$49="WEEKS","",IF($Z143="Manual Entry hrs/wk","",IF($X$49&gt;'FORMULA REFS'!V$1,$Z143,"")))</f>
        <v/>
      </c>
      <c r="BC143" s="497" t="str">
        <f>IF($X$49="WEEKS","",IF($Z143="Manual Entry hrs/wk","",IF($X$49&gt;'FORMULA REFS'!W$1,$Z143,"")))</f>
        <v/>
      </c>
      <c r="BD143" s="497" t="str">
        <f>IF($X$49="WEEKS","",IF($Z143="Manual Entry hrs/wk","",IF($X$49&gt;'FORMULA REFS'!X$1,$Z143,"")))</f>
        <v/>
      </c>
      <c r="BE143" s="497" t="str">
        <f>IF($X$49="WEEKS","",IF($Z143="Manual Entry hrs/wk","",IF($X$49&gt;'FORMULA REFS'!Y$1,$Z143,"")))</f>
        <v/>
      </c>
      <c r="BF143" s="497" t="str">
        <f>IF($X$49="WEEKS","",IF($Z143="Manual Entry hrs/wk","",IF($X$49&gt;'FORMULA REFS'!Z$1,$Z143,"")))</f>
        <v/>
      </c>
      <c r="BG143" s="497" t="str">
        <f>IF($X$49="WEEKS","",IF($Z143="Manual Entry hrs/wk","",IF($X$49&gt;'FORMULA REFS'!AA$1,$Z143,"")))</f>
        <v/>
      </c>
      <c r="BH143" s="497" t="str">
        <f>IF($X$49="WEEKS","",IF($Z143="Manual Entry hrs/wk","",IF($X$49&gt;'FORMULA REFS'!AB$1,$Z143,"")))</f>
        <v/>
      </c>
      <c r="BI143" s="497" t="str">
        <f>IF($X$49="WEEKS","",IF($Z143="Manual Entry hrs/wk","",IF($X$49&gt;'FORMULA REFS'!AC$1,$Z143,"")))</f>
        <v/>
      </c>
      <c r="BJ143" s="497" t="str">
        <f>IF($X$49="WEEKS","",IF($Z143="Manual Entry hrs/wk","",IF($X$49&gt;'FORMULA REFS'!AD$1,$Z143,"")))</f>
        <v/>
      </c>
      <c r="BK143" s="497" t="str">
        <f>IF($X$49="WEEKS","",IF($Z143="Manual Entry hrs/wk","",IF($X$49&gt;'FORMULA REFS'!AE$1,$Z143,"")))</f>
        <v/>
      </c>
      <c r="BL143" s="497" t="str">
        <f>IF($X$49="WEEKS","",IF($Z143="Manual Entry hrs/wk","",IF($X$49&gt;'FORMULA REFS'!AF$1,$Z143,"")))</f>
        <v/>
      </c>
      <c r="BM143" s="497" t="str">
        <f>IF($X$49="WEEKS","",IF($Z143="Manual Entry hrs/wk","",IF($X$49&gt;'FORMULA REFS'!AG$1,$Z143,"")))</f>
        <v/>
      </c>
      <c r="BN143" s="497" t="str">
        <f>IF($X$49="WEEKS","",IF($Z143="Manual Entry hrs/wk","",IF($X$49&gt;'FORMULA REFS'!AH$1,$Z143,"")))</f>
        <v/>
      </c>
      <c r="BO143" s="497" t="str">
        <f>IF($X$49="WEEKS","",IF($Z143="Manual Entry hrs/wk","",IF($X$49&gt;'FORMULA REFS'!AI$1,$Z143,"")))</f>
        <v/>
      </c>
      <c r="BP143" s="497" t="str">
        <f>IF($X$49="WEEKS","",IF($Z143="Manual Entry hrs/wk","",IF($X$49&gt;'FORMULA REFS'!AJ$1,$Z143,"")))</f>
        <v/>
      </c>
      <c r="BQ143" s="497" t="str">
        <f>IF($X$49="WEEKS","",IF($Z143="Manual Entry hrs/wk","",IF($X$49&gt;'FORMULA REFS'!AK$1,$Z143,"")))</f>
        <v/>
      </c>
      <c r="BR143" s="497" t="str">
        <f>IF($X$49="WEEKS","",IF($Z143="Manual Entry hrs/wk","",IF($X$49&gt;'FORMULA REFS'!AL$1,$Z143,"")))</f>
        <v/>
      </c>
      <c r="BS143" s="497" t="str">
        <f>IF($X$49="WEEKS","",IF($Z143="Manual Entry hrs/wk","",IF($X$49&gt;'FORMULA REFS'!AM$1,$Z143,"")))</f>
        <v/>
      </c>
      <c r="BT143" s="497" t="str">
        <f>IF($X$49="WEEKS","",IF($Z143="Manual Entry hrs/wk","",IF($X$49&gt;'FORMULA REFS'!AN$1,$Z143,"")))</f>
        <v/>
      </c>
      <c r="BU143" s="497" t="str">
        <f>IF($X$49="WEEKS","",IF($Z143="Manual Entry hrs/wk","",IF($X$49&gt;'FORMULA REFS'!AO$1,$Z143,"")))</f>
        <v/>
      </c>
      <c r="BV143" s="497" t="str">
        <f>IF($X$49="WEEKS","",IF($Z143="Manual Entry hrs/wk","",IF($X$49&gt;'FORMULA REFS'!AP$1,$Z143,"")))</f>
        <v/>
      </c>
      <c r="BW143" s="497" t="str">
        <f>IF($X$49="WEEKS","",IF($Z143="Manual Entry hrs/wk","",IF($X$49&gt;'FORMULA REFS'!AQ$1,$Z143,"")))</f>
        <v/>
      </c>
      <c r="BX143" s="497" t="str">
        <f>IF($X$49="WEEKS","",IF($Z143="Manual Entry hrs/wk","",IF($X$49&gt;'FORMULA REFS'!AR$1,$Z143,"")))</f>
        <v/>
      </c>
      <c r="BY143" s="497" t="str">
        <f>IF($X$49="WEEKS","",IF($Z143="Manual Entry hrs/wk","",IF($X$49&gt;'FORMULA REFS'!AS$1,$Z143,"")))</f>
        <v/>
      </c>
      <c r="BZ143" s="497" t="str">
        <f>IF($X$49="WEEKS","",IF($Z143="Manual Entry hrs/wk","",IF($X$49&gt;'FORMULA REFS'!AT$1,$Z143,"")))</f>
        <v/>
      </c>
      <c r="CA143" s="497" t="str">
        <f>IF($X$49="WEEKS","",IF($Z143="Manual Entry hrs/wk","",IF($X$49&gt;'FORMULA REFS'!AU$1,$Z143,"")))</f>
        <v/>
      </c>
      <c r="CB143" s="497" t="str">
        <f>IF($X$49="WEEKS","",IF($Z143="Manual Entry hrs/wk","",IF($X$49&gt;'FORMULA REFS'!AV$1,$Z143,"")))</f>
        <v/>
      </c>
      <c r="CC143" s="497" t="str">
        <f>IF($X$49="WEEKS","",IF($Z143="Manual Entry hrs/wk","",IF($X$49&gt;'FORMULA REFS'!AW$1,$Z143,"")))</f>
        <v/>
      </c>
      <c r="CD143" s="497" t="str">
        <f>IF($X$49="WEEKS","",IF($Z143="Manual Entry hrs/wk","",IF($X$49&gt;'FORMULA REFS'!AX$1,$Z143,"")))</f>
        <v/>
      </c>
      <c r="CE143" s="497" t="str">
        <f>IF($X$49="WEEKS","",IF($Z143="Manual Entry hrs/wk","",IF($X$49&gt;'FORMULA REFS'!AY$1,$Z143,"")))</f>
        <v/>
      </c>
      <c r="CF143" s="497" t="str">
        <f>IF($X$49="WEEKS","",IF($Z143="Manual Entry hrs/wk","",IF($X$49&gt;'FORMULA REFS'!AZ$1,$Z143,"")))</f>
        <v/>
      </c>
      <c r="CG143" s="113"/>
      <c r="CH143" s="349" t="str">
        <f t="shared" si="20"/>
        <v/>
      </c>
      <c r="CI143" s="349"/>
      <c r="CJ143" s="349"/>
      <c r="CK143" s="349"/>
      <c r="CL143" s="350"/>
    </row>
    <row r="144" spans="2:90" hidden="1" outlineLevel="3" x14ac:dyDescent="0.3">
      <c r="B144">
        <v>95</v>
      </c>
      <c r="C144" s="346"/>
      <c r="D144" s="495"/>
      <c r="E144" s="346"/>
      <c r="F144" s="346" t="str">
        <f>IFERROR(_xlfn.XLOOKUP(E144,'Standard Rate Cards'!$BB$11:$BB$23,'Standard Rate Cards'!$BA$11:$BA$23),"")</f>
        <v/>
      </c>
      <c r="G144" s="346"/>
      <c r="H144" s="346" t="str">
        <f>IFERROR(_xlfn.XLOOKUP(G144,'Standard Rate Cards'!$AP$8:$AP$142,'Standard Rate Cards'!$AQ$8:$AQ$142),"")</f>
        <v/>
      </c>
      <c r="I144" s="346"/>
      <c r="J144" s="346"/>
      <c r="K144" s="496"/>
      <c r="L144" s="496">
        <f t="shared" si="21"/>
        <v>0</v>
      </c>
      <c r="M144" s="496" t="str" cm="1">
        <f t="array" ref="M144">IF(ISBLANK(D144),"",IF(D144&lt;&gt;"CrederaUS",INDEX('Standard Rate Cards'!$D$9:$D$433,MATCH(1,('Standard Rate Cards'!$B$9:$B$433='2. Pricing &amp; Import'!D144)*('Standard Rate Cards'!$C$9:$C$433='2. Pricing &amp; Import'!K144),0)),INDEX('Standard Rate Cards'!$D$9:$D$433,MATCH(1,('Standard Rate Cards'!$B$9:$B$433='2. Pricing &amp; Import'!D144)*('Standard Rate Cards'!$C$9:$C$433='2. Pricing &amp; Import'!K144)*('Standard Rate Cards'!$H$9:$H$433=L144),0))))</f>
        <v/>
      </c>
      <c r="N144" s="347"/>
      <c r="O144" s="110"/>
      <c r="P144" s="246"/>
      <c r="Q144" s="348"/>
      <c r="R144" s="250"/>
      <c r="S144" s="250"/>
      <c r="T144" s="614"/>
      <c r="U144" s="1637"/>
      <c r="V144" s="1638"/>
      <c r="W144" s="614"/>
      <c r="X144" s="681" t="str">
        <f t="shared" si="22"/>
        <v/>
      </c>
      <c r="Y144" s="682" t="str">
        <f t="shared" si="23"/>
        <v/>
      </c>
      <c r="Z144" s="1630" t="s">
        <v>309</v>
      </c>
      <c r="AA144" s="1631"/>
      <c r="AB144" s="94"/>
      <c r="AC144" s="94"/>
      <c r="AD144" s="94"/>
      <c r="AE144" s="94"/>
      <c r="AF144" s="94"/>
      <c r="AG144" s="497" t="str">
        <f>IF($X$49="WEEKS","",IF($Z144="Manual Entry hrs/wk","",IF($X$49&gt;'FORMULA REFS'!A$1,$Z144,"")))</f>
        <v/>
      </c>
      <c r="AH144" s="497" t="str">
        <f>IF($X$49="WEEKS","",IF($Z144="Manual Entry hrs/wk","",IF($X$49&gt;'FORMULA REFS'!B$1,$Z144,"")))</f>
        <v/>
      </c>
      <c r="AI144" s="497" t="str">
        <f>IF($X$49="WEEKS","",IF($Z144="Manual Entry hrs/wk","",IF($X$49&gt;'FORMULA REFS'!C$1,$Z144,"")))</f>
        <v/>
      </c>
      <c r="AJ144" s="497" t="str">
        <f>IF($X$49="WEEKS","",IF($Z144="Manual Entry hrs/wk","",IF($X$49&gt;'FORMULA REFS'!D$1,$Z144,"")))</f>
        <v/>
      </c>
      <c r="AK144" s="497" t="str">
        <f>IF($X$49="WEEKS","",IF($Z144="Manual Entry hrs/wk","",IF($X$49&gt;'FORMULA REFS'!E$1,$Z144,"")))</f>
        <v/>
      </c>
      <c r="AL144" s="497" t="str">
        <f>IF($X$49="WEEKS","",IF($Z144="Manual Entry hrs/wk","",IF($X$49&gt;'FORMULA REFS'!F$1,$Z144,"")))</f>
        <v/>
      </c>
      <c r="AM144" s="497" t="str">
        <f>IF($X$49="WEEKS","",IF($Z144="Manual Entry hrs/wk","",IF($X$49&gt;'FORMULA REFS'!G$1,$Z144,"")))</f>
        <v/>
      </c>
      <c r="AN144" s="497" t="str">
        <f>IF($X$49="WEEKS","",IF($Z144="Manual Entry hrs/wk","",IF($X$49&gt;'FORMULA REFS'!H$1,$Z144,"")))</f>
        <v/>
      </c>
      <c r="AO144" s="497" t="str">
        <f>IF($X$49="WEEKS","",IF($Z144="Manual Entry hrs/wk","",IF($X$49&gt;'FORMULA REFS'!I$1,$Z144,"")))</f>
        <v/>
      </c>
      <c r="AP144" s="497" t="str">
        <f>IF($X$49="WEEKS","",IF($Z144="Manual Entry hrs/wk","",IF($X$49&gt;'FORMULA REFS'!J$1,$Z144,"")))</f>
        <v/>
      </c>
      <c r="AQ144" s="497" t="str">
        <f>IF($X$49="WEEKS","",IF($Z144="Manual Entry hrs/wk","",IF($X$49&gt;'FORMULA REFS'!K$1,$Z144,"")))</f>
        <v/>
      </c>
      <c r="AR144" s="497" t="str">
        <f>IF($X$49="WEEKS","",IF($Z144="Manual Entry hrs/wk","",IF($X$49&gt;'FORMULA REFS'!L$1,$Z144,"")))</f>
        <v/>
      </c>
      <c r="AS144" s="497" t="str">
        <f>IF($X$49="WEEKS","",IF($Z144="Manual Entry hrs/wk","",IF($X$49&gt;'FORMULA REFS'!M$1,$Z144,"")))</f>
        <v/>
      </c>
      <c r="AT144" s="497" t="str">
        <f>IF($X$49="WEEKS","",IF($Z144="Manual Entry hrs/wk","",IF($X$49&gt;'FORMULA REFS'!N$1,$Z144,"")))</f>
        <v/>
      </c>
      <c r="AU144" s="497" t="str">
        <f>IF($X$49="WEEKS","",IF($Z144="Manual Entry hrs/wk","",IF($X$49&gt;'FORMULA REFS'!O$1,$Z144,"")))</f>
        <v/>
      </c>
      <c r="AV144" s="497" t="str">
        <f>IF($X$49="WEEKS","",IF($Z144="Manual Entry hrs/wk","",IF($X$49&gt;'FORMULA REFS'!P$1,$Z144,"")))</f>
        <v/>
      </c>
      <c r="AW144" s="497" t="str">
        <f>IF($X$49="WEEKS","",IF($Z144="Manual Entry hrs/wk","",IF($X$49&gt;'FORMULA REFS'!Q$1,$Z144,"")))</f>
        <v/>
      </c>
      <c r="AX144" s="497" t="str">
        <f>IF($X$49="WEEKS","",IF($Z144="Manual Entry hrs/wk","",IF($X$49&gt;'FORMULA REFS'!R$1,$Z144,"")))</f>
        <v/>
      </c>
      <c r="AY144" s="497" t="str">
        <f>IF($X$49="WEEKS","",IF($Z144="Manual Entry hrs/wk","",IF($X$49&gt;'FORMULA REFS'!S$1,$Z144,"")))</f>
        <v/>
      </c>
      <c r="AZ144" s="497" t="str">
        <f>IF($X$49="WEEKS","",IF($Z144="Manual Entry hrs/wk","",IF($X$49&gt;'FORMULA REFS'!T$1,$Z144,"")))</f>
        <v/>
      </c>
      <c r="BA144" s="497" t="str">
        <f>IF($X$49="WEEKS","",IF($Z144="Manual Entry hrs/wk","",IF($X$49&gt;'FORMULA REFS'!U$1,$Z144,"")))</f>
        <v/>
      </c>
      <c r="BB144" s="497" t="str">
        <f>IF($X$49="WEEKS","",IF($Z144="Manual Entry hrs/wk","",IF($X$49&gt;'FORMULA REFS'!V$1,$Z144,"")))</f>
        <v/>
      </c>
      <c r="BC144" s="497" t="str">
        <f>IF($X$49="WEEKS","",IF($Z144="Manual Entry hrs/wk","",IF($X$49&gt;'FORMULA REFS'!W$1,$Z144,"")))</f>
        <v/>
      </c>
      <c r="BD144" s="497" t="str">
        <f>IF($X$49="WEEKS","",IF($Z144="Manual Entry hrs/wk","",IF($X$49&gt;'FORMULA REFS'!X$1,$Z144,"")))</f>
        <v/>
      </c>
      <c r="BE144" s="497" t="str">
        <f>IF($X$49="WEEKS","",IF($Z144="Manual Entry hrs/wk","",IF($X$49&gt;'FORMULA REFS'!Y$1,$Z144,"")))</f>
        <v/>
      </c>
      <c r="BF144" s="497" t="str">
        <f>IF($X$49="WEEKS","",IF($Z144="Manual Entry hrs/wk","",IF($X$49&gt;'FORMULA REFS'!Z$1,$Z144,"")))</f>
        <v/>
      </c>
      <c r="BG144" s="497" t="str">
        <f>IF($X$49="WEEKS","",IF($Z144="Manual Entry hrs/wk","",IF($X$49&gt;'FORMULA REFS'!AA$1,$Z144,"")))</f>
        <v/>
      </c>
      <c r="BH144" s="497" t="str">
        <f>IF($X$49="WEEKS","",IF($Z144="Manual Entry hrs/wk","",IF($X$49&gt;'FORMULA REFS'!AB$1,$Z144,"")))</f>
        <v/>
      </c>
      <c r="BI144" s="497" t="str">
        <f>IF($X$49="WEEKS","",IF($Z144="Manual Entry hrs/wk","",IF($X$49&gt;'FORMULA REFS'!AC$1,$Z144,"")))</f>
        <v/>
      </c>
      <c r="BJ144" s="497" t="str">
        <f>IF($X$49="WEEKS","",IF($Z144="Manual Entry hrs/wk","",IF($X$49&gt;'FORMULA REFS'!AD$1,$Z144,"")))</f>
        <v/>
      </c>
      <c r="BK144" s="497" t="str">
        <f>IF($X$49="WEEKS","",IF($Z144="Manual Entry hrs/wk","",IF($X$49&gt;'FORMULA REFS'!AE$1,$Z144,"")))</f>
        <v/>
      </c>
      <c r="BL144" s="497" t="str">
        <f>IF($X$49="WEEKS","",IF($Z144="Manual Entry hrs/wk","",IF($X$49&gt;'FORMULA REFS'!AF$1,$Z144,"")))</f>
        <v/>
      </c>
      <c r="BM144" s="497" t="str">
        <f>IF($X$49="WEEKS","",IF($Z144="Manual Entry hrs/wk","",IF($X$49&gt;'FORMULA REFS'!AG$1,$Z144,"")))</f>
        <v/>
      </c>
      <c r="BN144" s="497" t="str">
        <f>IF($X$49="WEEKS","",IF($Z144="Manual Entry hrs/wk","",IF($X$49&gt;'FORMULA REFS'!AH$1,$Z144,"")))</f>
        <v/>
      </c>
      <c r="BO144" s="497" t="str">
        <f>IF($X$49="WEEKS","",IF($Z144="Manual Entry hrs/wk","",IF($X$49&gt;'FORMULA REFS'!AI$1,$Z144,"")))</f>
        <v/>
      </c>
      <c r="BP144" s="497" t="str">
        <f>IF($X$49="WEEKS","",IF($Z144="Manual Entry hrs/wk","",IF($X$49&gt;'FORMULA REFS'!AJ$1,$Z144,"")))</f>
        <v/>
      </c>
      <c r="BQ144" s="497" t="str">
        <f>IF($X$49="WEEKS","",IF($Z144="Manual Entry hrs/wk","",IF($X$49&gt;'FORMULA REFS'!AK$1,$Z144,"")))</f>
        <v/>
      </c>
      <c r="BR144" s="497" t="str">
        <f>IF($X$49="WEEKS","",IF($Z144="Manual Entry hrs/wk","",IF($X$49&gt;'FORMULA REFS'!AL$1,$Z144,"")))</f>
        <v/>
      </c>
      <c r="BS144" s="497" t="str">
        <f>IF($X$49="WEEKS","",IF($Z144="Manual Entry hrs/wk","",IF($X$49&gt;'FORMULA REFS'!AM$1,$Z144,"")))</f>
        <v/>
      </c>
      <c r="BT144" s="497" t="str">
        <f>IF($X$49="WEEKS","",IF($Z144="Manual Entry hrs/wk","",IF($X$49&gt;'FORMULA REFS'!AN$1,$Z144,"")))</f>
        <v/>
      </c>
      <c r="BU144" s="497" t="str">
        <f>IF($X$49="WEEKS","",IF($Z144="Manual Entry hrs/wk","",IF($X$49&gt;'FORMULA REFS'!AO$1,$Z144,"")))</f>
        <v/>
      </c>
      <c r="BV144" s="497" t="str">
        <f>IF($X$49="WEEKS","",IF($Z144="Manual Entry hrs/wk","",IF($X$49&gt;'FORMULA REFS'!AP$1,$Z144,"")))</f>
        <v/>
      </c>
      <c r="BW144" s="497" t="str">
        <f>IF($X$49="WEEKS","",IF($Z144="Manual Entry hrs/wk","",IF($X$49&gt;'FORMULA REFS'!AQ$1,$Z144,"")))</f>
        <v/>
      </c>
      <c r="BX144" s="497" t="str">
        <f>IF($X$49="WEEKS","",IF($Z144="Manual Entry hrs/wk","",IF($X$49&gt;'FORMULA REFS'!AR$1,$Z144,"")))</f>
        <v/>
      </c>
      <c r="BY144" s="497" t="str">
        <f>IF($X$49="WEEKS","",IF($Z144="Manual Entry hrs/wk","",IF($X$49&gt;'FORMULA REFS'!AS$1,$Z144,"")))</f>
        <v/>
      </c>
      <c r="BZ144" s="497" t="str">
        <f>IF($X$49="WEEKS","",IF($Z144="Manual Entry hrs/wk","",IF($X$49&gt;'FORMULA REFS'!AT$1,$Z144,"")))</f>
        <v/>
      </c>
      <c r="CA144" s="497" t="str">
        <f>IF($X$49="WEEKS","",IF($Z144="Manual Entry hrs/wk","",IF($X$49&gt;'FORMULA REFS'!AU$1,$Z144,"")))</f>
        <v/>
      </c>
      <c r="CB144" s="497" t="str">
        <f>IF($X$49="WEEKS","",IF($Z144="Manual Entry hrs/wk","",IF($X$49&gt;'FORMULA REFS'!AV$1,$Z144,"")))</f>
        <v/>
      </c>
      <c r="CC144" s="497" t="str">
        <f>IF($X$49="WEEKS","",IF($Z144="Manual Entry hrs/wk","",IF($X$49&gt;'FORMULA REFS'!AW$1,$Z144,"")))</f>
        <v/>
      </c>
      <c r="CD144" s="497" t="str">
        <f>IF($X$49="WEEKS","",IF($Z144="Manual Entry hrs/wk","",IF($X$49&gt;'FORMULA REFS'!AX$1,$Z144,"")))</f>
        <v/>
      </c>
      <c r="CE144" s="497" t="str">
        <f>IF($X$49="WEEKS","",IF($Z144="Manual Entry hrs/wk","",IF($X$49&gt;'FORMULA REFS'!AY$1,$Z144,"")))</f>
        <v/>
      </c>
      <c r="CF144" s="497" t="str">
        <f>IF($X$49="WEEKS","",IF($Z144="Manual Entry hrs/wk","",IF($X$49&gt;'FORMULA REFS'!AZ$1,$Z144,"")))</f>
        <v/>
      </c>
      <c r="CG144" s="113"/>
      <c r="CH144" s="349" t="str">
        <f t="shared" si="20"/>
        <v/>
      </c>
      <c r="CI144" s="349"/>
      <c r="CJ144" s="349"/>
      <c r="CK144" s="349"/>
      <c r="CL144" s="350"/>
    </row>
    <row r="145" spans="2:91" hidden="1" outlineLevel="3" x14ac:dyDescent="0.3">
      <c r="B145">
        <v>96</v>
      </c>
      <c r="C145" s="346"/>
      <c r="D145" s="495"/>
      <c r="E145" s="346"/>
      <c r="F145" s="346" t="str">
        <f>IFERROR(_xlfn.XLOOKUP(E145,'Standard Rate Cards'!$BB$11:$BB$23,'Standard Rate Cards'!$BA$11:$BA$23),"")</f>
        <v/>
      </c>
      <c r="G145" s="346"/>
      <c r="H145" s="346" t="str">
        <f>IFERROR(_xlfn.XLOOKUP(G145,'Standard Rate Cards'!$AP$8:$AP$142,'Standard Rate Cards'!$AQ$8:$AQ$142),"")</f>
        <v/>
      </c>
      <c r="I145" s="346"/>
      <c r="J145" s="346"/>
      <c r="K145" s="496"/>
      <c r="L145" s="496">
        <f t="shared" si="21"/>
        <v>0</v>
      </c>
      <c r="M145" s="496" t="str" cm="1">
        <f t="array" ref="M145">IF(ISBLANK(D145),"",IF(D145&lt;&gt;"CrederaUS",INDEX('Standard Rate Cards'!$D$9:$D$433,MATCH(1,('Standard Rate Cards'!$B$9:$B$433='2. Pricing &amp; Import'!D145)*('Standard Rate Cards'!$C$9:$C$433='2. Pricing &amp; Import'!K145),0)),INDEX('Standard Rate Cards'!$D$9:$D$433,MATCH(1,('Standard Rate Cards'!$B$9:$B$433='2. Pricing &amp; Import'!D145)*('Standard Rate Cards'!$C$9:$C$433='2. Pricing &amp; Import'!K145)*('Standard Rate Cards'!$H$9:$H$433=L145),0))))</f>
        <v/>
      </c>
      <c r="N145" s="347"/>
      <c r="O145" s="110"/>
      <c r="P145" s="246"/>
      <c r="Q145" s="348"/>
      <c r="R145" s="250"/>
      <c r="S145" s="250"/>
      <c r="T145" s="614"/>
      <c r="U145" s="1637"/>
      <c r="V145" s="1638"/>
      <c r="W145" s="614"/>
      <c r="X145" s="681" t="str">
        <f t="shared" si="22"/>
        <v/>
      </c>
      <c r="Y145" s="682" t="str">
        <f t="shared" si="23"/>
        <v/>
      </c>
      <c r="Z145" s="1630" t="s">
        <v>309</v>
      </c>
      <c r="AA145" s="1631"/>
      <c r="AB145" s="94"/>
      <c r="AC145" s="94"/>
      <c r="AD145" s="94"/>
      <c r="AE145" s="94"/>
      <c r="AF145" s="94"/>
      <c r="AG145" s="497" t="str">
        <f>IF($X$49="WEEKS","",IF($Z145="Manual Entry hrs/wk","",IF($X$49&gt;'FORMULA REFS'!A$1,$Z145,"")))</f>
        <v/>
      </c>
      <c r="AH145" s="497" t="str">
        <f>IF($X$49="WEEKS","",IF($Z145="Manual Entry hrs/wk","",IF($X$49&gt;'FORMULA REFS'!B$1,$Z145,"")))</f>
        <v/>
      </c>
      <c r="AI145" s="497" t="str">
        <f>IF($X$49="WEEKS","",IF($Z145="Manual Entry hrs/wk","",IF($X$49&gt;'FORMULA REFS'!C$1,$Z145,"")))</f>
        <v/>
      </c>
      <c r="AJ145" s="497" t="str">
        <f>IF($X$49="WEEKS","",IF($Z145="Manual Entry hrs/wk","",IF($X$49&gt;'FORMULA REFS'!D$1,$Z145,"")))</f>
        <v/>
      </c>
      <c r="AK145" s="497" t="str">
        <f>IF($X$49="WEEKS","",IF($Z145="Manual Entry hrs/wk","",IF($X$49&gt;'FORMULA REFS'!E$1,$Z145,"")))</f>
        <v/>
      </c>
      <c r="AL145" s="497" t="str">
        <f>IF($X$49="WEEKS","",IF($Z145="Manual Entry hrs/wk","",IF($X$49&gt;'FORMULA REFS'!F$1,$Z145,"")))</f>
        <v/>
      </c>
      <c r="AM145" s="497" t="str">
        <f>IF($X$49="WEEKS","",IF($Z145="Manual Entry hrs/wk","",IF($X$49&gt;'FORMULA REFS'!G$1,$Z145,"")))</f>
        <v/>
      </c>
      <c r="AN145" s="497" t="str">
        <f>IF($X$49="WEEKS","",IF($Z145="Manual Entry hrs/wk","",IF($X$49&gt;'FORMULA REFS'!H$1,$Z145,"")))</f>
        <v/>
      </c>
      <c r="AO145" s="497" t="str">
        <f>IF($X$49="WEEKS","",IF($Z145="Manual Entry hrs/wk","",IF($X$49&gt;'FORMULA REFS'!I$1,$Z145,"")))</f>
        <v/>
      </c>
      <c r="AP145" s="497" t="str">
        <f>IF($X$49="WEEKS","",IF($Z145="Manual Entry hrs/wk","",IF($X$49&gt;'FORMULA REFS'!J$1,$Z145,"")))</f>
        <v/>
      </c>
      <c r="AQ145" s="497" t="str">
        <f>IF($X$49="WEEKS","",IF($Z145="Manual Entry hrs/wk","",IF($X$49&gt;'FORMULA REFS'!K$1,$Z145,"")))</f>
        <v/>
      </c>
      <c r="AR145" s="497" t="str">
        <f>IF($X$49="WEEKS","",IF($Z145="Manual Entry hrs/wk","",IF($X$49&gt;'FORMULA REFS'!L$1,$Z145,"")))</f>
        <v/>
      </c>
      <c r="AS145" s="497" t="str">
        <f>IF($X$49="WEEKS","",IF($Z145="Manual Entry hrs/wk","",IF($X$49&gt;'FORMULA REFS'!M$1,$Z145,"")))</f>
        <v/>
      </c>
      <c r="AT145" s="497" t="str">
        <f>IF($X$49="WEEKS","",IF($Z145="Manual Entry hrs/wk","",IF($X$49&gt;'FORMULA REFS'!N$1,$Z145,"")))</f>
        <v/>
      </c>
      <c r="AU145" s="497" t="str">
        <f>IF($X$49="WEEKS","",IF($Z145="Manual Entry hrs/wk","",IF($X$49&gt;'FORMULA REFS'!O$1,$Z145,"")))</f>
        <v/>
      </c>
      <c r="AV145" s="497" t="str">
        <f>IF($X$49="WEEKS","",IF($Z145="Manual Entry hrs/wk","",IF($X$49&gt;'FORMULA REFS'!P$1,$Z145,"")))</f>
        <v/>
      </c>
      <c r="AW145" s="497" t="str">
        <f>IF($X$49="WEEKS","",IF($Z145="Manual Entry hrs/wk","",IF($X$49&gt;'FORMULA REFS'!Q$1,$Z145,"")))</f>
        <v/>
      </c>
      <c r="AX145" s="497" t="str">
        <f>IF($X$49="WEEKS","",IF($Z145="Manual Entry hrs/wk","",IF($X$49&gt;'FORMULA REFS'!R$1,$Z145,"")))</f>
        <v/>
      </c>
      <c r="AY145" s="497" t="str">
        <f>IF($X$49="WEEKS","",IF($Z145="Manual Entry hrs/wk","",IF($X$49&gt;'FORMULA REFS'!S$1,$Z145,"")))</f>
        <v/>
      </c>
      <c r="AZ145" s="497" t="str">
        <f>IF($X$49="WEEKS","",IF($Z145="Manual Entry hrs/wk","",IF($X$49&gt;'FORMULA REFS'!T$1,$Z145,"")))</f>
        <v/>
      </c>
      <c r="BA145" s="497" t="str">
        <f>IF($X$49="WEEKS","",IF($Z145="Manual Entry hrs/wk","",IF($X$49&gt;'FORMULA REFS'!U$1,$Z145,"")))</f>
        <v/>
      </c>
      <c r="BB145" s="497" t="str">
        <f>IF($X$49="WEEKS","",IF($Z145="Manual Entry hrs/wk","",IF($X$49&gt;'FORMULA REFS'!V$1,$Z145,"")))</f>
        <v/>
      </c>
      <c r="BC145" s="497" t="str">
        <f>IF($X$49="WEEKS","",IF($Z145="Manual Entry hrs/wk","",IF($X$49&gt;'FORMULA REFS'!W$1,$Z145,"")))</f>
        <v/>
      </c>
      <c r="BD145" s="497" t="str">
        <f>IF($X$49="WEEKS","",IF($Z145="Manual Entry hrs/wk","",IF($X$49&gt;'FORMULA REFS'!X$1,$Z145,"")))</f>
        <v/>
      </c>
      <c r="BE145" s="497" t="str">
        <f>IF($X$49="WEEKS","",IF($Z145="Manual Entry hrs/wk","",IF($X$49&gt;'FORMULA REFS'!Y$1,$Z145,"")))</f>
        <v/>
      </c>
      <c r="BF145" s="497" t="str">
        <f>IF($X$49="WEEKS","",IF($Z145="Manual Entry hrs/wk","",IF($X$49&gt;'FORMULA REFS'!Z$1,$Z145,"")))</f>
        <v/>
      </c>
      <c r="BG145" s="497" t="str">
        <f>IF($X$49="WEEKS","",IF($Z145="Manual Entry hrs/wk","",IF($X$49&gt;'FORMULA REFS'!AA$1,$Z145,"")))</f>
        <v/>
      </c>
      <c r="BH145" s="497" t="str">
        <f>IF($X$49="WEEKS","",IF($Z145="Manual Entry hrs/wk","",IF($X$49&gt;'FORMULA REFS'!AB$1,$Z145,"")))</f>
        <v/>
      </c>
      <c r="BI145" s="497" t="str">
        <f>IF($X$49="WEEKS","",IF($Z145="Manual Entry hrs/wk","",IF($X$49&gt;'FORMULA REFS'!AC$1,$Z145,"")))</f>
        <v/>
      </c>
      <c r="BJ145" s="497" t="str">
        <f>IF($X$49="WEEKS","",IF($Z145="Manual Entry hrs/wk","",IF($X$49&gt;'FORMULA REFS'!AD$1,$Z145,"")))</f>
        <v/>
      </c>
      <c r="BK145" s="497" t="str">
        <f>IF($X$49="WEEKS","",IF($Z145="Manual Entry hrs/wk","",IF($X$49&gt;'FORMULA REFS'!AE$1,$Z145,"")))</f>
        <v/>
      </c>
      <c r="BL145" s="497" t="str">
        <f>IF($X$49="WEEKS","",IF($Z145="Manual Entry hrs/wk","",IF($X$49&gt;'FORMULA REFS'!AF$1,$Z145,"")))</f>
        <v/>
      </c>
      <c r="BM145" s="497" t="str">
        <f>IF($X$49="WEEKS","",IF($Z145="Manual Entry hrs/wk","",IF($X$49&gt;'FORMULA REFS'!AG$1,$Z145,"")))</f>
        <v/>
      </c>
      <c r="BN145" s="497" t="str">
        <f>IF($X$49="WEEKS","",IF($Z145="Manual Entry hrs/wk","",IF($X$49&gt;'FORMULA REFS'!AH$1,$Z145,"")))</f>
        <v/>
      </c>
      <c r="BO145" s="497" t="str">
        <f>IF($X$49="WEEKS","",IF($Z145="Manual Entry hrs/wk","",IF($X$49&gt;'FORMULA REFS'!AI$1,$Z145,"")))</f>
        <v/>
      </c>
      <c r="BP145" s="497" t="str">
        <f>IF($X$49="WEEKS","",IF($Z145="Manual Entry hrs/wk","",IF($X$49&gt;'FORMULA REFS'!AJ$1,$Z145,"")))</f>
        <v/>
      </c>
      <c r="BQ145" s="497" t="str">
        <f>IF($X$49="WEEKS","",IF($Z145="Manual Entry hrs/wk","",IF($X$49&gt;'FORMULA REFS'!AK$1,$Z145,"")))</f>
        <v/>
      </c>
      <c r="BR145" s="497" t="str">
        <f>IF($X$49="WEEKS","",IF($Z145="Manual Entry hrs/wk","",IF($X$49&gt;'FORMULA REFS'!AL$1,$Z145,"")))</f>
        <v/>
      </c>
      <c r="BS145" s="497" t="str">
        <f>IF($X$49="WEEKS","",IF($Z145="Manual Entry hrs/wk","",IF($X$49&gt;'FORMULA REFS'!AM$1,$Z145,"")))</f>
        <v/>
      </c>
      <c r="BT145" s="497" t="str">
        <f>IF($X$49="WEEKS","",IF($Z145="Manual Entry hrs/wk","",IF($X$49&gt;'FORMULA REFS'!AN$1,$Z145,"")))</f>
        <v/>
      </c>
      <c r="BU145" s="497" t="str">
        <f>IF($X$49="WEEKS","",IF($Z145="Manual Entry hrs/wk","",IF($X$49&gt;'FORMULA REFS'!AO$1,$Z145,"")))</f>
        <v/>
      </c>
      <c r="BV145" s="497" t="str">
        <f>IF($X$49="WEEKS","",IF($Z145="Manual Entry hrs/wk","",IF($X$49&gt;'FORMULA REFS'!AP$1,$Z145,"")))</f>
        <v/>
      </c>
      <c r="BW145" s="497" t="str">
        <f>IF($X$49="WEEKS","",IF($Z145="Manual Entry hrs/wk","",IF($X$49&gt;'FORMULA REFS'!AQ$1,$Z145,"")))</f>
        <v/>
      </c>
      <c r="BX145" s="497" t="str">
        <f>IF($X$49="WEEKS","",IF($Z145="Manual Entry hrs/wk","",IF($X$49&gt;'FORMULA REFS'!AR$1,$Z145,"")))</f>
        <v/>
      </c>
      <c r="BY145" s="497" t="str">
        <f>IF($X$49="WEEKS","",IF($Z145="Manual Entry hrs/wk","",IF($X$49&gt;'FORMULA REFS'!AS$1,$Z145,"")))</f>
        <v/>
      </c>
      <c r="BZ145" s="497" t="str">
        <f>IF($X$49="WEEKS","",IF($Z145="Manual Entry hrs/wk","",IF($X$49&gt;'FORMULA REFS'!AT$1,$Z145,"")))</f>
        <v/>
      </c>
      <c r="CA145" s="497" t="str">
        <f>IF($X$49="WEEKS","",IF($Z145="Manual Entry hrs/wk","",IF($X$49&gt;'FORMULA REFS'!AU$1,$Z145,"")))</f>
        <v/>
      </c>
      <c r="CB145" s="497" t="str">
        <f>IF($X$49="WEEKS","",IF($Z145="Manual Entry hrs/wk","",IF($X$49&gt;'FORMULA REFS'!AV$1,$Z145,"")))</f>
        <v/>
      </c>
      <c r="CC145" s="497" t="str">
        <f>IF($X$49="WEEKS","",IF($Z145="Manual Entry hrs/wk","",IF($X$49&gt;'FORMULA REFS'!AW$1,$Z145,"")))</f>
        <v/>
      </c>
      <c r="CD145" s="497" t="str">
        <f>IF($X$49="WEEKS","",IF($Z145="Manual Entry hrs/wk","",IF($X$49&gt;'FORMULA REFS'!AX$1,$Z145,"")))</f>
        <v/>
      </c>
      <c r="CE145" s="497" t="str">
        <f>IF($X$49="WEEKS","",IF($Z145="Manual Entry hrs/wk","",IF($X$49&gt;'FORMULA REFS'!AY$1,$Z145,"")))</f>
        <v/>
      </c>
      <c r="CF145" s="497" t="str">
        <f>IF($X$49="WEEKS","",IF($Z145="Manual Entry hrs/wk","",IF($X$49&gt;'FORMULA REFS'!AZ$1,$Z145,"")))</f>
        <v/>
      </c>
      <c r="CG145" s="113"/>
      <c r="CH145" s="349" t="str">
        <f t="shared" si="20"/>
        <v/>
      </c>
      <c r="CI145" s="349"/>
      <c r="CJ145" s="349"/>
      <c r="CK145" s="349"/>
      <c r="CL145" s="350"/>
    </row>
    <row r="146" spans="2:91" hidden="1" outlineLevel="3" x14ac:dyDescent="0.3">
      <c r="B146">
        <v>97</v>
      </c>
      <c r="C146" s="346"/>
      <c r="D146" s="495"/>
      <c r="E146" s="346"/>
      <c r="F146" s="346" t="str">
        <f>IFERROR(_xlfn.XLOOKUP(E146,'Standard Rate Cards'!$BB$11:$BB$23,'Standard Rate Cards'!$BA$11:$BA$23),"")</f>
        <v/>
      </c>
      <c r="G146" s="346"/>
      <c r="H146" s="346" t="str">
        <f>IFERROR(_xlfn.XLOOKUP(G146,'Standard Rate Cards'!$AP$8:$AP$142,'Standard Rate Cards'!$AQ$8:$AQ$142),"")</f>
        <v/>
      </c>
      <c r="I146" s="346"/>
      <c r="J146" s="346"/>
      <c r="K146" s="496"/>
      <c r="L146" s="496" t="str">
        <f t="shared" si="21"/>
        <v xml:space="preserve"> </v>
      </c>
      <c r="M146" s="496" t="str" cm="1">
        <f t="array" ref="M146">IF(ISBLANK(D146),"",IF(D146&lt;&gt;"CrederaUS",INDEX('Standard Rate Cards'!$D$9:$D$433,MATCH(1,('Standard Rate Cards'!$B$9:$B$433='2. Pricing &amp; Import'!D146)*('Standard Rate Cards'!$C$9:$C$433='2. Pricing &amp; Import'!K146),0)),INDEX('Standard Rate Cards'!$D$9:$D$433,MATCH(1,('Standard Rate Cards'!$B$9:$B$433='2. Pricing &amp; Import'!D146)*('Standard Rate Cards'!$C$9:$C$433='2. Pricing &amp; Import'!K146)*('Standard Rate Cards'!$H$9:$H$433=L146),0))))</f>
        <v/>
      </c>
      <c r="N146" s="347"/>
      <c r="O146" s="110" t="str">
        <f>IF(ISBLANK(K146)," ",_xlfn.XLOOKUP(K146,'Standard Rate Cards'!C:C,'Standard Rate Cards'!H:H))</f>
        <v xml:space="preserve"> </v>
      </c>
      <c r="P146" s="246" t="str">
        <f>IF(ISBLANK($K146)," ",_xlfn.XLOOKUP($K146,'Standard Rate Cards'!C:C,'Standard Rate Cards'!F:F))</f>
        <v xml:space="preserve"> </v>
      </c>
      <c r="Q146" s="348"/>
      <c r="R146" s="250"/>
      <c r="S146" s="250"/>
      <c r="T146" s="614"/>
      <c r="U146" s="1637"/>
      <c r="V146" s="1638"/>
      <c r="W146" s="614"/>
      <c r="X146" s="681" t="str">
        <f t="shared" si="22"/>
        <v/>
      </c>
      <c r="Y146" s="682" t="str">
        <f t="shared" si="23"/>
        <v/>
      </c>
      <c r="Z146" s="1630" t="s">
        <v>309</v>
      </c>
      <c r="AA146" s="1631"/>
      <c r="AB146" s="94"/>
      <c r="AC146" s="94"/>
      <c r="AD146" s="94"/>
      <c r="AE146" s="94"/>
      <c r="AF146" s="94"/>
      <c r="AG146" s="497" t="str">
        <f>IF($X$49="WEEKS","",IF($Z146="Manual Entry hrs/wk","",IF($X$49&gt;'FORMULA REFS'!A$1,$Z146,"")))</f>
        <v/>
      </c>
      <c r="AH146" s="497" t="str">
        <f>IF($X$49="WEEKS","",IF($Z146="Manual Entry hrs/wk","",IF($X$49&gt;'FORMULA REFS'!B$1,$Z146,"")))</f>
        <v/>
      </c>
      <c r="AI146" s="497" t="str">
        <f>IF($X$49="WEEKS","",IF($Z146="Manual Entry hrs/wk","",IF($X$49&gt;'FORMULA REFS'!C$1,$Z146,"")))</f>
        <v/>
      </c>
      <c r="AJ146" s="497" t="str">
        <f>IF($X$49="WEEKS","",IF($Z146="Manual Entry hrs/wk","",IF($X$49&gt;'FORMULA REFS'!D$1,$Z146,"")))</f>
        <v/>
      </c>
      <c r="AK146" s="497" t="str">
        <f>IF($X$49="WEEKS","",IF($Z146="Manual Entry hrs/wk","",IF($X$49&gt;'FORMULA REFS'!E$1,$Z146,"")))</f>
        <v/>
      </c>
      <c r="AL146" s="497" t="str">
        <f>IF($X$49="WEEKS","",IF($Z146="Manual Entry hrs/wk","",IF($X$49&gt;'FORMULA REFS'!F$1,$Z146,"")))</f>
        <v/>
      </c>
      <c r="AM146" s="497" t="str">
        <f>IF($X$49="WEEKS","",IF($Z146="Manual Entry hrs/wk","",IF($X$49&gt;'FORMULA REFS'!G$1,$Z146,"")))</f>
        <v/>
      </c>
      <c r="AN146" s="497" t="str">
        <f>IF($X$49="WEEKS","",IF($Z146="Manual Entry hrs/wk","",IF($X$49&gt;'FORMULA REFS'!H$1,$Z146,"")))</f>
        <v/>
      </c>
      <c r="AO146" s="497" t="str">
        <f>IF($X$49="WEEKS","",IF($Z146="Manual Entry hrs/wk","",IF($X$49&gt;'FORMULA REFS'!I$1,$Z146,"")))</f>
        <v/>
      </c>
      <c r="AP146" s="497" t="str">
        <f>IF($X$49="WEEKS","",IF($Z146="Manual Entry hrs/wk","",IF($X$49&gt;'FORMULA REFS'!J$1,$Z146,"")))</f>
        <v/>
      </c>
      <c r="AQ146" s="497" t="str">
        <f>IF($X$49="WEEKS","",IF($Z146="Manual Entry hrs/wk","",IF($X$49&gt;'FORMULA REFS'!K$1,$Z146,"")))</f>
        <v/>
      </c>
      <c r="AR146" s="497" t="str">
        <f>IF($X$49="WEEKS","",IF($Z146="Manual Entry hrs/wk","",IF($X$49&gt;'FORMULA REFS'!L$1,$Z146,"")))</f>
        <v/>
      </c>
      <c r="AS146" s="497" t="str">
        <f>IF($X$49="WEEKS","",IF($Z146="Manual Entry hrs/wk","",IF($X$49&gt;'FORMULA REFS'!M$1,$Z146,"")))</f>
        <v/>
      </c>
      <c r="AT146" s="497" t="str">
        <f>IF($X$49="WEEKS","",IF($Z146="Manual Entry hrs/wk","",IF($X$49&gt;'FORMULA REFS'!N$1,$Z146,"")))</f>
        <v/>
      </c>
      <c r="AU146" s="497" t="str">
        <f>IF($X$49="WEEKS","",IF($Z146="Manual Entry hrs/wk","",IF($X$49&gt;'FORMULA REFS'!O$1,$Z146,"")))</f>
        <v/>
      </c>
      <c r="AV146" s="497" t="str">
        <f>IF($X$49="WEEKS","",IF($Z146="Manual Entry hrs/wk","",IF($X$49&gt;'FORMULA REFS'!P$1,$Z146,"")))</f>
        <v/>
      </c>
      <c r="AW146" s="497" t="str">
        <f>IF($X$49="WEEKS","",IF($Z146="Manual Entry hrs/wk","",IF($X$49&gt;'FORMULA REFS'!Q$1,$Z146,"")))</f>
        <v/>
      </c>
      <c r="AX146" s="497" t="str">
        <f>IF($X$49="WEEKS","",IF($Z146="Manual Entry hrs/wk","",IF($X$49&gt;'FORMULA REFS'!R$1,$Z146,"")))</f>
        <v/>
      </c>
      <c r="AY146" s="497" t="str">
        <f>IF($X$49="WEEKS","",IF($Z146="Manual Entry hrs/wk","",IF($X$49&gt;'FORMULA REFS'!S$1,$Z146,"")))</f>
        <v/>
      </c>
      <c r="AZ146" s="497" t="str">
        <f>IF($X$49="WEEKS","",IF($Z146="Manual Entry hrs/wk","",IF($X$49&gt;'FORMULA REFS'!T$1,$Z146,"")))</f>
        <v/>
      </c>
      <c r="BA146" s="497" t="str">
        <f>IF($X$49="WEEKS","",IF($Z146="Manual Entry hrs/wk","",IF($X$49&gt;'FORMULA REFS'!U$1,$Z146,"")))</f>
        <v/>
      </c>
      <c r="BB146" s="497" t="str">
        <f>IF($X$49="WEEKS","",IF($Z146="Manual Entry hrs/wk","",IF($X$49&gt;'FORMULA REFS'!V$1,$Z146,"")))</f>
        <v/>
      </c>
      <c r="BC146" s="497" t="str">
        <f>IF($X$49="WEEKS","",IF($Z146="Manual Entry hrs/wk","",IF($X$49&gt;'FORMULA REFS'!W$1,$Z146,"")))</f>
        <v/>
      </c>
      <c r="BD146" s="497" t="str">
        <f>IF($X$49="WEEKS","",IF($Z146="Manual Entry hrs/wk","",IF($X$49&gt;'FORMULA REFS'!X$1,$Z146,"")))</f>
        <v/>
      </c>
      <c r="BE146" s="497" t="str">
        <f>IF($X$49="WEEKS","",IF($Z146="Manual Entry hrs/wk","",IF($X$49&gt;'FORMULA REFS'!Y$1,$Z146,"")))</f>
        <v/>
      </c>
      <c r="BF146" s="497" t="str">
        <f>IF($X$49="WEEKS","",IF($Z146="Manual Entry hrs/wk","",IF($X$49&gt;'FORMULA REFS'!Z$1,$Z146,"")))</f>
        <v/>
      </c>
      <c r="BG146" s="497" t="str">
        <f>IF($X$49="WEEKS","",IF($Z146="Manual Entry hrs/wk","",IF($X$49&gt;'FORMULA REFS'!AA$1,$Z146,"")))</f>
        <v/>
      </c>
      <c r="BH146" s="497" t="str">
        <f>IF($X$49="WEEKS","",IF($Z146="Manual Entry hrs/wk","",IF($X$49&gt;'FORMULA REFS'!AB$1,$Z146,"")))</f>
        <v/>
      </c>
      <c r="BI146" s="497" t="str">
        <f>IF($X$49="WEEKS","",IF($Z146="Manual Entry hrs/wk","",IF($X$49&gt;'FORMULA REFS'!AC$1,$Z146,"")))</f>
        <v/>
      </c>
      <c r="BJ146" s="497" t="str">
        <f>IF($X$49="WEEKS","",IF($Z146="Manual Entry hrs/wk","",IF($X$49&gt;'FORMULA REFS'!AD$1,$Z146,"")))</f>
        <v/>
      </c>
      <c r="BK146" s="497" t="str">
        <f>IF($X$49="WEEKS","",IF($Z146="Manual Entry hrs/wk","",IF($X$49&gt;'FORMULA REFS'!AE$1,$Z146,"")))</f>
        <v/>
      </c>
      <c r="BL146" s="497" t="str">
        <f>IF($X$49="WEEKS","",IF($Z146="Manual Entry hrs/wk","",IF($X$49&gt;'FORMULA REFS'!AF$1,$Z146,"")))</f>
        <v/>
      </c>
      <c r="BM146" s="497" t="str">
        <f>IF($X$49="WEEKS","",IF($Z146="Manual Entry hrs/wk","",IF($X$49&gt;'FORMULA REFS'!AG$1,$Z146,"")))</f>
        <v/>
      </c>
      <c r="BN146" s="497" t="str">
        <f>IF($X$49="WEEKS","",IF($Z146="Manual Entry hrs/wk","",IF($X$49&gt;'FORMULA REFS'!AH$1,$Z146,"")))</f>
        <v/>
      </c>
      <c r="BO146" s="497" t="str">
        <f>IF($X$49="WEEKS","",IF($Z146="Manual Entry hrs/wk","",IF($X$49&gt;'FORMULA REFS'!AI$1,$Z146,"")))</f>
        <v/>
      </c>
      <c r="BP146" s="497" t="str">
        <f>IF($X$49="WEEKS","",IF($Z146="Manual Entry hrs/wk","",IF($X$49&gt;'FORMULA REFS'!AJ$1,$Z146,"")))</f>
        <v/>
      </c>
      <c r="BQ146" s="497" t="str">
        <f>IF($X$49="WEEKS","",IF($Z146="Manual Entry hrs/wk","",IF($X$49&gt;'FORMULA REFS'!AK$1,$Z146,"")))</f>
        <v/>
      </c>
      <c r="BR146" s="497" t="str">
        <f>IF($X$49="WEEKS","",IF($Z146="Manual Entry hrs/wk","",IF($X$49&gt;'FORMULA REFS'!AL$1,$Z146,"")))</f>
        <v/>
      </c>
      <c r="BS146" s="497" t="str">
        <f>IF($X$49="WEEKS","",IF($Z146="Manual Entry hrs/wk","",IF($X$49&gt;'FORMULA REFS'!AM$1,$Z146,"")))</f>
        <v/>
      </c>
      <c r="BT146" s="497" t="str">
        <f>IF($X$49="WEEKS","",IF($Z146="Manual Entry hrs/wk","",IF($X$49&gt;'FORMULA REFS'!AN$1,$Z146,"")))</f>
        <v/>
      </c>
      <c r="BU146" s="497" t="str">
        <f>IF($X$49="WEEKS","",IF($Z146="Manual Entry hrs/wk","",IF($X$49&gt;'FORMULA REFS'!AO$1,$Z146,"")))</f>
        <v/>
      </c>
      <c r="BV146" s="497" t="str">
        <f>IF($X$49="WEEKS","",IF($Z146="Manual Entry hrs/wk","",IF($X$49&gt;'FORMULA REFS'!AP$1,$Z146,"")))</f>
        <v/>
      </c>
      <c r="BW146" s="497" t="str">
        <f>IF($X$49="WEEKS","",IF($Z146="Manual Entry hrs/wk","",IF($X$49&gt;'FORMULA REFS'!AQ$1,$Z146,"")))</f>
        <v/>
      </c>
      <c r="BX146" s="497" t="str">
        <f>IF($X$49="WEEKS","",IF($Z146="Manual Entry hrs/wk","",IF($X$49&gt;'FORMULA REFS'!AR$1,$Z146,"")))</f>
        <v/>
      </c>
      <c r="BY146" s="497" t="str">
        <f>IF($X$49="WEEKS","",IF($Z146="Manual Entry hrs/wk","",IF($X$49&gt;'FORMULA REFS'!AS$1,$Z146,"")))</f>
        <v/>
      </c>
      <c r="BZ146" s="497" t="str">
        <f>IF($X$49="WEEKS","",IF($Z146="Manual Entry hrs/wk","",IF($X$49&gt;'FORMULA REFS'!AT$1,$Z146,"")))</f>
        <v/>
      </c>
      <c r="CA146" s="497" t="str">
        <f>IF($X$49="WEEKS","",IF($Z146="Manual Entry hrs/wk","",IF($X$49&gt;'FORMULA REFS'!AU$1,$Z146,"")))</f>
        <v/>
      </c>
      <c r="CB146" s="497" t="str">
        <f>IF($X$49="WEEKS","",IF($Z146="Manual Entry hrs/wk","",IF($X$49&gt;'FORMULA REFS'!AV$1,$Z146,"")))</f>
        <v/>
      </c>
      <c r="CC146" s="497" t="str">
        <f>IF($X$49="WEEKS","",IF($Z146="Manual Entry hrs/wk","",IF($X$49&gt;'FORMULA REFS'!AW$1,$Z146,"")))</f>
        <v/>
      </c>
      <c r="CD146" s="497" t="str">
        <f>IF($X$49="WEEKS","",IF($Z146="Manual Entry hrs/wk","",IF($X$49&gt;'FORMULA REFS'!AX$1,$Z146,"")))</f>
        <v/>
      </c>
      <c r="CE146" s="497" t="str">
        <f>IF($X$49="WEEKS","",IF($Z146="Manual Entry hrs/wk","",IF($X$49&gt;'FORMULA REFS'!AY$1,$Z146,"")))</f>
        <v/>
      </c>
      <c r="CF146" s="497" t="str">
        <f>IF($X$49="WEEKS","",IF($Z146="Manual Entry hrs/wk","",IF($X$49&gt;'FORMULA REFS'!AZ$1,$Z146,"")))</f>
        <v/>
      </c>
      <c r="CG146" s="113"/>
      <c r="CH146" s="349" t="str">
        <f t="shared" si="20"/>
        <v/>
      </c>
      <c r="CI146" s="349">
        <f>IFERROR((_xlfn.XLOOKUP($M146,'Standard Rate Cards'!D:D,'Standard Rate Cards'!E:E))*AA146,0)</f>
        <v>0</v>
      </c>
      <c r="CJ146" s="349">
        <f>IFERROR(IF($M146="",0,IF($D$16="Client Custom Rates",0,IF($D$16="Standard Rates",_xlfn.XLOOKUP($M146,'Standard Rate Cards'!$D:$D,'Standard Rate Cards'!G:G)))),0)</f>
        <v>0</v>
      </c>
      <c r="CK146" s="349" cm="1">
        <f t="array" ref="CK146">IFERROR(IF($D$16&lt;&gt;"Client Custom Rates",0,INDEX('Client Rate Cards'!E:E,MATCH(1,('Client Rate Cards'!A:A='2. Pricing &amp; Import'!$D$9)*('Client Rate Cards'!D:D='2. Pricing &amp; Import'!N146),0))),0)</f>
        <v>0</v>
      </c>
      <c r="CL146" s="350"/>
    </row>
    <row r="147" spans="2:91" hidden="1" outlineLevel="3" x14ac:dyDescent="0.3">
      <c r="B147">
        <v>98</v>
      </c>
      <c r="C147" s="346"/>
      <c r="D147" s="495"/>
      <c r="E147" s="346"/>
      <c r="F147" s="346" t="str">
        <f>IFERROR(_xlfn.XLOOKUP(E147,'Standard Rate Cards'!$BB$11:$BB$23,'Standard Rate Cards'!$BA$11:$BA$23),"")</f>
        <v/>
      </c>
      <c r="G147" s="346"/>
      <c r="H147" s="346" t="str">
        <f>IFERROR(_xlfn.XLOOKUP(G147,'Standard Rate Cards'!$AP$8:$AP$142,'Standard Rate Cards'!$AQ$8:$AQ$142),"")</f>
        <v/>
      </c>
      <c r="I147" s="346"/>
      <c r="J147" s="346"/>
      <c r="K147" s="496"/>
      <c r="L147" s="496" t="str">
        <f t="shared" si="21"/>
        <v xml:space="preserve"> </v>
      </c>
      <c r="M147" s="496" t="str" cm="1">
        <f t="array" ref="M147">IF(ISBLANK(D147),"",IF(D147&lt;&gt;"CrederaUS",INDEX('Standard Rate Cards'!$D$9:$D$433,MATCH(1,('Standard Rate Cards'!$B$9:$B$433='2. Pricing &amp; Import'!D147)*('Standard Rate Cards'!$C$9:$C$433='2. Pricing &amp; Import'!K147),0)),INDEX('Standard Rate Cards'!$D$9:$D$433,MATCH(1,('Standard Rate Cards'!$B$9:$B$433='2. Pricing &amp; Import'!D147)*('Standard Rate Cards'!$C$9:$C$433='2. Pricing &amp; Import'!K147)*('Standard Rate Cards'!$H$9:$H$433=L147),0))))</f>
        <v/>
      </c>
      <c r="N147" s="347"/>
      <c r="O147" s="110" t="str">
        <f>IF(ISBLANK(K147)," ",_xlfn.XLOOKUP(K147,'Standard Rate Cards'!C:C,'Standard Rate Cards'!H:H))</f>
        <v xml:space="preserve"> </v>
      </c>
      <c r="P147" s="246" t="str">
        <f>IF(ISBLANK($K147)," ",_xlfn.XLOOKUP($K147,'Standard Rate Cards'!C:C,'Standard Rate Cards'!F:F))</f>
        <v xml:space="preserve"> </v>
      </c>
      <c r="Q147" s="348"/>
      <c r="R147" s="250"/>
      <c r="S147" s="250"/>
      <c r="T147" s="614"/>
      <c r="U147" s="1637"/>
      <c r="V147" s="1638"/>
      <c r="W147" s="614"/>
      <c r="X147" s="681" t="str">
        <f t="shared" si="22"/>
        <v/>
      </c>
      <c r="Y147" s="682" t="str">
        <f t="shared" si="23"/>
        <v/>
      </c>
      <c r="Z147" s="1630" t="s">
        <v>309</v>
      </c>
      <c r="AA147" s="1631"/>
      <c r="AB147" s="94"/>
      <c r="AC147" s="94"/>
      <c r="AD147" s="94"/>
      <c r="AE147" s="94"/>
      <c r="AF147" s="94"/>
      <c r="AG147" s="497" t="str">
        <f>IF($X$49="WEEKS","",IF($Z147="Manual Entry hrs/wk","",IF($X$49&gt;'FORMULA REFS'!A$1,$Z147,"")))</f>
        <v/>
      </c>
      <c r="AH147" s="497" t="str">
        <f>IF($X$49="WEEKS","",IF($Z147="Manual Entry hrs/wk","",IF($X$49&gt;'FORMULA REFS'!B$1,$Z147,"")))</f>
        <v/>
      </c>
      <c r="AI147" s="497" t="str">
        <f>IF($X$49="WEEKS","",IF($Z147="Manual Entry hrs/wk","",IF($X$49&gt;'FORMULA REFS'!C$1,$Z147,"")))</f>
        <v/>
      </c>
      <c r="AJ147" s="497" t="str">
        <f>IF($X$49="WEEKS","",IF($Z147="Manual Entry hrs/wk","",IF($X$49&gt;'FORMULA REFS'!D$1,$Z147,"")))</f>
        <v/>
      </c>
      <c r="AK147" s="497" t="str">
        <f>IF($X$49="WEEKS","",IF($Z147="Manual Entry hrs/wk","",IF($X$49&gt;'FORMULA REFS'!E$1,$Z147,"")))</f>
        <v/>
      </c>
      <c r="AL147" s="497" t="str">
        <f>IF($X$49="WEEKS","",IF($Z147="Manual Entry hrs/wk","",IF($X$49&gt;'FORMULA REFS'!F$1,$Z147,"")))</f>
        <v/>
      </c>
      <c r="AM147" s="497" t="str">
        <f>IF($X$49="WEEKS","",IF($Z147="Manual Entry hrs/wk","",IF($X$49&gt;'FORMULA REFS'!G$1,$Z147,"")))</f>
        <v/>
      </c>
      <c r="AN147" s="497" t="str">
        <f>IF($X$49="WEEKS","",IF($Z147="Manual Entry hrs/wk","",IF($X$49&gt;'FORMULA REFS'!H$1,$Z147,"")))</f>
        <v/>
      </c>
      <c r="AO147" s="497" t="str">
        <f>IF($X$49="WEEKS","",IF($Z147="Manual Entry hrs/wk","",IF($X$49&gt;'FORMULA REFS'!I$1,$Z147,"")))</f>
        <v/>
      </c>
      <c r="AP147" s="497" t="str">
        <f>IF($X$49="WEEKS","",IF($Z147="Manual Entry hrs/wk","",IF($X$49&gt;'FORMULA REFS'!J$1,$Z147,"")))</f>
        <v/>
      </c>
      <c r="AQ147" s="497" t="str">
        <f>IF($X$49="WEEKS","",IF($Z147="Manual Entry hrs/wk","",IF($X$49&gt;'FORMULA REFS'!K$1,$Z147,"")))</f>
        <v/>
      </c>
      <c r="AR147" s="497" t="str">
        <f>IF($X$49="WEEKS","",IF($Z147="Manual Entry hrs/wk","",IF($X$49&gt;'FORMULA REFS'!L$1,$Z147,"")))</f>
        <v/>
      </c>
      <c r="AS147" s="497" t="str">
        <f>IF($X$49="WEEKS","",IF($Z147="Manual Entry hrs/wk","",IF($X$49&gt;'FORMULA REFS'!M$1,$Z147,"")))</f>
        <v/>
      </c>
      <c r="AT147" s="497" t="str">
        <f>IF($X$49="WEEKS","",IF($Z147="Manual Entry hrs/wk","",IF($X$49&gt;'FORMULA REFS'!N$1,$Z147,"")))</f>
        <v/>
      </c>
      <c r="AU147" s="497" t="str">
        <f>IF($X$49="WEEKS","",IF($Z147="Manual Entry hrs/wk","",IF($X$49&gt;'FORMULA REFS'!O$1,$Z147,"")))</f>
        <v/>
      </c>
      <c r="AV147" s="497" t="str">
        <f>IF($X$49="WEEKS","",IF($Z147="Manual Entry hrs/wk","",IF($X$49&gt;'FORMULA REFS'!P$1,$Z147,"")))</f>
        <v/>
      </c>
      <c r="AW147" s="497" t="str">
        <f>IF($X$49="WEEKS","",IF($Z147="Manual Entry hrs/wk","",IF($X$49&gt;'FORMULA REFS'!Q$1,$Z147,"")))</f>
        <v/>
      </c>
      <c r="AX147" s="497" t="str">
        <f>IF($X$49="WEEKS","",IF($Z147="Manual Entry hrs/wk","",IF($X$49&gt;'FORMULA REFS'!R$1,$Z147,"")))</f>
        <v/>
      </c>
      <c r="AY147" s="497" t="str">
        <f>IF($X$49="WEEKS","",IF($Z147="Manual Entry hrs/wk","",IF($X$49&gt;'FORMULA REFS'!S$1,$Z147,"")))</f>
        <v/>
      </c>
      <c r="AZ147" s="497" t="str">
        <f>IF($X$49="WEEKS","",IF($Z147="Manual Entry hrs/wk","",IF($X$49&gt;'FORMULA REFS'!T$1,$Z147,"")))</f>
        <v/>
      </c>
      <c r="BA147" s="497" t="str">
        <f>IF($X$49="WEEKS","",IF($Z147="Manual Entry hrs/wk","",IF($X$49&gt;'FORMULA REFS'!U$1,$Z147,"")))</f>
        <v/>
      </c>
      <c r="BB147" s="497" t="str">
        <f>IF($X$49="WEEKS","",IF($Z147="Manual Entry hrs/wk","",IF($X$49&gt;'FORMULA REFS'!V$1,$Z147,"")))</f>
        <v/>
      </c>
      <c r="BC147" s="497" t="str">
        <f>IF($X$49="WEEKS","",IF($Z147="Manual Entry hrs/wk","",IF($X$49&gt;'FORMULA REFS'!W$1,$Z147,"")))</f>
        <v/>
      </c>
      <c r="BD147" s="497" t="str">
        <f>IF($X$49="WEEKS","",IF($Z147="Manual Entry hrs/wk","",IF($X$49&gt;'FORMULA REFS'!X$1,$Z147,"")))</f>
        <v/>
      </c>
      <c r="BE147" s="497" t="str">
        <f>IF($X$49="WEEKS","",IF($Z147="Manual Entry hrs/wk","",IF($X$49&gt;'FORMULA REFS'!Y$1,$Z147,"")))</f>
        <v/>
      </c>
      <c r="BF147" s="497" t="str">
        <f>IF($X$49="WEEKS","",IF($Z147="Manual Entry hrs/wk","",IF($X$49&gt;'FORMULA REFS'!Z$1,$Z147,"")))</f>
        <v/>
      </c>
      <c r="BG147" s="497" t="str">
        <f>IF($X$49="WEEKS","",IF($Z147="Manual Entry hrs/wk","",IF($X$49&gt;'FORMULA REFS'!AA$1,$Z147,"")))</f>
        <v/>
      </c>
      <c r="BH147" s="497" t="str">
        <f>IF($X$49="WEEKS","",IF($Z147="Manual Entry hrs/wk","",IF($X$49&gt;'FORMULA REFS'!AB$1,$Z147,"")))</f>
        <v/>
      </c>
      <c r="BI147" s="497" t="str">
        <f>IF($X$49="WEEKS","",IF($Z147="Manual Entry hrs/wk","",IF($X$49&gt;'FORMULA REFS'!AC$1,$Z147,"")))</f>
        <v/>
      </c>
      <c r="BJ147" s="497" t="str">
        <f>IF($X$49="WEEKS","",IF($Z147="Manual Entry hrs/wk","",IF($X$49&gt;'FORMULA REFS'!AD$1,$Z147,"")))</f>
        <v/>
      </c>
      <c r="BK147" s="497" t="str">
        <f>IF($X$49="WEEKS","",IF($Z147="Manual Entry hrs/wk","",IF($X$49&gt;'FORMULA REFS'!AE$1,$Z147,"")))</f>
        <v/>
      </c>
      <c r="BL147" s="497" t="str">
        <f>IF($X$49="WEEKS","",IF($Z147="Manual Entry hrs/wk","",IF($X$49&gt;'FORMULA REFS'!AF$1,$Z147,"")))</f>
        <v/>
      </c>
      <c r="BM147" s="497" t="str">
        <f>IF($X$49="WEEKS","",IF($Z147="Manual Entry hrs/wk","",IF($X$49&gt;'FORMULA REFS'!AG$1,$Z147,"")))</f>
        <v/>
      </c>
      <c r="BN147" s="497" t="str">
        <f>IF($X$49="WEEKS","",IF($Z147="Manual Entry hrs/wk","",IF($X$49&gt;'FORMULA REFS'!AH$1,$Z147,"")))</f>
        <v/>
      </c>
      <c r="BO147" s="497" t="str">
        <f>IF($X$49="WEEKS","",IF($Z147="Manual Entry hrs/wk","",IF($X$49&gt;'FORMULA REFS'!AI$1,$Z147,"")))</f>
        <v/>
      </c>
      <c r="BP147" s="497" t="str">
        <f>IF($X$49="WEEKS","",IF($Z147="Manual Entry hrs/wk","",IF($X$49&gt;'FORMULA REFS'!AJ$1,$Z147,"")))</f>
        <v/>
      </c>
      <c r="BQ147" s="497" t="str">
        <f>IF($X$49="WEEKS","",IF($Z147="Manual Entry hrs/wk","",IF($X$49&gt;'FORMULA REFS'!AK$1,$Z147,"")))</f>
        <v/>
      </c>
      <c r="BR147" s="497" t="str">
        <f>IF($X$49="WEEKS","",IF($Z147="Manual Entry hrs/wk","",IF($X$49&gt;'FORMULA REFS'!AL$1,$Z147,"")))</f>
        <v/>
      </c>
      <c r="BS147" s="497" t="str">
        <f>IF($X$49="WEEKS","",IF($Z147="Manual Entry hrs/wk","",IF($X$49&gt;'FORMULA REFS'!AM$1,$Z147,"")))</f>
        <v/>
      </c>
      <c r="BT147" s="497" t="str">
        <f>IF($X$49="WEEKS","",IF($Z147="Manual Entry hrs/wk","",IF($X$49&gt;'FORMULA REFS'!AN$1,$Z147,"")))</f>
        <v/>
      </c>
      <c r="BU147" s="497" t="str">
        <f>IF($X$49="WEEKS","",IF($Z147="Manual Entry hrs/wk","",IF($X$49&gt;'FORMULA REFS'!AO$1,$Z147,"")))</f>
        <v/>
      </c>
      <c r="BV147" s="497" t="str">
        <f>IF($X$49="WEEKS","",IF($Z147="Manual Entry hrs/wk","",IF($X$49&gt;'FORMULA REFS'!AP$1,$Z147,"")))</f>
        <v/>
      </c>
      <c r="BW147" s="497" t="str">
        <f>IF($X$49="WEEKS","",IF($Z147="Manual Entry hrs/wk","",IF($X$49&gt;'FORMULA REFS'!AQ$1,$Z147,"")))</f>
        <v/>
      </c>
      <c r="BX147" s="497" t="str">
        <f>IF($X$49="WEEKS","",IF($Z147="Manual Entry hrs/wk","",IF($X$49&gt;'FORMULA REFS'!AR$1,$Z147,"")))</f>
        <v/>
      </c>
      <c r="BY147" s="497" t="str">
        <f>IF($X$49="WEEKS","",IF($Z147="Manual Entry hrs/wk","",IF($X$49&gt;'FORMULA REFS'!AS$1,$Z147,"")))</f>
        <v/>
      </c>
      <c r="BZ147" s="497" t="str">
        <f>IF($X$49="WEEKS","",IF($Z147="Manual Entry hrs/wk","",IF($X$49&gt;'FORMULA REFS'!AT$1,$Z147,"")))</f>
        <v/>
      </c>
      <c r="CA147" s="497" t="str">
        <f>IF($X$49="WEEKS","",IF($Z147="Manual Entry hrs/wk","",IF($X$49&gt;'FORMULA REFS'!AU$1,$Z147,"")))</f>
        <v/>
      </c>
      <c r="CB147" s="497" t="str">
        <f>IF($X$49="WEEKS","",IF($Z147="Manual Entry hrs/wk","",IF($X$49&gt;'FORMULA REFS'!AV$1,$Z147,"")))</f>
        <v/>
      </c>
      <c r="CC147" s="497" t="str">
        <f>IF($X$49="WEEKS","",IF($Z147="Manual Entry hrs/wk","",IF($X$49&gt;'FORMULA REFS'!AW$1,$Z147,"")))</f>
        <v/>
      </c>
      <c r="CD147" s="497" t="str">
        <f>IF($X$49="WEEKS","",IF($Z147="Manual Entry hrs/wk","",IF($X$49&gt;'FORMULA REFS'!AX$1,$Z147,"")))</f>
        <v/>
      </c>
      <c r="CE147" s="497" t="str">
        <f>IF($X$49="WEEKS","",IF($Z147="Manual Entry hrs/wk","",IF($X$49&gt;'FORMULA REFS'!AY$1,$Z147,"")))</f>
        <v/>
      </c>
      <c r="CF147" s="497" t="str">
        <f>IF($X$49="WEEKS","",IF($Z147="Manual Entry hrs/wk","",IF($X$49&gt;'FORMULA REFS'!AZ$1,$Z147,"")))</f>
        <v/>
      </c>
      <c r="CG147" s="113"/>
      <c r="CH147" s="349" t="str">
        <f t="shared" si="20"/>
        <v/>
      </c>
      <c r="CI147" s="349">
        <f>IFERROR((_xlfn.XLOOKUP($M147,'Standard Rate Cards'!D:D,'Standard Rate Cards'!E:E))*AA147,0)</f>
        <v>0</v>
      </c>
      <c r="CJ147" s="349">
        <f>IFERROR(IF($M147="",0,IF($D$16="Client Custom Rates",0,IF($D$16="Standard Rates",_xlfn.XLOOKUP($M147,'Standard Rate Cards'!$D:$D,'Standard Rate Cards'!G:G)))),0)</f>
        <v>0</v>
      </c>
      <c r="CK147" s="349" cm="1">
        <f t="array" ref="CK147">IFERROR(IF($D$16&lt;&gt;"Client Custom Rates",0,INDEX('Client Rate Cards'!E:E,MATCH(1,('Client Rate Cards'!A:A='2. Pricing &amp; Import'!$D$9)*('Client Rate Cards'!D:D='2. Pricing &amp; Import'!N147),0))),0)</f>
        <v>0</v>
      </c>
      <c r="CL147" s="350"/>
    </row>
    <row r="148" spans="2:91" hidden="1" outlineLevel="3" x14ac:dyDescent="0.3">
      <c r="B148">
        <v>99</v>
      </c>
      <c r="C148" s="346"/>
      <c r="D148" s="495"/>
      <c r="E148" s="346"/>
      <c r="F148" s="346" t="str">
        <f>IFERROR(_xlfn.XLOOKUP(E148,'Standard Rate Cards'!$BB$11:$BB$23,'Standard Rate Cards'!$BA$11:$BA$23),"")</f>
        <v/>
      </c>
      <c r="G148" s="346"/>
      <c r="H148" s="346" t="str">
        <f>IFERROR(_xlfn.XLOOKUP(G148,'Standard Rate Cards'!$AP$8:$AP$142,'Standard Rate Cards'!$AQ$8:$AQ$142),"")</f>
        <v/>
      </c>
      <c r="I148" s="346"/>
      <c r="J148" s="346"/>
      <c r="K148" s="496"/>
      <c r="L148" s="496" t="str">
        <f t="shared" si="21"/>
        <v xml:space="preserve"> </v>
      </c>
      <c r="M148" s="496" t="str" cm="1">
        <f t="array" ref="M148">IF(ISBLANK(D148),"",IF(D148&lt;&gt;"CrederaUS",INDEX('Standard Rate Cards'!$D$9:$D$433,MATCH(1,('Standard Rate Cards'!$B$9:$B$433='2. Pricing &amp; Import'!D148)*('Standard Rate Cards'!$C$9:$C$433='2. Pricing &amp; Import'!K148),0)),INDEX('Standard Rate Cards'!$D$9:$D$433,MATCH(1,('Standard Rate Cards'!$B$9:$B$433='2. Pricing &amp; Import'!D148)*('Standard Rate Cards'!$C$9:$C$433='2. Pricing &amp; Import'!K148)*('Standard Rate Cards'!$H$9:$H$433=L148),0))))</f>
        <v/>
      </c>
      <c r="N148" s="347"/>
      <c r="O148" s="110" t="str">
        <f>IF(ISBLANK(K148)," ",_xlfn.XLOOKUP(K148,'Standard Rate Cards'!C:C,'Standard Rate Cards'!H:H))</f>
        <v xml:space="preserve"> </v>
      </c>
      <c r="P148" s="246" t="str">
        <f>IF(ISBLANK($K148)," ",_xlfn.XLOOKUP($K148,'Standard Rate Cards'!C:C,'Standard Rate Cards'!F:F))</f>
        <v xml:space="preserve"> </v>
      </c>
      <c r="Q148" s="348"/>
      <c r="R148" s="250"/>
      <c r="S148" s="250"/>
      <c r="T148" s="614"/>
      <c r="U148" s="1637"/>
      <c r="V148" s="1638"/>
      <c r="W148" s="614"/>
      <c r="X148" s="681" t="str">
        <f t="shared" si="22"/>
        <v/>
      </c>
      <c r="Y148" s="682" t="str">
        <f t="shared" si="23"/>
        <v/>
      </c>
      <c r="Z148" s="1630" t="s">
        <v>309</v>
      </c>
      <c r="AA148" s="1631"/>
      <c r="AB148" s="94"/>
      <c r="AC148" s="94"/>
      <c r="AD148" s="94"/>
      <c r="AE148" s="94"/>
      <c r="AF148" s="94"/>
      <c r="AG148" s="497" t="str">
        <f>IF($X$49="WEEKS","",IF($Z148="Manual Entry hrs/wk","",IF($X$49&gt;'FORMULA REFS'!A$1,$Z148,"")))</f>
        <v/>
      </c>
      <c r="AH148" s="497" t="str">
        <f>IF($X$49="WEEKS","",IF($Z148="Manual Entry hrs/wk","",IF($X$49&gt;'FORMULA REFS'!B$1,$Z148,"")))</f>
        <v/>
      </c>
      <c r="AI148" s="497" t="str">
        <f>IF($X$49="WEEKS","",IF($Z148="Manual Entry hrs/wk","",IF($X$49&gt;'FORMULA REFS'!C$1,$Z148,"")))</f>
        <v/>
      </c>
      <c r="AJ148" s="497" t="str">
        <f>IF($X$49="WEEKS","",IF($Z148="Manual Entry hrs/wk","",IF($X$49&gt;'FORMULA REFS'!D$1,$Z148,"")))</f>
        <v/>
      </c>
      <c r="AK148" s="497" t="str">
        <f>IF($X$49="WEEKS","",IF($Z148="Manual Entry hrs/wk","",IF($X$49&gt;'FORMULA REFS'!E$1,$Z148,"")))</f>
        <v/>
      </c>
      <c r="AL148" s="497" t="str">
        <f>IF($X$49="WEEKS","",IF($Z148="Manual Entry hrs/wk","",IF($X$49&gt;'FORMULA REFS'!F$1,$Z148,"")))</f>
        <v/>
      </c>
      <c r="AM148" s="497" t="str">
        <f>IF($X$49="WEEKS","",IF($Z148="Manual Entry hrs/wk","",IF($X$49&gt;'FORMULA REFS'!G$1,$Z148,"")))</f>
        <v/>
      </c>
      <c r="AN148" s="497" t="str">
        <f>IF($X$49="WEEKS","",IF($Z148="Manual Entry hrs/wk","",IF($X$49&gt;'FORMULA REFS'!H$1,$Z148,"")))</f>
        <v/>
      </c>
      <c r="AO148" s="497" t="str">
        <f>IF($X$49="WEEKS","",IF($Z148="Manual Entry hrs/wk","",IF($X$49&gt;'FORMULA REFS'!I$1,$Z148,"")))</f>
        <v/>
      </c>
      <c r="AP148" s="497" t="str">
        <f>IF($X$49="WEEKS","",IF($Z148="Manual Entry hrs/wk","",IF($X$49&gt;'FORMULA REFS'!J$1,$Z148,"")))</f>
        <v/>
      </c>
      <c r="AQ148" s="497" t="str">
        <f>IF($X$49="WEEKS","",IF($Z148="Manual Entry hrs/wk","",IF($X$49&gt;'FORMULA REFS'!K$1,$Z148,"")))</f>
        <v/>
      </c>
      <c r="AR148" s="497" t="str">
        <f>IF($X$49="WEEKS","",IF($Z148="Manual Entry hrs/wk","",IF($X$49&gt;'FORMULA REFS'!L$1,$Z148,"")))</f>
        <v/>
      </c>
      <c r="AS148" s="497" t="str">
        <f>IF($X$49="WEEKS","",IF($Z148="Manual Entry hrs/wk","",IF($X$49&gt;'FORMULA REFS'!M$1,$Z148,"")))</f>
        <v/>
      </c>
      <c r="AT148" s="497" t="str">
        <f>IF($X$49="WEEKS","",IF($Z148="Manual Entry hrs/wk","",IF($X$49&gt;'FORMULA REFS'!N$1,$Z148,"")))</f>
        <v/>
      </c>
      <c r="AU148" s="497" t="str">
        <f>IF($X$49="WEEKS","",IF($Z148="Manual Entry hrs/wk","",IF($X$49&gt;'FORMULA REFS'!O$1,$Z148,"")))</f>
        <v/>
      </c>
      <c r="AV148" s="497" t="str">
        <f>IF($X$49="WEEKS","",IF($Z148="Manual Entry hrs/wk","",IF($X$49&gt;'FORMULA REFS'!P$1,$Z148,"")))</f>
        <v/>
      </c>
      <c r="AW148" s="497" t="str">
        <f>IF($X$49="WEEKS","",IF($Z148="Manual Entry hrs/wk","",IF($X$49&gt;'FORMULA REFS'!Q$1,$Z148,"")))</f>
        <v/>
      </c>
      <c r="AX148" s="497" t="str">
        <f>IF($X$49="WEEKS","",IF($Z148="Manual Entry hrs/wk","",IF($X$49&gt;'FORMULA REFS'!R$1,$Z148,"")))</f>
        <v/>
      </c>
      <c r="AY148" s="497" t="str">
        <f>IF($X$49="WEEKS","",IF($Z148="Manual Entry hrs/wk","",IF($X$49&gt;'FORMULA REFS'!S$1,$Z148,"")))</f>
        <v/>
      </c>
      <c r="AZ148" s="497" t="str">
        <f>IF($X$49="WEEKS","",IF($Z148="Manual Entry hrs/wk","",IF($X$49&gt;'FORMULA REFS'!T$1,$Z148,"")))</f>
        <v/>
      </c>
      <c r="BA148" s="497" t="str">
        <f>IF($X$49="WEEKS","",IF($Z148="Manual Entry hrs/wk","",IF($X$49&gt;'FORMULA REFS'!U$1,$Z148,"")))</f>
        <v/>
      </c>
      <c r="BB148" s="497" t="str">
        <f>IF($X$49="WEEKS","",IF($Z148="Manual Entry hrs/wk","",IF($X$49&gt;'FORMULA REFS'!V$1,$Z148,"")))</f>
        <v/>
      </c>
      <c r="BC148" s="497" t="str">
        <f>IF($X$49="WEEKS","",IF($Z148="Manual Entry hrs/wk","",IF($X$49&gt;'FORMULA REFS'!W$1,$Z148,"")))</f>
        <v/>
      </c>
      <c r="BD148" s="497" t="str">
        <f>IF($X$49="WEEKS","",IF($Z148="Manual Entry hrs/wk","",IF($X$49&gt;'FORMULA REFS'!X$1,$Z148,"")))</f>
        <v/>
      </c>
      <c r="BE148" s="497" t="str">
        <f>IF($X$49="WEEKS","",IF($Z148="Manual Entry hrs/wk","",IF($X$49&gt;'FORMULA REFS'!Y$1,$Z148,"")))</f>
        <v/>
      </c>
      <c r="BF148" s="497" t="str">
        <f>IF($X$49="WEEKS","",IF($Z148="Manual Entry hrs/wk","",IF($X$49&gt;'FORMULA REFS'!Z$1,$Z148,"")))</f>
        <v/>
      </c>
      <c r="BG148" s="497" t="str">
        <f>IF($X$49="WEEKS","",IF($Z148="Manual Entry hrs/wk","",IF($X$49&gt;'FORMULA REFS'!AA$1,$Z148,"")))</f>
        <v/>
      </c>
      <c r="BH148" s="497" t="str">
        <f>IF($X$49="WEEKS","",IF($Z148="Manual Entry hrs/wk","",IF($X$49&gt;'FORMULA REFS'!AB$1,$Z148,"")))</f>
        <v/>
      </c>
      <c r="BI148" s="497" t="str">
        <f>IF($X$49="WEEKS","",IF($Z148="Manual Entry hrs/wk","",IF($X$49&gt;'FORMULA REFS'!AC$1,$Z148,"")))</f>
        <v/>
      </c>
      <c r="BJ148" s="497" t="str">
        <f>IF($X$49="WEEKS","",IF($Z148="Manual Entry hrs/wk","",IF($X$49&gt;'FORMULA REFS'!AD$1,$Z148,"")))</f>
        <v/>
      </c>
      <c r="BK148" s="497" t="str">
        <f>IF($X$49="WEEKS","",IF($Z148="Manual Entry hrs/wk","",IF($X$49&gt;'FORMULA REFS'!AE$1,$Z148,"")))</f>
        <v/>
      </c>
      <c r="BL148" s="497" t="str">
        <f>IF($X$49="WEEKS","",IF($Z148="Manual Entry hrs/wk","",IF($X$49&gt;'FORMULA REFS'!AF$1,$Z148,"")))</f>
        <v/>
      </c>
      <c r="BM148" s="497" t="str">
        <f>IF($X$49="WEEKS","",IF($Z148="Manual Entry hrs/wk","",IF($X$49&gt;'FORMULA REFS'!AG$1,$Z148,"")))</f>
        <v/>
      </c>
      <c r="BN148" s="497" t="str">
        <f>IF($X$49="WEEKS","",IF($Z148="Manual Entry hrs/wk","",IF($X$49&gt;'FORMULA REFS'!AH$1,$Z148,"")))</f>
        <v/>
      </c>
      <c r="BO148" s="497" t="str">
        <f>IF($X$49="WEEKS","",IF($Z148="Manual Entry hrs/wk","",IF($X$49&gt;'FORMULA REFS'!AI$1,$Z148,"")))</f>
        <v/>
      </c>
      <c r="BP148" s="497" t="str">
        <f>IF($X$49="WEEKS","",IF($Z148="Manual Entry hrs/wk","",IF($X$49&gt;'FORMULA REFS'!AJ$1,$Z148,"")))</f>
        <v/>
      </c>
      <c r="BQ148" s="497" t="str">
        <f>IF($X$49="WEEKS","",IF($Z148="Manual Entry hrs/wk","",IF($X$49&gt;'FORMULA REFS'!AK$1,$Z148,"")))</f>
        <v/>
      </c>
      <c r="BR148" s="497" t="str">
        <f>IF($X$49="WEEKS","",IF($Z148="Manual Entry hrs/wk","",IF($X$49&gt;'FORMULA REFS'!AL$1,$Z148,"")))</f>
        <v/>
      </c>
      <c r="BS148" s="497" t="str">
        <f>IF($X$49="WEEKS","",IF($Z148="Manual Entry hrs/wk","",IF($X$49&gt;'FORMULA REFS'!AM$1,$Z148,"")))</f>
        <v/>
      </c>
      <c r="BT148" s="497" t="str">
        <f>IF($X$49="WEEKS","",IF($Z148="Manual Entry hrs/wk","",IF($X$49&gt;'FORMULA REFS'!AN$1,$Z148,"")))</f>
        <v/>
      </c>
      <c r="BU148" s="497" t="str">
        <f>IF($X$49="WEEKS","",IF($Z148="Manual Entry hrs/wk","",IF($X$49&gt;'FORMULA REFS'!AO$1,$Z148,"")))</f>
        <v/>
      </c>
      <c r="BV148" s="497" t="str">
        <f>IF($X$49="WEEKS","",IF($Z148="Manual Entry hrs/wk","",IF($X$49&gt;'FORMULA REFS'!AP$1,$Z148,"")))</f>
        <v/>
      </c>
      <c r="BW148" s="497" t="str">
        <f>IF($X$49="WEEKS","",IF($Z148="Manual Entry hrs/wk","",IF($X$49&gt;'FORMULA REFS'!AQ$1,$Z148,"")))</f>
        <v/>
      </c>
      <c r="BX148" s="497" t="str">
        <f>IF($X$49="WEEKS","",IF($Z148="Manual Entry hrs/wk","",IF($X$49&gt;'FORMULA REFS'!AR$1,$Z148,"")))</f>
        <v/>
      </c>
      <c r="BY148" s="497" t="str">
        <f>IF($X$49="WEEKS","",IF($Z148="Manual Entry hrs/wk","",IF($X$49&gt;'FORMULA REFS'!AS$1,$Z148,"")))</f>
        <v/>
      </c>
      <c r="BZ148" s="497" t="str">
        <f>IF($X$49="WEEKS","",IF($Z148="Manual Entry hrs/wk","",IF($X$49&gt;'FORMULA REFS'!AT$1,$Z148,"")))</f>
        <v/>
      </c>
      <c r="CA148" s="497" t="str">
        <f>IF($X$49="WEEKS","",IF($Z148="Manual Entry hrs/wk","",IF($X$49&gt;'FORMULA REFS'!AU$1,$Z148,"")))</f>
        <v/>
      </c>
      <c r="CB148" s="497" t="str">
        <f>IF($X$49="WEEKS","",IF($Z148="Manual Entry hrs/wk","",IF($X$49&gt;'FORMULA REFS'!AV$1,$Z148,"")))</f>
        <v/>
      </c>
      <c r="CC148" s="497" t="str">
        <f>IF($X$49="WEEKS","",IF($Z148="Manual Entry hrs/wk","",IF($X$49&gt;'FORMULA REFS'!AW$1,$Z148,"")))</f>
        <v/>
      </c>
      <c r="CD148" s="497" t="str">
        <f>IF($X$49="WEEKS","",IF($Z148="Manual Entry hrs/wk","",IF($X$49&gt;'FORMULA REFS'!AX$1,$Z148,"")))</f>
        <v/>
      </c>
      <c r="CE148" s="497" t="str">
        <f>IF($X$49="WEEKS","",IF($Z148="Manual Entry hrs/wk","",IF($X$49&gt;'FORMULA REFS'!AY$1,$Z148,"")))</f>
        <v/>
      </c>
      <c r="CF148" s="497" t="str">
        <f>IF($X$49="WEEKS","",IF($Z148="Manual Entry hrs/wk","",IF($X$49&gt;'FORMULA REFS'!AZ$1,$Z148,"")))</f>
        <v/>
      </c>
      <c r="CG148" s="113"/>
      <c r="CH148" s="349" t="str">
        <f t="shared" si="20"/>
        <v/>
      </c>
      <c r="CI148" s="349">
        <f>IFERROR((_xlfn.XLOOKUP($M148,'Standard Rate Cards'!D:D,'Standard Rate Cards'!E:E))*AA148,0)</f>
        <v>0</v>
      </c>
      <c r="CJ148" s="349">
        <f>IFERROR(IF($M148="",0,IF($D$16="Client Custom Rates",0,IF($D$16="Standard Rates",_xlfn.XLOOKUP($M148,'Standard Rate Cards'!$D:$D,'Standard Rate Cards'!G:G)))),0)</f>
        <v>0</v>
      </c>
      <c r="CK148" s="349" cm="1">
        <f t="array" ref="CK148">IFERROR(IF($D$16&lt;&gt;"Client Custom Rates",0,INDEX('Client Rate Cards'!E:E,MATCH(1,('Client Rate Cards'!A:A='2. Pricing &amp; Import'!$D$9)*('Client Rate Cards'!D:D='2. Pricing &amp; Import'!N148),0))),0)</f>
        <v>0</v>
      </c>
      <c r="CL148" s="350"/>
    </row>
    <row r="149" spans="2:91" hidden="1" outlineLevel="3" x14ac:dyDescent="0.3">
      <c r="B149">
        <v>100</v>
      </c>
      <c r="C149" s="346"/>
      <c r="D149" s="495"/>
      <c r="E149" s="346"/>
      <c r="F149" s="346" t="str">
        <f>IFERROR(_xlfn.XLOOKUP(E149,'Standard Rate Cards'!$BB$11:$BB$23,'Standard Rate Cards'!$BA$11:$BA$23),"")</f>
        <v/>
      </c>
      <c r="G149" s="346"/>
      <c r="H149" s="346" t="str">
        <f>IFERROR(_xlfn.XLOOKUP(G149,'Standard Rate Cards'!$AP$8:$AP$142,'Standard Rate Cards'!$AQ$8:$AQ$142),"")</f>
        <v/>
      </c>
      <c r="I149" s="346"/>
      <c r="J149" s="346"/>
      <c r="K149" s="496"/>
      <c r="L149" s="496" t="str">
        <f t="shared" si="21"/>
        <v xml:space="preserve"> </v>
      </c>
      <c r="M149" s="496" t="str" cm="1">
        <f t="array" ref="M149">IF(ISBLANK(D149),"",IF(D149&lt;&gt;"CrederaUS",INDEX('Standard Rate Cards'!$D$9:$D$433,MATCH(1,('Standard Rate Cards'!$B$9:$B$433='2. Pricing &amp; Import'!D149)*('Standard Rate Cards'!$C$9:$C$433='2. Pricing &amp; Import'!K149),0)),INDEX('Standard Rate Cards'!$D$9:$D$433,MATCH(1,('Standard Rate Cards'!$B$9:$B$433='2. Pricing &amp; Import'!D149)*('Standard Rate Cards'!$C$9:$C$433='2. Pricing &amp; Import'!K149)*('Standard Rate Cards'!$H$9:$H$433=L149),0))))</f>
        <v/>
      </c>
      <c r="N149" s="347"/>
      <c r="O149" s="110" t="str">
        <f>IF(ISBLANK(K149)," ",_xlfn.XLOOKUP(K149,'Standard Rate Cards'!C:C,'Standard Rate Cards'!H:H))</f>
        <v xml:space="preserve"> </v>
      </c>
      <c r="P149" s="246" t="str">
        <f>IF(ISBLANK($K149)," ",_xlfn.XLOOKUP($K149,'Standard Rate Cards'!C:C,'Standard Rate Cards'!F:F))</f>
        <v xml:space="preserve"> </v>
      </c>
      <c r="Q149" s="348"/>
      <c r="R149" s="250"/>
      <c r="S149" s="250"/>
      <c r="T149" s="614"/>
      <c r="U149" s="1637"/>
      <c r="V149" s="1638"/>
      <c r="W149" s="614"/>
      <c r="X149" s="681" t="str">
        <f t="shared" si="22"/>
        <v/>
      </c>
      <c r="Y149" s="682" t="str">
        <f t="shared" si="23"/>
        <v/>
      </c>
      <c r="Z149" s="1630" t="s">
        <v>309</v>
      </c>
      <c r="AA149" s="1631"/>
      <c r="AB149" s="94"/>
      <c r="AC149" s="94"/>
      <c r="AD149" s="94"/>
      <c r="AE149" s="94"/>
      <c r="AF149" s="94"/>
      <c r="AG149" s="497" t="str">
        <f>IF($X$49="WEEKS","",IF($Z149="Manual Entry hrs/wk","",IF($X$49&gt;'FORMULA REFS'!A$1,$Z149,"")))</f>
        <v/>
      </c>
      <c r="AH149" s="497" t="str">
        <f>IF($X$49="WEEKS","",IF($Z149="Manual Entry hrs/wk","",IF($X$49&gt;'FORMULA REFS'!B$1,$Z149,"")))</f>
        <v/>
      </c>
      <c r="AI149" s="497" t="str">
        <f>IF($X$49="WEEKS","",IF($Z149="Manual Entry hrs/wk","",IF($X$49&gt;'FORMULA REFS'!C$1,$Z149,"")))</f>
        <v/>
      </c>
      <c r="AJ149" s="497" t="str">
        <f>IF($X$49="WEEKS","",IF($Z149="Manual Entry hrs/wk","",IF($X$49&gt;'FORMULA REFS'!D$1,$Z149,"")))</f>
        <v/>
      </c>
      <c r="AK149" s="497" t="str">
        <f>IF($X$49="WEEKS","",IF($Z149="Manual Entry hrs/wk","",IF($X$49&gt;'FORMULA REFS'!E$1,$Z149,"")))</f>
        <v/>
      </c>
      <c r="AL149" s="497" t="str">
        <f>IF($X$49="WEEKS","",IF($Z149="Manual Entry hrs/wk","",IF($X$49&gt;'FORMULA REFS'!F$1,$Z149,"")))</f>
        <v/>
      </c>
      <c r="AM149" s="497" t="str">
        <f>IF($X$49="WEEKS","",IF($Z149="Manual Entry hrs/wk","",IF($X$49&gt;'FORMULA REFS'!G$1,$Z149,"")))</f>
        <v/>
      </c>
      <c r="AN149" s="497" t="str">
        <f>IF($X$49="WEEKS","",IF($Z149="Manual Entry hrs/wk","",IF($X$49&gt;'FORMULA REFS'!H$1,$Z149,"")))</f>
        <v/>
      </c>
      <c r="AO149" s="497" t="str">
        <f>IF($X$49="WEEKS","",IF($Z149="Manual Entry hrs/wk","",IF($X$49&gt;'FORMULA REFS'!I$1,$Z149,"")))</f>
        <v/>
      </c>
      <c r="AP149" s="497" t="str">
        <f>IF($X$49="WEEKS","",IF($Z149="Manual Entry hrs/wk","",IF($X$49&gt;'FORMULA REFS'!J$1,$Z149,"")))</f>
        <v/>
      </c>
      <c r="AQ149" s="497" t="str">
        <f>IF($X$49="WEEKS","",IF($Z149="Manual Entry hrs/wk","",IF($X$49&gt;'FORMULA REFS'!K$1,$Z149,"")))</f>
        <v/>
      </c>
      <c r="AR149" s="497" t="str">
        <f>IF($X$49="WEEKS","",IF($Z149="Manual Entry hrs/wk","",IF($X$49&gt;'FORMULA REFS'!L$1,$Z149,"")))</f>
        <v/>
      </c>
      <c r="AS149" s="497" t="str">
        <f>IF($X$49="WEEKS","",IF($Z149="Manual Entry hrs/wk","",IF($X$49&gt;'FORMULA REFS'!M$1,$Z149,"")))</f>
        <v/>
      </c>
      <c r="AT149" s="497" t="str">
        <f>IF($X$49="WEEKS","",IF($Z149="Manual Entry hrs/wk","",IF($X$49&gt;'FORMULA REFS'!N$1,$Z149,"")))</f>
        <v/>
      </c>
      <c r="AU149" s="497" t="str">
        <f>IF($X$49="WEEKS","",IF($Z149="Manual Entry hrs/wk","",IF($X$49&gt;'FORMULA REFS'!O$1,$Z149,"")))</f>
        <v/>
      </c>
      <c r="AV149" s="497" t="str">
        <f>IF($X$49="WEEKS","",IF($Z149="Manual Entry hrs/wk","",IF($X$49&gt;'FORMULA REFS'!P$1,$Z149,"")))</f>
        <v/>
      </c>
      <c r="AW149" s="497" t="str">
        <f>IF($X$49="WEEKS","",IF($Z149="Manual Entry hrs/wk","",IF($X$49&gt;'FORMULA REFS'!Q$1,$Z149,"")))</f>
        <v/>
      </c>
      <c r="AX149" s="497" t="str">
        <f>IF($X$49="WEEKS","",IF($Z149="Manual Entry hrs/wk","",IF($X$49&gt;'FORMULA REFS'!R$1,$Z149,"")))</f>
        <v/>
      </c>
      <c r="AY149" s="497" t="str">
        <f>IF($X$49="WEEKS","",IF($Z149="Manual Entry hrs/wk","",IF($X$49&gt;'FORMULA REFS'!S$1,$Z149,"")))</f>
        <v/>
      </c>
      <c r="AZ149" s="497" t="str">
        <f>IF($X$49="WEEKS","",IF($Z149="Manual Entry hrs/wk","",IF($X$49&gt;'FORMULA REFS'!T$1,$Z149,"")))</f>
        <v/>
      </c>
      <c r="BA149" s="497" t="str">
        <f>IF($X$49="WEEKS","",IF($Z149="Manual Entry hrs/wk","",IF($X$49&gt;'FORMULA REFS'!U$1,$Z149,"")))</f>
        <v/>
      </c>
      <c r="BB149" s="497" t="str">
        <f>IF($X$49="WEEKS","",IF($Z149="Manual Entry hrs/wk","",IF($X$49&gt;'FORMULA REFS'!V$1,$Z149,"")))</f>
        <v/>
      </c>
      <c r="BC149" s="497" t="str">
        <f>IF($X$49="WEEKS","",IF($Z149="Manual Entry hrs/wk","",IF($X$49&gt;'FORMULA REFS'!W$1,$Z149,"")))</f>
        <v/>
      </c>
      <c r="BD149" s="497" t="str">
        <f>IF($X$49="WEEKS","",IF($Z149="Manual Entry hrs/wk","",IF($X$49&gt;'FORMULA REFS'!X$1,$Z149,"")))</f>
        <v/>
      </c>
      <c r="BE149" s="497" t="str">
        <f>IF($X$49="WEEKS","",IF($Z149="Manual Entry hrs/wk","",IF($X$49&gt;'FORMULA REFS'!Y$1,$Z149,"")))</f>
        <v/>
      </c>
      <c r="BF149" s="497" t="str">
        <f>IF($X$49="WEEKS","",IF($Z149="Manual Entry hrs/wk","",IF($X$49&gt;'FORMULA REFS'!Z$1,$Z149,"")))</f>
        <v/>
      </c>
      <c r="BG149" s="497" t="str">
        <f>IF($X$49="WEEKS","",IF($Z149="Manual Entry hrs/wk","",IF($X$49&gt;'FORMULA REFS'!AA$1,$Z149,"")))</f>
        <v/>
      </c>
      <c r="BH149" s="497" t="str">
        <f>IF($X$49="WEEKS","",IF($Z149="Manual Entry hrs/wk","",IF($X$49&gt;'FORMULA REFS'!AB$1,$Z149,"")))</f>
        <v/>
      </c>
      <c r="BI149" s="497" t="str">
        <f>IF($X$49="WEEKS","",IF($Z149="Manual Entry hrs/wk","",IF($X$49&gt;'FORMULA REFS'!AC$1,$Z149,"")))</f>
        <v/>
      </c>
      <c r="BJ149" s="497" t="str">
        <f>IF($X$49="WEEKS","",IF($Z149="Manual Entry hrs/wk","",IF($X$49&gt;'FORMULA REFS'!AD$1,$Z149,"")))</f>
        <v/>
      </c>
      <c r="BK149" s="497" t="str">
        <f>IF($X$49="WEEKS","",IF($Z149="Manual Entry hrs/wk","",IF($X$49&gt;'FORMULA REFS'!AE$1,$Z149,"")))</f>
        <v/>
      </c>
      <c r="BL149" s="497" t="str">
        <f>IF($X$49="WEEKS","",IF($Z149="Manual Entry hrs/wk","",IF($X$49&gt;'FORMULA REFS'!AF$1,$Z149,"")))</f>
        <v/>
      </c>
      <c r="BM149" s="497" t="str">
        <f>IF($X$49="WEEKS","",IF($Z149="Manual Entry hrs/wk","",IF($X$49&gt;'FORMULA REFS'!AG$1,$Z149,"")))</f>
        <v/>
      </c>
      <c r="BN149" s="497" t="str">
        <f>IF($X$49="WEEKS","",IF($Z149="Manual Entry hrs/wk","",IF($X$49&gt;'FORMULA REFS'!AH$1,$Z149,"")))</f>
        <v/>
      </c>
      <c r="BO149" s="497" t="str">
        <f>IF($X$49="WEEKS","",IF($Z149="Manual Entry hrs/wk","",IF($X$49&gt;'FORMULA REFS'!AI$1,$Z149,"")))</f>
        <v/>
      </c>
      <c r="BP149" s="497" t="str">
        <f>IF($X$49="WEEKS","",IF($Z149="Manual Entry hrs/wk","",IF($X$49&gt;'FORMULA REFS'!AJ$1,$Z149,"")))</f>
        <v/>
      </c>
      <c r="BQ149" s="497" t="str">
        <f>IF($X$49="WEEKS","",IF($Z149="Manual Entry hrs/wk","",IF($X$49&gt;'FORMULA REFS'!AK$1,$Z149,"")))</f>
        <v/>
      </c>
      <c r="BR149" s="497" t="str">
        <f>IF($X$49="WEEKS","",IF($Z149="Manual Entry hrs/wk","",IF($X$49&gt;'FORMULA REFS'!AL$1,$Z149,"")))</f>
        <v/>
      </c>
      <c r="BS149" s="497" t="str">
        <f>IF($X$49="WEEKS","",IF($Z149="Manual Entry hrs/wk","",IF($X$49&gt;'FORMULA REFS'!AM$1,$Z149,"")))</f>
        <v/>
      </c>
      <c r="BT149" s="497" t="str">
        <f>IF($X$49="WEEKS","",IF($Z149="Manual Entry hrs/wk","",IF($X$49&gt;'FORMULA REFS'!AN$1,$Z149,"")))</f>
        <v/>
      </c>
      <c r="BU149" s="497" t="str">
        <f>IF($X$49="WEEKS","",IF($Z149="Manual Entry hrs/wk","",IF($X$49&gt;'FORMULA REFS'!AO$1,$Z149,"")))</f>
        <v/>
      </c>
      <c r="BV149" s="497" t="str">
        <f>IF($X$49="WEEKS","",IF($Z149="Manual Entry hrs/wk","",IF($X$49&gt;'FORMULA REFS'!AP$1,$Z149,"")))</f>
        <v/>
      </c>
      <c r="BW149" s="497" t="str">
        <f>IF($X$49="WEEKS","",IF($Z149="Manual Entry hrs/wk","",IF($X$49&gt;'FORMULA REFS'!AQ$1,$Z149,"")))</f>
        <v/>
      </c>
      <c r="BX149" s="497" t="str">
        <f>IF($X$49="WEEKS","",IF($Z149="Manual Entry hrs/wk","",IF($X$49&gt;'FORMULA REFS'!AR$1,$Z149,"")))</f>
        <v/>
      </c>
      <c r="BY149" s="497" t="str">
        <f>IF($X$49="WEEKS","",IF($Z149="Manual Entry hrs/wk","",IF($X$49&gt;'FORMULA REFS'!AS$1,$Z149,"")))</f>
        <v/>
      </c>
      <c r="BZ149" s="497" t="str">
        <f>IF($X$49="WEEKS","",IF($Z149="Manual Entry hrs/wk","",IF($X$49&gt;'FORMULA REFS'!AT$1,$Z149,"")))</f>
        <v/>
      </c>
      <c r="CA149" s="497" t="str">
        <f>IF($X$49="WEEKS","",IF($Z149="Manual Entry hrs/wk","",IF($X$49&gt;'FORMULA REFS'!AU$1,$Z149,"")))</f>
        <v/>
      </c>
      <c r="CB149" s="497" t="str">
        <f>IF($X$49="WEEKS","",IF($Z149="Manual Entry hrs/wk","",IF($X$49&gt;'FORMULA REFS'!AV$1,$Z149,"")))</f>
        <v/>
      </c>
      <c r="CC149" s="497" t="str">
        <f>IF($X$49="WEEKS","",IF($Z149="Manual Entry hrs/wk","",IF($X$49&gt;'FORMULA REFS'!AW$1,$Z149,"")))</f>
        <v/>
      </c>
      <c r="CD149" s="497" t="str">
        <f>IF($X$49="WEEKS","",IF($Z149="Manual Entry hrs/wk","",IF($X$49&gt;'FORMULA REFS'!AX$1,$Z149,"")))</f>
        <v/>
      </c>
      <c r="CE149" s="497" t="str">
        <f>IF($X$49="WEEKS","",IF($Z149="Manual Entry hrs/wk","",IF($X$49&gt;'FORMULA REFS'!AY$1,$Z149,"")))</f>
        <v/>
      </c>
      <c r="CF149" s="497" t="str">
        <f>IF($X$49="WEEKS","",IF($Z149="Manual Entry hrs/wk","",IF($X$49&gt;'FORMULA REFS'!AZ$1,$Z149,"")))</f>
        <v/>
      </c>
      <c r="CG149" s="113"/>
      <c r="CH149" s="349" t="str">
        <f t="shared" si="20"/>
        <v/>
      </c>
      <c r="CI149" s="349">
        <f>IFERROR((_xlfn.XLOOKUP($M149,'Standard Rate Cards'!D:D,'Standard Rate Cards'!E:E))*AA149,0)</f>
        <v>0</v>
      </c>
      <c r="CJ149" s="349">
        <f>IFERROR(IF($M149="",0,IF($D$16="Client Custom Rates",0,IF($D$16="Standard Rates",_xlfn.XLOOKUP($M149,'Standard Rate Cards'!$D:$D,'Standard Rate Cards'!G:G)))),0)</f>
        <v>0</v>
      </c>
      <c r="CK149" s="349" cm="1">
        <f t="array" ref="CK149">IFERROR(IF($D$16&lt;&gt;"Client Custom Rates",0,INDEX('Client Rate Cards'!E:E,MATCH(1,('Client Rate Cards'!A:A='2. Pricing &amp; Import'!$D$9)*('Client Rate Cards'!D:D='2. Pricing &amp; Import'!N149),0))),0)</f>
        <v>0</v>
      </c>
      <c r="CL149" s="350"/>
    </row>
    <row r="150" spans="2:91" collapsed="1" x14ac:dyDescent="0.3">
      <c r="C150" s="105"/>
      <c r="D150" s="105"/>
      <c r="E150" s="105"/>
      <c r="F150" s="105"/>
      <c r="G150" s="105"/>
      <c r="H150" s="105"/>
      <c r="I150" s="105"/>
      <c r="J150" s="105"/>
      <c r="K150" s="105"/>
      <c r="L150" s="105"/>
      <c r="M150" s="105"/>
      <c r="N150" s="105"/>
      <c r="O150" s="105"/>
      <c r="P150" s="106"/>
      <c r="Q150" s="106"/>
      <c r="R150" s="106"/>
      <c r="S150" s="106"/>
      <c r="T150" s="106"/>
      <c r="U150" s="106"/>
      <c r="V150" s="106"/>
      <c r="W150" s="106"/>
      <c r="X150" s="108"/>
      <c r="Y150" s="210"/>
      <c r="Z150" s="210"/>
      <c r="AA150" s="210"/>
      <c r="AB150" s="210"/>
      <c r="AC150" s="210"/>
      <c r="AD150" s="210"/>
      <c r="AE150" s="210"/>
      <c r="AG150" s="94"/>
      <c r="AH150" s="109"/>
      <c r="AI150" s="109"/>
      <c r="AJ150" s="109"/>
      <c r="AK150" s="109"/>
      <c r="AL150" s="109"/>
      <c r="AM150" s="109"/>
      <c r="AN150" s="109"/>
      <c r="AO150" s="109"/>
      <c r="AP150" s="109"/>
      <c r="AQ150" s="109"/>
      <c r="AR150" s="109"/>
      <c r="AS150" s="109"/>
      <c r="AT150" s="109"/>
      <c r="AU150" s="109"/>
      <c r="AV150" s="109"/>
      <c r="AW150" s="109"/>
      <c r="AX150" s="109"/>
      <c r="AY150" s="109"/>
      <c r="AZ150" s="109"/>
      <c r="BA150" s="109"/>
      <c r="BB150" s="109"/>
      <c r="BC150" s="109"/>
      <c r="BD150" s="109"/>
      <c r="BE150" s="109"/>
      <c r="BF150" s="109"/>
      <c r="BG150" s="109"/>
      <c r="BH150" s="109"/>
      <c r="BI150" s="109"/>
      <c r="BJ150" s="109"/>
      <c r="BK150" s="109"/>
      <c r="BL150" s="109"/>
      <c r="BM150" s="109"/>
      <c r="BN150" s="109"/>
      <c r="BO150" s="109"/>
      <c r="BP150" s="109"/>
      <c r="BQ150" s="109"/>
      <c r="BR150" s="109"/>
      <c r="BS150" s="109"/>
      <c r="BT150" s="109"/>
      <c r="BU150" s="109"/>
      <c r="BV150" s="109"/>
      <c r="BW150" s="109"/>
      <c r="BX150" s="109"/>
      <c r="BY150" s="109"/>
      <c r="BZ150" s="109"/>
      <c r="CA150" s="109"/>
      <c r="CB150" s="109"/>
      <c r="CC150" s="109"/>
      <c r="CD150" s="109"/>
      <c r="CE150" s="109"/>
      <c r="CF150" s="109"/>
      <c r="CG150" s="109"/>
      <c r="CH150" s="737"/>
      <c r="CI150" s="86"/>
      <c r="CJ150" s="85"/>
      <c r="CK150" s="85"/>
      <c r="CL150" s="87"/>
      <c r="CM150" s="85"/>
    </row>
    <row r="151" spans="2:91" ht="15" thickBot="1" x14ac:dyDescent="0.35">
      <c r="C151" s="105"/>
      <c r="D151" s="105"/>
      <c r="E151" s="105"/>
      <c r="F151" s="105"/>
      <c r="G151" s="105"/>
      <c r="H151" s="105"/>
      <c r="I151" s="105"/>
      <c r="J151" s="105"/>
      <c r="K151" s="105"/>
      <c r="L151" s="105"/>
      <c r="M151" s="105"/>
      <c r="N151" s="105"/>
      <c r="O151" s="105"/>
      <c r="P151" s="106"/>
      <c r="Q151" s="106"/>
      <c r="R151" s="106"/>
      <c r="S151" s="106"/>
      <c r="T151" s="106"/>
      <c r="U151" s="106"/>
      <c r="V151" s="106"/>
      <c r="W151" s="106"/>
      <c r="X151" s="107"/>
      <c r="Y151" s="108"/>
      <c r="Z151" s="108"/>
      <c r="AA151" s="108"/>
      <c r="AB151" s="254"/>
      <c r="AC151" s="254"/>
      <c r="AD151" s="254"/>
      <c r="AE151" s="254"/>
      <c r="AF151" s="108"/>
      <c r="AG151" s="695"/>
      <c r="AH151" s="109"/>
      <c r="AI151" s="109"/>
      <c r="AJ151" s="109"/>
      <c r="AK151" s="109"/>
      <c r="AL151" s="109"/>
      <c r="AM151" s="109"/>
      <c r="AN151" s="109"/>
      <c r="AO151" s="109"/>
      <c r="AP151" s="109"/>
      <c r="AQ151" s="109"/>
      <c r="AR151" s="109"/>
      <c r="AS151" s="109"/>
      <c r="AT151" s="109"/>
      <c r="AU151" s="109"/>
      <c r="AV151" s="109"/>
      <c r="AW151" s="109"/>
      <c r="AX151" s="109"/>
      <c r="AY151" s="109"/>
      <c r="AZ151" s="109"/>
      <c r="BA151" s="109"/>
      <c r="BB151" s="109"/>
      <c r="BC151" s="109"/>
      <c r="BD151" s="109"/>
      <c r="BE151" s="109"/>
      <c r="BF151" s="109"/>
      <c r="BG151" s="109"/>
      <c r="BH151" s="109"/>
      <c r="BI151" s="109"/>
      <c r="BJ151" s="109"/>
      <c r="BK151" s="109"/>
      <c r="BL151" s="109"/>
      <c r="BM151" s="109"/>
      <c r="BN151" s="109"/>
      <c r="BO151" s="109"/>
      <c r="BP151" s="109"/>
      <c r="BQ151" s="109"/>
      <c r="BR151" s="109"/>
      <c r="BS151" s="109"/>
      <c r="BT151" s="109"/>
      <c r="BU151" s="109"/>
      <c r="BV151" s="109"/>
      <c r="BW151" s="109"/>
      <c r="BX151" s="109"/>
      <c r="BY151" s="109"/>
      <c r="BZ151" s="109"/>
      <c r="CA151" s="109"/>
      <c r="CB151" s="109"/>
      <c r="CC151" s="109"/>
      <c r="CD151" s="109"/>
      <c r="CE151" s="109"/>
      <c r="CF151" s="109"/>
      <c r="CG151" s="109"/>
      <c r="CH151" s="737"/>
      <c r="CI151" s="86"/>
      <c r="CJ151" s="179"/>
      <c r="CK151" s="85"/>
      <c r="CL151" s="87"/>
      <c r="CM151" s="85"/>
    </row>
    <row r="152" spans="2:91" ht="33" customHeight="1" thickBot="1" x14ac:dyDescent="0.35">
      <c r="Q152" s="106"/>
      <c r="R152" s="106"/>
      <c r="S152" s="601"/>
      <c r="T152" s="601"/>
      <c r="U152" s="601"/>
      <c r="V152" s="601"/>
      <c r="W152" s="601"/>
      <c r="AA152" s="108"/>
      <c r="AB152" s="255"/>
      <c r="AC152" s="255"/>
      <c r="AD152" s="255"/>
      <c r="AE152" s="255"/>
      <c r="AF152" s="442" t="s">
        <v>310</v>
      </c>
      <c r="AG152" s="735">
        <f>IF($Y$49=0," ",AG49/$Y$49)</f>
        <v>3.5714285714285712E-2</v>
      </c>
      <c r="AH152" s="736">
        <f>IF($Y$49=0," ",(SUM($AG$49:AH49))/$Y$49)</f>
        <v>7.1428571428571425E-2</v>
      </c>
      <c r="AI152" s="736">
        <f>IF($Y$49=0," ",(SUM($AG$49:AI49))/$Y$49)</f>
        <v>0.10714285714285714</v>
      </c>
      <c r="AJ152" s="736">
        <f>IF($Y$49=0," ",(SUM($AG$49:AJ49))/$Y$49)</f>
        <v>0.14285714285714285</v>
      </c>
      <c r="AK152" s="736">
        <f>IF($Y$49=0," ",(SUM($AG$49:AK49))/$Y$49)</f>
        <v>0.19642857142857142</v>
      </c>
      <c r="AL152" s="736">
        <f>IF($Y$49=0," ",(SUM($AG$49:AL49))/$Y$49)</f>
        <v>0.25</v>
      </c>
      <c r="AM152" s="736">
        <f>IF($Y$49=0," ",(SUM($AG$49:AM49))/$Y$49)</f>
        <v>0.30357142857142855</v>
      </c>
      <c r="AN152" s="736">
        <f>IF($Y$49=0," ",(SUM($AG$49:AN49))/$Y$49)</f>
        <v>0.35714285714285715</v>
      </c>
      <c r="AO152" s="736">
        <f>IF($Y$49=0," ",(SUM($AG$49:AO49))/$Y$49)</f>
        <v>0.4107142857142857</v>
      </c>
      <c r="AP152" s="736">
        <f>IF($Y$49=0," ",(SUM($AG$49:AP49))/$Y$49)</f>
        <v>0.4642857142857143</v>
      </c>
      <c r="AQ152" s="736">
        <f>IF($Y$49=0," ",(SUM($AG$49:AQ49))/$Y$49)</f>
        <v>0.5178571428571429</v>
      </c>
      <c r="AR152" s="736">
        <f>IF($Y$49=0," ",(SUM($AG$49:AR49))/$Y$49)</f>
        <v>0.5714285714285714</v>
      </c>
      <c r="AS152" s="736">
        <f>IF($Y$49=0," ",(SUM($AG$49:AS49))/$Y$49)</f>
        <v>0.625</v>
      </c>
      <c r="AT152" s="736">
        <f>IF($Y$49=0," ",(SUM($AG$49:AT49))/$Y$49)</f>
        <v>0.6785714285714286</v>
      </c>
      <c r="AU152" s="736">
        <f>IF($Y$49=0," ",(SUM($AG$49:AU49))/$Y$49)</f>
        <v>0.7321428571428571</v>
      </c>
      <c r="AV152" s="736">
        <f>IF($Y$49=0," ",(SUM($AG$49:AV49))/$Y$49)</f>
        <v>0.7857142857142857</v>
      </c>
      <c r="AW152" s="736">
        <f>IF($Y$49=0," ",(SUM($AG$49:AW49))/$Y$49)</f>
        <v>0.8392857142857143</v>
      </c>
      <c r="AX152" s="736">
        <f>IF($Y$49=0," ",(SUM($AG$49:AX49))/$Y$49)</f>
        <v>0.8928571428571429</v>
      </c>
      <c r="AY152" s="736">
        <f>IF($Y$49=0," ",(SUM($AG$49:AY49))/$Y$49)</f>
        <v>0.9464285714285714</v>
      </c>
      <c r="AZ152" s="736">
        <f>IF($Y$49=0," ",(SUM($AG$49:AZ49))/$Y$49)</f>
        <v>1</v>
      </c>
      <c r="BA152" s="736">
        <f>IF($Y$49=0," ",(SUM($AG$49:BA49))/$Y$49)</f>
        <v>1</v>
      </c>
      <c r="BB152" s="736">
        <f>IF($Y$49=0," ",(SUM($AG$49:BB49))/$Y$49)</f>
        <v>1</v>
      </c>
      <c r="BC152" s="736">
        <f>IF($Y$49=0," ",(SUM($AG$49:BC49))/$Y$49)</f>
        <v>1</v>
      </c>
      <c r="BD152" s="736">
        <f>IF($Y$49=0," ",(SUM($AG$49:BD49))/$Y$49)</f>
        <v>1</v>
      </c>
      <c r="BE152" s="736">
        <f>IF($Y$49=0," ",(SUM($AG$49:BE49))/$Y$49)</f>
        <v>1</v>
      </c>
      <c r="BF152" s="736">
        <f>IF($Y$49=0," ",(SUM($AG$49:BF49))/$Y$49)</f>
        <v>1</v>
      </c>
      <c r="BG152" s="736">
        <f>IF($Y$49=0," ",(SUM($AG$49:BG49))/$Y$49)</f>
        <v>1</v>
      </c>
      <c r="BH152" s="736">
        <f>IF($Y$49=0," ",(SUM($AG$49:BH49))/$Y$49)</f>
        <v>1</v>
      </c>
      <c r="BI152" s="736">
        <f>IF($Y$49=0," ",(SUM($AG$49:BI49))/$Y$49)</f>
        <v>1</v>
      </c>
      <c r="BJ152" s="736">
        <f>IF($Y$49=0," ",(SUM($AG$49:BJ49))/$Y$49)</f>
        <v>1</v>
      </c>
      <c r="BK152" s="736">
        <f>IF($Y$49=0," ",(SUM($AG$49:BK49))/$Y$49)</f>
        <v>1</v>
      </c>
      <c r="BL152" s="736">
        <f>IF($Y$49=0," ",(SUM($AG$49:BL49))/$Y$49)</f>
        <v>1</v>
      </c>
      <c r="BM152" s="736">
        <f>IF($Y$49=0," ",(SUM($AG$49:BM49))/$Y$49)</f>
        <v>1</v>
      </c>
      <c r="BN152" s="736">
        <f>IF($Y$49=0," ",(SUM($AG$49:BN49))/$Y$49)</f>
        <v>1</v>
      </c>
      <c r="BO152" s="736">
        <f>IF($Y$49=0," ",(SUM($AG$49:BO49))/$Y$49)</f>
        <v>1</v>
      </c>
      <c r="BP152" s="736">
        <f>IF($Y$49=0," ",(SUM($AG$49:BP49))/$Y$49)</f>
        <v>1</v>
      </c>
      <c r="BQ152" s="736">
        <f>IF($Y$49=0," ",(SUM($AG$49:BQ49))/$Y$49)</f>
        <v>1</v>
      </c>
      <c r="BR152" s="736">
        <f>IF($Y$49=0," ",(SUM($AG$49:BR49))/$Y$49)</f>
        <v>1</v>
      </c>
      <c r="BS152" s="736">
        <f>IF($Y$49=0," ",(SUM($AG$49:BS49))/$Y$49)</f>
        <v>1</v>
      </c>
      <c r="BT152" s="736">
        <f>IF($Y$49=0," ",(SUM($AG$49:BT49))/$Y$49)</f>
        <v>1</v>
      </c>
      <c r="BU152" s="736">
        <f>IF($Y$49=0," ",(SUM($AG$49:BU49))/$Y$49)</f>
        <v>1</v>
      </c>
      <c r="BV152" s="736">
        <f>IF($Y$49=0," ",(SUM($AG$49:BV49))/$Y$49)</f>
        <v>1</v>
      </c>
      <c r="BW152" s="736">
        <f>IF($Y$49=0," ",(SUM($AG$49:BW49))/$Y$49)</f>
        <v>1</v>
      </c>
      <c r="BX152" s="736">
        <f>IF($Y$49=0," ",(SUM($AG$49:BX49))/$Y$49)</f>
        <v>1</v>
      </c>
      <c r="BY152" s="736">
        <f>IF($Y$49=0," ",(SUM($AG$49:BY49))/$Y$49)</f>
        <v>1</v>
      </c>
      <c r="BZ152" s="736">
        <f>IF($Y$49=0," ",(SUM($AG$49:BZ49))/$Y$49)</f>
        <v>1</v>
      </c>
      <c r="CA152" s="736">
        <f>IF($Y$49=0," ",(SUM($AG$49:CA49))/$Y$49)</f>
        <v>1</v>
      </c>
      <c r="CB152" s="736">
        <f>IF($Y$49=0," ",(SUM($AG$49:CB49))/$Y$49)</f>
        <v>1</v>
      </c>
      <c r="CC152" s="736">
        <f>IF($Y$49=0," ",(SUM($AG$49:CC49))/$Y$49)</f>
        <v>1</v>
      </c>
      <c r="CD152" s="736">
        <f>IF($Y$49=0," ",(SUM($AG$49:CD49))/$Y$49)</f>
        <v>1</v>
      </c>
      <c r="CE152" s="736">
        <f>IF($Y$49=0," ",(SUM($AG$49:CE49))/$Y$49)</f>
        <v>1</v>
      </c>
      <c r="CF152" s="736">
        <f>IF($Y$49=0," ",(SUM($AG$49:CF49))/$Y$49)</f>
        <v>1</v>
      </c>
      <c r="CG152" s="159"/>
      <c r="CH152" s="744">
        <f>SUM(CH50:CH149)</f>
        <v>358000</v>
      </c>
      <c r="CI152" s="744">
        <f>SUM(CI50:CI149)</f>
        <v>194100</v>
      </c>
      <c r="CJ152" s="744">
        <f t="shared" ref="CJ152:CL152" si="24">SUM(CJ50:CJ149)</f>
        <v>240</v>
      </c>
      <c r="CK152" s="744">
        <f t="shared" si="24"/>
        <v>0</v>
      </c>
      <c r="CL152" s="744">
        <f t="shared" si="24"/>
        <v>675</v>
      </c>
    </row>
    <row r="153" spans="2:91" ht="15" thickBot="1" x14ac:dyDescent="0.35">
      <c r="C153" s="94"/>
      <c r="D153" s="94"/>
      <c r="E153" s="94"/>
      <c r="F153" s="94"/>
      <c r="G153" s="94"/>
      <c r="H153" s="94"/>
      <c r="I153" s="94"/>
      <c r="J153" s="94"/>
      <c r="K153" s="94"/>
      <c r="L153" s="94"/>
      <c r="M153" s="94"/>
      <c r="N153" s="94"/>
      <c r="O153" s="94"/>
      <c r="P153" s="94"/>
      <c r="Q153" s="106"/>
      <c r="R153" s="106"/>
      <c r="S153" s="106"/>
      <c r="T153" s="106"/>
      <c r="U153" s="106"/>
      <c r="V153" s="106"/>
      <c r="W153" s="106"/>
      <c r="X153" s="94"/>
      <c r="Y153" s="94"/>
      <c r="Z153" s="94"/>
      <c r="AA153" s="108"/>
      <c r="AB153" s="254"/>
      <c r="AC153" s="254"/>
      <c r="AD153" s="254"/>
      <c r="AE153" s="254"/>
      <c r="AG153" s="737"/>
      <c r="AH153" s="737"/>
      <c r="AI153" s="737"/>
      <c r="AJ153" s="737"/>
      <c r="AK153" s="737"/>
      <c r="AL153" s="737"/>
      <c r="AM153" s="737"/>
      <c r="AN153" s="737"/>
      <c r="AO153" s="737"/>
      <c r="AP153" s="737"/>
      <c r="AQ153" s="737"/>
      <c r="AR153" s="737"/>
      <c r="AS153" s="737"/>
      <c r="AT153" s="737"/>
      <c r="AU153" s="737"/>
      <c r="AV153" s="737"/>
      <c r="AW153" s="737"/>
      <c r="AX153" s="737"/>
      <c r="AY153" s="737"/>
      <c r="AZ153" s="737"/>
      <c r="BA153" s="737"/>
      <c r="BB153" s="737"/>
      <c r="BC153" s="737"/>
      <c r="BD153" s="737"/>
      <c r="BE153" s="737"/>
      <c r="BF153" s="737"/>
      <c r="BG153" s="737"/>
      <c r="BH153" s="737"/>
      <c r="BI153" s="737"/>
      <c r="BJ153" s="737"/>
      <c r="BK153" s="737"/>
      <c r="BL153" s="737"/>
      <c r="BM153" s="737"/>
      <c r="BN153" s="737"/>
      <c r="BO153" s="737"/>
      <c r="BP153" s="737"/>
      <c r="BQ153" s="737"/>
      <c r="BR153" s="737"/>
      <c r="BS153" s="737"/>
      <c r="BT153" s="737"/>
      <c r="BU153" s="737"/>
      <c r="BV153" s="737"/>
      <c r="BW153" s="737"/>
      <c r="BX153" s="737"/>
      <c r="BY153" s="737"/>
      <c r="BZ153" s="737"/>
      <c r="CA153" s="737"/>
      <c r="CB153" s="737"/>
      <c r="CC153" s="737"/>
      <c r="CD153" s="737"/>
      <c r="CE153" s="737"/>
      <c r="CF153" s="737"/>
      <c r="CG153" s="109"/>
      <c r="CH153" s="694"/>
      <c r="CI153" s="87"/>
      <c r="CJ153" s="87"/>
      <c r="CK153" s="87"/>
      <c r="CL153" s="87"/>
    </row>
    <row r="154" spans="2:91" ht="23.25" customHeight="1" x14ac:dyDescent="0.3">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c r="AA154" s="108"/>
      <c r="AB154" s="439"/>
      <c r="AC154" s="439"/>
      <c r="AD154" s="439"/>
      <c r="AE154" s="439"/>
      <c r="AF154" s="443" t="s">
        <v>311</v>
      </c>
      <c r="AG154" s="738"/>
      <c r="AH154" s="738"/>
      <c r="AI154" s="738"/>
      <c r="AJ154" s="738"/>
      <c r="AK154" s="738"/>
      <c r="AL154" s="738"/>
      <c r="AM154" s="738"/>
      <c r="AN154" s="738"/>
      <c r="AO154" s="738"/>
      <c r="AP154" s="738"/>
      <c r="AQ154" s="738"/>
      <c r="AR154" s="738"/>
      <c r="AS154" s="738"/>
      <c r="AT154" s="738"/>
      <c r="AU154" s="738"/>
      <c r="AV154" s="738"/>
      <c r="AW154" s="738"/>
      <c r="AX154" s="738"/>
      <c r="AY154" s="738"/>
      <c r="AZ154" s="738"/>
      <c r="BA154" s="738"/>
      <c r="BB154" s="738"/>
      <c r="BC154" s="738"/>
      <c r="BD154" s="738"/>
      <c r="BE154" s="738"/>
      <c r="BF154" s="738"/>
      <c r="BG154" s="738"/>
      <c r="BH154" s="738"/>
      <c r="BI154" s="738"/>
      <c r="BJ154" s="738"/>
      <c r="BK154" s="738"/>
      <c r="BL154" s="738"/>
      <c r="BM154" s="738"/>
      <c r="BN154" s="738"/>
      <c r="BO154" s="738"/>
      <c r="BP154" s="738"/>
      <c r="BQ154" s="738"/>
      <c r="BR154" s="738"/>
      <c r="BS154" s="738"/>
      <c r="BT154" s="738"/>
      <c r="BU154" s="738"/>
      <c r="BV154" s="738"/>
      <c r="BW154" s="738"/>
      <c r="BX154" s="738"/>
      <c r="BY154" s="738"/>
      <c r="BZ154" s="738"/>
      <c r="CA154" s="738"/>
      <c r="CB154" s="738"/>
      <c r="CC154" s="738"/>
      <c r="CD154" s="738"/>
      <c r="CE154" s="738"/>
      <c r="CF154" s="739"/>
      <c r="CG154" s="113"/>
      <c r="CH154" s="694"/>
      <c r="CI154" s="87"/>
      <c r="CJ154" s="87"/>
      <c r="CK154" s="87"/>
      <c r="CL154" s="87"/>
    </row>
    <row r="155" spans="2:91" ht="22.05" customHeight="1" thickBot="1" x14ac:dyDescent="0.35">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c r="AA155" s="108"/>
      <c r="AB155" s="254"/>
      <c r="AC155" s="254"/>
      <c r="AD155" s="254"/>
      <c r="AE155" s="254"/>
      <c r="AF155" s="444" t="s">
        <v>312</v>
      </c>
      <c r="AG155" s="740" t="str">
        <f t="shared" ref="AG155:AV155" si="25">IF($D$20="T&amp;M",IF($D$16="Select Margin Class"," ",IF($D$16="Standard Rates",SUMPRODUCT(AG50:AG149,$CJ50:$CJ149),IF($D$16="Client Custom Rates",SUMPRODUCT(AG50:AG149,$CK50:$CK149),IF($D$16="Investment",SUMPRODUCT(AG50:AG149,$CL50:$CL149)))))," ")</f>
        <v xml:space="preserve"> </v>
      </c>
      <c r="AH155" s="741" t="str">
        <f t="shared" si="25"/>
        <v xml:space="preserve"> </v>
      </c>
      <c r="AI155" s="741" t="str">
        <f t="shared" si="25"/>
        <v xml:space="preserve"> </v>
      </c>
      <c r="AJ155" s="741" t="str">
        <f t="shared" si="25"/>
        <v xml:space="preserve"> </v>
      </c>
      <c r="AK155" s="741" t="str">
        <f t="shared" si="25"/>
        <v xml:space="preserve"> </v>
      </c>
      <c r="AL155" s="741" t="str">
        <f t="shared" si="25"/>
        <v xml:space="preserve"> </v>
      </c>
      <c r="AM155" s="741" t="str">
        <f t="shared" si="25"/>
        <v xml:space="preserve"> </v>
      </c>
      <c r="AN155" s="741" t="str">
        <f t="shared" si="25"/>
        <v xml:space="preserve"> </v>
      </c>
      <c r="AO155" s="741" t="str">
        <f t="shared" si="25"/>
        <v xml:space="preserve"> </v>
      </c>
      <c r="AP155" s="741" t="str">
        <f t="shared" si="25"/>
        <v xml:space="preserve"> </v>
      </c>
      <c r="AQ155" s="741" t="str">
        <f t="shared" si="25"/>
        <v xml:space="preserve"> </v>
      </c>
      <c r="AR155" s="741" t="str">
        <f t="shared" si="25"/>
        <v xml:space="preserve"> </v>
      </c>
      <c r="AS155" s="741" t="str">
        <f t="shared" si="25"/>
        <v xml:space="preserve"> </v>
      </c>
      <c r="AT155" s="741" t="str">
        <f t="shared" si="25"/>
        <v xml:space="preserve"> </v>
      </c>
      <c r="AU155" s="741" t="str">
        <f t="shared" si="25"/>
        <v xml:space="preserve"> </v>
      </c>
      <c r="AV155" s="741" t="str">
        <f t="shared" si="25"/>
        <v xml:space="preserve"> </v>
      </c>
      <c r="AW155" s="741"/>
      <c r="AX155" s="741"/>
      <c r="AY155" s="741"/>
      <c r="AZ155" s="741"/>
      <c r="BA155" s="741"/>
      <c r="BB155" s="741"/>
      <c r="BC155" s="741"/>
      <c r="BD155" s="741"/>
      <c r="BE155" s="741"/>
      <c r="BF155" s="741"/>
      <c r="BG155" s="741"/>
      <c r="BH155" s="741"/>
      <c r="BI155" s="741"/>
      <c r="BJ155" s="741"/>
      <c r="BK155" s="741"/>
      <c r="BL155" s="741"/>
      <c r="BM155" s="741"/>
      <c r="BN155" s="741"/>
      <c r="BO155" s="741"/>
      <c r="BP155" s="741"/>
      <c r="BQ155" s="741"/>
      <c r="BR155" s="741"/>
      <c r="BS155" s="741"/>
      <c r="BT155" s="741"/>
      <c r="BU155" s="741"/>
      <c r="BV155" s="741"/>
      <c r="BW155" s="741"/>
      <c r="BX155" s="741"/>
      <c r="BY155" s="741" t="str">
        <f t="shared" ref="BY155:CF155" si="26">IF($D$20="T&amp;M",IF($D$16="Select Margin Class"," ",IF($D$16="Standard Rates",SUMPRODUCT(BY50:BY149,$CJ50:$CJ149),IF($D$16="Client Custom Rates",SUMPRODUCT(BY50:BY149,$CK50:$CK149),IF($D$16="Investment",SUMPRODUCT(BY50:BY149,$CL50:$CL149)))))," ")</f>
        <v xml:space="preserve"> </v>
      </c>
      <c r="BZ155" s="741" t="str">
        <f t="shared" si="26"/>
        <v xml:space="preserve"> </v>
      </c>
      <c r="CA155" s="741" t="str">
        <f t="shared" si="26"/>
        <v xml:space="preserve"> </v>
      </c>
      <c r="CB155" s="741" t="str">
        <f t="shared" si="26"/>
        <v xml:space="preserve"> </v>
      </c>
      <c r="CC155" s="741" t="str">
        <f t="shared" si="26"/>
        <v xml:space="preserve"> </v>
      </c>
      <c r="CD155" s="741" t="str">
        <f t="shared" si="26"/>
        <v xml:space="preserve"> </v>
      </c>
      <c r="CE155" s="741" t="str">
        <f t="shared" si="26"/>
        <v xml:space="preserve"> </v>
      </c>
      <c r="CF155" s="742" t="str">
        <f t="shared" si="26"/>
        <v xml:space="preserve"> </v>
      </c>
      <c r="CG155" s="113"/>
      <c r="CH155" s="694"/>
      <c r="CI155" s="87"/>
      <c r="CJ155" s="87"/>
      <c r="CK155" s="87"/>
      <c r="CL155" s="87"/>
    </row>
    <row r="156" spans="2:91" ht="16.2" thickBot="1" x14ac:dyDescent="0.35">
      <c r="C156" s="859"/>
      <c r="D156" s="845"/>
      <c r="E156" s="845"/>
      <c r="F156" s="845"/>
      <c r="G156" s="845"/>
      <c r="H156" s="845"/>
      <c r="I156" s="845"/>
      <c r="J156" s="845"/>
      <c r="K156" s="845"/>
      <c r="L156" s="845"/>
      <c r="M156" s="845"/>
      <c r="N156" s="845"/>
      <c r="O156" s="845"/>
      <c r="P156" s="845"/>
      <c r="Q156" s="94"/>
      <c r="R156" s="94"/>
      <c r="S156" s="94"/>
      <c r="T156" s="94"/>
      <c r="U156" s="94"/>
      <c r="V156" s="94"/>
      <c r="W156" s="94"/>
      <c r="X156" s="94"/>
      <c r="Y156" s="94"/>
      <c r="Z156" s="94"/>
      <c r="AA156" s="108"/>
      <c r="AB156" s="254"/>
      <c r="AC156" s="254"/>
      <c r="AD156" s="254"/>
      <c r="AE156" s="254"/>
      <c r="AG156" s="57"/>
      <c r="AH156" s="57"/>
      <c r="AI156" s="57"/>
      <c r="AJ156" s="57"/>
      <c r="AK156" s="57"/>
      <c r="AL156" s="57"/>
      <c r="AM156" s="57"/>
      <c r="AN156" s="57"/>
      <c r="AO156" s="57"/>
      <c r="AP156" s="57"/>
      <c r="AQ156" s="57"/>
      <c r="AR156" s="57"/>
      <c r="AS156" s="57"/>
      <c r="AT156" s="57"/>
      <c r="AU156" s="57"/>
      <c r="AV156" s="57"/>
      <c r="AW156" s="57"/>
      <c r="AX156" s="57"/>
      <c r="AY156" s="57"/>
      <c r="AZ156" s="57"/>
      <c r="BA156" s="57"/>
      <c r="BB156" s="57"/>
      <c r="BC156" s="57"/>
      <c r="BD156" s="57"/>
      <c r="BE156" s="57"/>
      <c r="BF156" s="57"/>
      <c r="BG156" s="57"/>
      <c r="BH156" s="57"/>
      <c r="BI156" s="57"/>
      <c r="BJ156" s="57"/>
      <c r="BK156" s="57"/>
      <c r="BL156" s="57"/>
      <c r="BM156" s="57"/>
      <c r="BN156" s="57"/>
      <c r="BO156" s="57"/>
      <c r="BP156" s="57"/>
      <c r="BQ156" s="57"/>
      <c r="BR156" s="57"/>
      <c r="BS156" s="57"/>
      <c r="BT156" s="57"/>
      <c r="BU156" s="57"/>
      <c r="BV156" s="57"/>
      <c r="BW156" s="57"/>
      <c r="BX156" s="57"/>
      <c r="BY156" s="57"/>
      <c r="BZ156" s="57"/>
      <c r="CA156" s="57"/>
      <c r="CB156" s="57"/>
      <c r="CC156" s="57"/>
      <c r="CD156" s="57"/>
      <c r="CE156" s="57"/>
      <c r="CF156" s="57"/>
      <c r="CG156" s="113"/>
      <c r="CH156" s="694"/>
      <c r="CI156" s="87"/>
      <c r="CJ156" s="87"/>
      <c r="CK156" s="87"/>
      <c r="CL156" s="87"/>
    </row>
    <row r="157" spans="2:91" ht="31.05" customHeight="1" x14ac:dyDescent="0.3">
      <c r="C157" s="859"/>
      <c r="D157" s="1645"/>
      <c r="E157" s="1645"/>
      <c r="F157" s="1645"/>
      <c r="G157" s="1645"/>
      <c r="H157" s="1645"/>
      <c r="I157" s="1645"/>
      <c r="J157" s="1645"/>
      <c r="K157" s="1645"/>
      <c r="L157" s="1645"/>
      <c r="M157" s="1645"/>
      <c r="N157" s="1645"/>
      <c r="O157" s="1645"/>
      <c r="P157" s="1645"/>
      <c r="Q157" s="94"/>
      <c r="R157" s="94"/>
      <c r="S157" s="94"/>
      <c r="T157" s="94"/>
      <c r="U157" s="94"/>
      <c r="V157" s="94"/>
      <c r="W157" s="94"/>
      <c r="X157" s="94"/>
      <c r="Y157" s="94"/>
      <c r="Z157" s="94"/>
      <c r="AB157" s="440"/>
      <c r="AC157" s="440"/>
      <c r="AD157" s="440"/>
      <c r="AE157" s="440"/>
      <c r="AF157" s="443" t="s">
        <v>313</v>
      </c>
      <c r="AG157" s="738"/>
      <c r="AH157" s="738"/>
      <c r="AI157" s="738"/>
      <c r="AJ157" s="738"/>
      <c r="AK157" s="738"/>
      <c r="AL157" s="738"/>
      <c r="AM157" s="738"/>
      <c r="AN157" s="738"/>
      <c r="AO157" s="738"/>
      <c r="AP157" s="738"/>
      <c r="AQ157" s="738"/>
      <c r="AR157" s="738"/>
      <c r="AS157" s="738"/>
      <c r="AT157" s="738"/>
      <c r="AU157" s="738"/>
      <c r="AV157" s="738"/>
      <c r="AW157" s="738"/>
      <c r="AX157" s="738"/>
      <c r="AY157" s="738"/>
      <c r="AZ157" s="738"/>
      <c r="BA157" s="738"/>
      <c r="BB157" s="738"/>
      <c r="BC157" s="738"/>
      <c r="BD157" s="738"/>
      <c r="BE157" s="738"/>
      <c r="BF157" s="738"/>
      <c r="BG157" s="738"/>
      <c r="BH157" s="738"/>
      <c r="BI157" s="738"/>
      <c r="BJ157" s="738"/>
      <c r="BK157" s="738"/>
      <c r="BL157" s="738"/>
      <c r="BM157" s="738"/>
      <c r="BN157" s="738"/>
      <c r="BO157" s="738"/>
      <c r="BP157" s="738"/>
      <c r="BQ157" s="738"/>
      <c r="BR157" s="738"/>
      <c r="BS157" s="738"/>
      <c r="BT157" s="738"/>
      <c r="BU157" s="738"/>
      <c r="BV157" s="738"/>
      <c r="BW157" s="738"/>
      <c r="BX157" s="738"/>
      <c r="BY157" s="738"/>
      <c r="BZ157" s="738"/>
      <c r="CA157" s="738"/>
      <c r="CB157" s="738"/>
      <c r="CC157" s="738"/>
      <c r="CD157" s="738"/>
      <c r="CE157" s="738"/>
      <c r="CF157" s="739"/>
      <c r="CG157" s="113"/>
      <c r="CH157" s="694"/>
      <c r="CI157" s="87"/>
      <c r="CJ157" s="87"/>
      <c r="CK157" s="87"/>
      <c r="CL157" s="87"/>
    </row>
    <row r="158" spans="2:91" ht="26.25" customHeight="1" thickBot="1" x14ac:dyDescent="0.35">
      <c r="C158" s="94"/>
      <c r="D158" s="94"/>
      <c r="E158" s="94"/>
      <c r="F158" s="94"/>
      <c r="G158" s="94"/>
      <c r="H158" s="94"/>
      <c r="I158" s="94"/>
      <c r="J158" s="94"/>
      <c r="K158" s="94"/>
      <c r="L158" s="94"/>
      <c r="M158" s="94"/>
      <c r="N158" s="94"/>
      <c r="O158" s="94"/>
      <c r="P158" s="94"/>
      <c r="Q158" s="94"/>
      <c r="R158" s="94"/>
      <c r="S158" s="94"/>
      <c r="T158" s="94"/>
      <c r="U158" s="94"/>
      <c r="V158" s="94"/>
      <c r="W158" s="94"/>
      <c r="X158" s="94"/>
      <c r="Y158" s="94"/>
      <c r="Z158" s="94"/>
      <c r="AB158" s="441"/>
      <c r="AC158" s="441"/>
      <c r="AD158" s="441"/>
      <c r="AE158" s="441"/>
      <c r="AF158" s="444" t="s">
        <v>312</v>
      </c>
      <c r="AG158" s="743">
        <f t="shared" ref="AG158:BL158" si="27">IF($D$20="Fixed Fee",IF($D$16="Select Margin Class"," ",IF($D$16="Standard Rates",SUMPRODUCT(AG50:AG149,$CJ50:$CJ149)*(1+$D$26),IF($D$16="Client Custom Rates",SUMPRODUCT(AG50:AG149,$CK50:$CK149)*(1+$D$26),IF($D$16="Investment",SUMPRODUCT(AG50:AG149,$CL50:$CL149)*(1+$D$26)))))," ")</f>
        <v>8820</v>
      </c>
      <c r="AH158" s="743">
        <f t="shared" si="27"/>
        <v>8820</v>
      </c>
      <c r="AI158" s="743">
        <f t="shared" si="27"/>
        <v>8820</v>
      </c>
      <c r="AJ158" s="743">
        <f t="shared" si="27"/>
        <v>8820</v>
      </c>
      <c r="AK158" s="743">
        <f t="shared" si="27"/>
        <v>8820</v>
      </c>
      <c r="AL158" s="743">
        <f t="shared" si="27"/>
        <v>8820</v>
      </c>
      <c r="AM158" s="743">
        <f t="shared" si="27"/>
        <v>8820</v>
      </c>
      <c r="AN158" s="743">
        <f t="shared" si="27"/>
        <v>8820</v>
      </c>
      <c r="AO158" s="743">
        <f t="shared" si="27"/>
        <v>8820</v>
      </c>
      <c r="AP158" s="743">
        <f t="shared" si="27"/>
        <v>8820</v>
      </c>
      <c r="AQ158" s="743">
        <f t="shared" si="27"/>
        <v>8820</v>
      </c>
      <c r="AR158" s="743">
        <f t="shared" si="27"/>
        <v>8820</v>
      </c>
      <c r="AS158" s="743">
        <f t="shared" si="27"/>
        <v>8820</v>
      </c>
      <c r="AT158" s="743">
        <f t="shared" si="27"/>
        <v>8820</v>
      </c>
      <c r="AU158" s="743">
        <f t="shared" si="27"/>
        <v>8820</v>
      </c>
      <c r="AV158" s="743">
        <f t="shared" si="27"/>
        <v>8820</v>
      </c>
      <c r="AW158" s="743">
        <f t="shared" si="27"/>
        <v>8820</v>
      </c>
      <c r="AX158" s="743">
        <f t="shared" si="27"/>
        <v>8820</v>
      </c>
      <c r="AY158" s="743">
        <f t="shared" si="27"/>
        <v>8820</v>
      </c>
      <c r="AZ158" s="743">
        <f t="shared" si="27"/>
        <v>8820</v>
      </c>
      <c r="BA158" s="743">
        <f t="shared" si="27"/>
        <v>0</v>
      </c>
      <c r="BB158" s="743">
        <f t="shared" si="27"/>
        <v>0</v>
      </c>
      <c r="BC158" s="743">
        <f t="shared" si="27"/>
        <v>0</v>
      </c>
      <c r="BD158" s="743">
        <f t="shared" si="27"/>
        <v>0</v>
      </c>
      <c r="BE158" s="743">
        <f t="shared" si="27"/>
        <v>0</v>
      </c>
      <c r="BF158" s="743">
        <f t="shared" si="27"/>
        <v>0</v>
      </c>
      <c r="BG158" s="743">
        <f t="shared" si="27"/>
        <v>0</v>
      </c>
      <c r="BH158" s="743">
        <f t="shared" si="27"/>
        <v>0</v>
      </c>
      <c r="BI158" s="743">
        <f t="shared" si="27"/>
        <v>0</v>
      </c>
      <c r="BJ158" s="743">
        <f t="shared" si="27"/>
        <v>0</v>
      </c>
      <c r="BK158" s="743">
        <f t="shared" si="27"/>
        <v>0</v>
      </c>
      <c r="BL158" s="743">
        <f t="shared" si="27"/>
        <v>0</v>
      </c>
      <c r="BM158" s="743">
        <f t="shared" ref="BM158:CF158" si="28">IF($D$20="Fixed Fee",IF($D$16="Select Margin Class"," ",IF($D$16="Standard Rates",SUMPRODUCT(BM50:BM149,$CJ50:$CJ149)*(1+$D$26),IF($D$16="Client Custom Rates",SUMPRODUCT(BM50:BM149,$CK50:$CK149)*(1+$D$26),IF($D$16="Investment",SUMPRODUCT(BM50:BM149,$CL50:$CL149)*(1+$D$26)))))," ")</f>
        <v>0</v>
      </c>
      <c r="BN158" s="743">
        <f t="shared" si="28"/>
        <v>0</v>
      </c>
      <c r="BO158" s="743">
        <f t="shared" si="28"/>
        <v>0</v>
      </c>
      <c r="BP158" s="743">
        <f t="shared" si="28"/>
        <v>0</v>
      </c>
      <c r="BQ158" s="743">
        <f t="shared" si="28"/>
        <v>0</v>
      </c>
      <c r="BR158" s="743">
        <f t="shared" si="28"/>
        <v>0</v>
      </c>
      <c r="BS158" s="743">
        <f t="shared" si="28"/>
        <v>0</v>
      </c>
      <c r="BT158" s="743">
        <f t="shared" si="28"/>
        <v>0</v>
      </c>
      <c r="BU158" s="743">
        <f t="shared" si="28"/>
        <v>0</v>
      </c>
      <c r="BV158" s="743">
        <f t="shared" si="28"/>
        <v>0</v>
      </c>
      <c r="BW158" s="743">
        <f t="shared" si="28"/>
        <v>0</v>
      </c>
      <c r="BX158" s="743">
        <f t="shared" si="28"/>
        <v>0</v>
      </c>
      <c r="BY158" s="743">
        <f t="shared" si="28"/>
        <v>0</v>
      </c>
      <c r="BZ158" s="743">
        <f t="shared" si="28"/>
        <v>0</v>
      </c>
      <c r="CA158" s="743">
        <f t="shared" si="28"/>
        <v>0</v>
      </c>
      <c r="CB158" s="743">
        <f t="shared" si="28"/>
        <v>0</v>
      </c>
      <c r="CC158" s="743">
        <f t="shared" si="28"/>
        <v>0</v>
      </c>
      <c r="CD158" s="743">
        <f t="shared" si="28"/>
        <v>0</v>
      </c>
      <c r="CE158" s="743">
        <f t="shared" si="28"/>
        <v>0</v>
      </c>
      <c r="CF158" s="743">
        <f t="shared" si="28"/>
        <v>0</v>
      </c>
      <c r="CG158" s="171"/>
      <c r="CH158" s="694"/>
      <c r="CI158" s="87"/>
      <c r="CJ158" s="87"/>
      <c r="CK158" s="87"/>
      <c r="CL158" s="87"/>
    </row>
    <row r="159" spans="2:91" x14ac:dyDescent="0.3">
      <c r="C159" s="94"/>
      <c r="D159" s="94"/>
      <c r="E159" s="94"/>
      <c r="F159" s="94"/>
      <c r="G159" s="94"/>
      <c r="H159" s="94"/>
      <c r="I159" s="94"/>
      <c r="J159" s="94"/>
      <c r="K159" s="94"/>
      <c r="L159" s="94"/>
      <c r="M159" s="94"/>
      <c r="N159" s="94"/>
      <c r="O159" s="94"/>
      <c r="P159" s="94"/>
      <c r="Q159" s="860"/>
      <c r="R159" s="860"/>
      <c r="S159" s="860"/>
      <c r="T159" s="860"/>
      <c r="U159" s="860"/>
      <c r="V159" s="860"/>
      <c r="W159" s="860"/>
      <c r="X159" s="94"/>
      <c r="Y159" s="94"/>
      <c r="Z159" s="94"/>
      <c r="CG159" s="113"/>
      <c r="CH159" s="86"/>
      <c r="CI159" s="85"/>
      <c r="CJ159" s="85"/>
      <c r="CK159" s="85"/>
      <c r="CL159" s="85"/>
    </row>
    <row r="160" spans="2:91" x14ac:dyDescent="0.3">
      <c r="C160" s="94"/>
      <c r="D160" s="94"/>
      <c r="E160" s="94"/>
      <c r="F160" s="94"/>
      <c r="G160" s="94"/>
      <c r="H160" s="94"/>
      <c r="I160" s="94"/>
      <c r="J160" s="94"/>
      <c r="K160" s="94"/>
      <c r="L160" s="94"/>
      <c r="M160" s="94"/>
      <c r="N160" s="94"/>
      <c r="O160" s="94"/>
      <c r="P160" s="94"/>
      <c r="Q160" s="860"/>
      <c r="R160" s="860"/>
      <c r="S160" s="860"/>
      <c r="T160" s="860"/>
      <c r="U160" s="860"/>
      <c r="V160" s="860"/>
      <c r="W160" s="860"/>
      <c r="X160" s="94"/>
      <c r="Y160" s="94"/>
      <c r="Z160" s="94"/>
      <c r="AF160" s="85"/>
      <c r="AG160" s="115"/>
      <c r="AH160" s="116"/>
      <c r="AI160" s="116"/>
      <c r="AJ160" s="116"/>
      <c r="AK160" s="116"/>
      <c r="AL160" s="116"/>
      <c r="AM160" s="116"/>
      <c r="AN160" s="116"/>
      <c r="AO160" s="116"/>
      <c r="AP160" s="116"/>
      <c r="AQ160" s="116"/>
      <c r="AR160" s="116"/>
      <c r="AS160" s="116"/>
      <c r="AT160" s="116"/>
      <c r="AU160" s="116"/>
      <c r="AV160" s="116"/>
      <c r="AW160" s="116"/>
      <c r="AX160" s="116"/>
      <c r="AY160" s="116"/>
      <c r="AZ160" s="116"/>
      <c r="BA160" s="116"/>
      <c r="BB160" s="116"/>
      <c r="BC160" s="116"/>
      <c r="BD160" s="116"/>
      <c r="BE160" s="116"/>
      <c r="BF160" s="116"/>
      <c r="BG160" s="116"/>
      <c r="BH160" s="116"/>
      <c r="BI160" s="116"/>
      <c r="BJ160" s="116"/>
      <c r="BK160" s="116"/>
      <c r="BL160" s="116"/>
      <c r="BM160" s="116"/>
      <c r="BN160" s="116"/>
      <c r="BO160" s="116"/>
      <c r="BP160" s="116"/>
      <c r="BQ160" s="116"/>
      <c r="BR160" s="116"/>
      <c r="BS160" s="116"/>
      <c r="BT160" s="116"/>
      <c r="BU160" s="116"/>
      <c r="BV160" s="116"/>
      <c r="BW160" s="116"/>
      <c r="BX160" s="116"/>
      <c r="BY160" s="116"/>
      <c r="BZ160" s="116"/>
      <c r="CA160" s="116"/>
      <c r="CB160" s="116"/>
      <c r="CC160" s="85"/>
      <c r="CD160" s="85"/>
      <c r="CE160" s="85"/>
      <c r="CF160" s="85"/>
      <c r="CG160" s="85"/>
      <c r="CH160" s="85"/>
      <c r="CI160" s="117"/>
      <c r="CJ160" s="85"/>
      <c r="CK160" s="85"/>
      <c r="CL160" s="85"/>
      <c r="CM160" s="85"/>
    </row>
    <row r="161" spans="3:97" ht="17.399999999999999" x14ac:dyDescent="0.3">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c r="AF161" s="861"/>
      <c r="AG161" s="861"/>
      <c r="AH161" s="118"/>
      <c r="AI161" s="118"/>
      <c r="AJ161" s="118"/>
      <c r="AK161" s="118"/>
      <c r="AL161" s="118"/>
      <c r="AM161" s="118"/>
      <c r="AN161" s="118"/>
      <c r="AO161" s="118"/>
      <c r="AP161" s="118"/>
      <c r="AQ161" s="118"/>
      <c r="AR161" s="118"/>
      <c r="AS161" s="118"/>
      <c r="AT161" s="118"/>
      <c r="AU161" s="118"/>
      <c r="AV161" s="118"/>
      <c r="AW161" s="118"/>
      <c r="AX161" s="118"/>
      <c r="AY161" s="118"/>
      <c r="AZ161" s="118"/>
      <c r="BA161" s="118"/>
      <c r="BB161" s="118"/>
      <c r="BC161" s="118"/>
      <c r="BD161" s="118"/>
      <c r="BE161" s="118"/>
      <c r="BF161" s="118"/>
      <c r="BG161" s="118"/>
      <c r="BH161" s="118"/>
      <c r="BI161" s="118"/>
      <c r="BJ161" s="118"/>
      <c r="BK161" s="118"/>
      <c r="BL161" s="118"/>
      <c r="BM161" s="118"/>
      <c r="BN161" s="118"/>
      <c r="BO161" s="118"/>
      <c r="BP161" s="118"/>
      <c r="BQ161" s="118"/>
      <c r="BR161" s="118"/>
      <c r="BS161" s="118"/>
      <c r="BT161" s="118"/>
      <c r="BU161" s="118"/>
      <c r="BV161" s="118"/>
      <c r="BW161" s="118"/>
      <c r="BX161" s="118"/>
      <c r="BY161" s="118"/>
      <c r="BZ161" s="118"/>
      <c r="CA161" s="118"/>
      <c r="CB161" s="118"/>
      <c r="CC161" s="862"/>
      <c r="CD161" s="862"/>
      <c r="CE161" s="862"/>
      <c r="CF161" s="862"/>
      <c r="CG161" s="862"/>
      <c r="CH161" s="862"/>
      <c r="CI161" s="863"/>
      <c r="CJ161" s="864"/>
      <c r="CK161" s="864"/>
      <c r="CL161" s="118"/>
      <c r="CM161" s="118"/>
      <c r="CN161" s="94"/>
      <c r="CO161" s="94"/>
      <c r="CP161" s="94"/>
      <c r="CQ161" s="94"/>
      <c r="CR161" s="94"/>
      <c r="CS161" s="94"/>
    </row>
    <row r="162" spans="3:97" ht="17.399999999999999" x14ac:dyDescent="0.3">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c r="AF162" s="94"/>
      <c r="AG162" s="94"/>
      <c r="AH162" s="94"/>
      <c r="AI162" s="94"/>
      <c r="AJ162" s="94"/>
      <c r="AK162" s="94"/>
      <c r="AL162" s="94"/>
      <c r="AM162" s="94"/>
      <c r="AN162" s="94"/>
      <c r="AO162" s="94"/>
      <c r="AP162" s="94"/>
      <c r="AQ162" s="136"/>
      <c r="AR162" s="136"/>
      <c r="AS162" s="136"/>
      <c r="AT162" s="136"/>
      <c r="AU162" s="136"/>
      <c r="AV162" s="136"/>
      <c r="AW162" s="136"/>
      <c r="AX162" s="136"/>
      <c r="AY162" s="136"/>
      <c r="AZ162" s="136"/>
      <c r="BA162" s="136"/>
      <c r="BB162" s="136"/>
      <c r="BC162" s="136"/>
      <c r="BD162" s="136"/>
      <c r="BE162" s="136"/>
      <c r="BF162" s="136"/>
      <c r="BG162" s="136"/>
      <c r="BH162" s="136"/>
      <c r="BI162" s="136"/>
      <c r="BJ162" s="136"/>
      <c r="BK162" s="136"/>
      <c r="BL162" s="136"/>
      <c r="BM162" s="136"/>
      <c r="BN162" s="136"/>
      <c r="BO162" s="136"/>
      <c r="BP162" s="136"/>
      <c r="BQ162" s="136"/>
      <c r="BR162" s="136"/>
      <c r="BS162" s="136"/>
      <c r="BT162" s="136"/>
      <c r="BU162" s="136"/>
      <c r="BV162" s="136"/>
      <c r="BW162" s="136"/>
      <c r="BX162" s="136"/>
      <c r="BY162" s="136"/>
      <c r="BZ162" s="137"/>
      <c r="CA162" s="137"/>
      <c r="CB162" s="137"/>
      <c r="CC162" s="865"/>
      <c r="CD162" s="865"/>
      <c r="CE162" s="865"/>
      <c r="CF162" s="865"/>
      <c r="CG162" s="865"/>
      <c r="CH162" s="865"/>
      <c r="CI162" s="865"/>
      <c r="CJ162" s="864"/>
      <c r="CK162" s="864"/>
      <c r="CL162" s="118"/>
      <c r="CM162" s="118"/>
      <c r="CN162" s="94"/>
      <c r="CO162" s="94"/>
      <c r="CP162" s="94"/>
      <c r="CQ162" s="94"/>
      <c r="CR162" s="94"/>
      <c r="CS162" s="94"/>
    </row>
    <row r="163" spans="3:97" ht="16.05" customHeight="1" x14ac:dyDescent="0.3">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c r="AF163" s="94"/>
      <c r="AG163" s="94"/>
      <c r="AH163" s="94"/>
      <c r="AI163" s="94"/>
      <c r="AJ163" s="94"/>
      <c r="AK163" s="94"/>
      <c r="AL163" s="94"/>
      <c r="AM163" s="94"/>
      <c r="AN163" s="94"/>
      <c r="AO163" s="94"/>
      <c r="AP163" s="94"/>
      <c r="AQ163" s="94"/>
      <c r="AR163" s="94"/>
      <c r="AS163" s="94"/>
      <c r="AT163" s="94"/>
      <c r="AU163" s="94"/>
      <c r="AV163" s="94"/>
      <c r="AW163" s="94"/>
      <c r="AX163" s="94"/>
      <c r="AY163" s="94"/>
      <c r="AZ163" s="94"/>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4"/>
      <c r="CB163" s="94"/>
      <c r="CC163" s="94"/>
      <c r="CD163" s="94"/>
      <c r="CE163" s="94"/>
      <c r="CF163" s="94"/>
      <c r="CG163" s="94"/>
      <c r="CH163" s="94"/>
      <c r="CI163" s="94"/>
      <c r="CJ163" s="94"/>
      <c r="CK163" s="94"/>
      <c r="CL163" s="94"/>
      <c r="CM163" s="94"/>
      <c r="CN163" s="94"/>
      <c r="CO163" s="94"/>
      <c r="CP163" s="94"/>
      <c r="CQ163" s="94"/>
      <c r="CR163" s="94"/>
      <c r="CS163" s="94"/>
    </row>
    <row r="164" spans="3:97" ht="16.05" customHeight="1" x14ac:dyDescent="0.3">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c r="AF164" s="94"/>
      <c r="AG164" s="94"/>
      <c r="AH164" s="94"/>
      <c r="AI164" s="94"/>
      <c r="AJ164" s="94"/>
      <c r="AK164" s="94"/>
      <c r="AL164" s="94"/>
      <c r="AM164" s="94"/>
      <c r="AN164" s="94"/>
      <c r="AO164" s="94"/>
      <c r="AP164" s="94"/>
      <c r="AQ164" s="94"/>
      <c r="AR164" s="94"/>
      <c r="AS164" s="94"/>
      <c r="AT164" s="94"/>
      <c r="AU164" s="94"/>
      <c r="AV164" s="94"/>
      <c r="AW164" s="94"/>
      <c r="AX164" s="94"/>
      <c r="AY164" s="94"/>
      <c r="AZ164" s="94"/>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4"/>
      <c r="CB164" s="94"/>
      <c r="CC164" s="94"/>
      <c r="CD164" s="94"/>
      <c r="CE164" s="94"/>
      <c r="CF164" s="94"/>
      <c r="CG164" s="94"/>
      <c r="CH164" s="94"/>
      <c r="CI164" s="94"/>
      <c r="CJ164" s="94"/>
      <c r="CK164" s="94"/>
      <c r="CL164" s="94"/>
      <c r="CM164" s="94"/>
      <c r="CN164" s="94"/>
      <c r="CO164" s="94"/>
      <c r="CP164" s="94"/>
      <c r="CQ164" s="94"/>
      <c r="CR164" s="94"/>
      <c r="CS164" s="94"/>
    </row>
    <row r="165" spans="3:97" x14ac:dyDescent="0.3">
      <c r="C165" s="94"/>
      <c r="D165" s="94"/>
      <c r="E165" s="94"/>
      <c r="F165" s="94"/>
      <c r="G165" s="94"/>
      <c r="H165" s="94"/>
      <c r="I165" s="94"/>
      <c r="J165" s="94"/>
      <c r="K165" s="94"/>
      <c r="L165" s="94"/>
      <c r="M165" s="94"/>
      <c r="N165" s="94"/>
      <c r="O165" s="94"/>
      <c r="P165" s="94"/>
      <c r="Q165" s="94"/>
      <c r="R165" s="94"/>
      <c r="S165" s="94"/>
      <c r="T165" s="94"/>
      <c r="U165" s="94"/>
      <c r="V165" s="94"/>
      <c r="W165" s="94"/>
      <c r="X165" s="94"/>
      <c r="Y165" s="94"/>
      <c r="Z165" s="94"/>
      <c r="AF165" s="94"/>
      <c r="AG165" s="94"/>
      <c r="AH165" s="94"/>
      <c r="AI165" s="94"/>
      <c r="AJ165" s="94"/>
      <c r="AK165" s="94"/>
      <c r="AL165" s="94"/>
      <c r="AM165" s="94"/>
      <c r="AN165" s="94"/>
      <c r="AO165" s="94"/>
      <c r="AP165" s="94"/>
      <c r="AQ165" s="94"/>
      <c r="AR165" s="94"/>
      <c r="AS165" s="94"/>
      <c r="AT165" s="83"/>
      <c r="AU165" s="83"/>
      <c r="AV165" s="83"/>
      <c r="AW165" s="83"/>
      <c r="AX165" s="83"/>
      <c r="AY165" s="83"/>
      <c r="AZ165" s="83"/>
      <c r="BA165" s="83"/>
      <c r="BB165" s="83"/>
      <c r="BC165" s="83"/>
      <c r="BD165" s="83"/>
      <c r="BE165" s="83"/>
      <c r="BF165" s="83"/>
      <c r="BG165" s="83"/>
      <c r="BH165" s="83"/>
      <c r="BI165" s="83"/>
      <c r="BJ165" s="83"/>
      <c r="BK165" s="83"/>
      <c r="BL165" s="83"/>
      <c r="BM165" s="83"/>
      <c r="BN165" s="83"/>
      <c r="BO165" s="83"/>
      <c r="BP165" s="83"/>
      <c r="BQ165" s="83"/>
      <c r="BR165" s="83"/>
      <c r="BS165" s="83"/>
      <c r="BT165" s="83"/>
      <c r="BU165" s="83"/>
      <c r="BV165" s="83"/>
      <c r="BW165" s="83"/>
      <c r="BX165" s="83"/>
      <c r="BY165" s="83"/>
      <c r="BZ165" s="83"/>
      <c r="CA165" s="83"/>
      <c r="CB165" s="83"/>
      <c r="CC165" s="866"/>
      <c r="CD165" s="866"/>
      <c r="CE165" s="866"/>
      <c r="CF165" s="867"/>
      <c r="CG165" s="867"/>
      <c r="CH165" s="867"/>
      <c r="CI165" s="868"/>
      <c r="CJ165" s="119"/>
      <c r="CK165" s="869"/>
      <c r="CL165" s="866"/>
      <c r="CM165" s="866"/>
      <c r="CN165" s="94"/>
      <c r="CO165" s="94"/>
      <c r="CP165" s="94"/>
      <c r="CQ165" s="94"/>
      <c r="CR165" s="94"/>
      <c r="CS165" s="94"/>
    </row>
    <row r="166" spans="3:97" ht="15" customHeight="1" x14ac:dyDescent="0.3">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c r="AF166" s="94"/>
      <c r="AG166" s="94"/>
      <c r="AH166" s="94"/>
      <c r="AI166" s="94"/>
      <c r="AJ166" s="94"/>
      <c r="AK166" s="94"/>
      <c r="AL166" s="94"/>
      <c r="AM166" s="94"/>
      <c r="AN166" s="94"/>
      <c r="AO166" s="94"/>
      <c r="AP166" s="94"/>
      <c r="AQ166" s="94"/>
      <c r="AR166" s="94"/>
      <c r="AS166" s="94"/>
      <c r="AT166" s="83"/>
      <c r="AU166" s="83"/>
      <c r="AV166" s="83"/>
      <c r="AW166" s="83"/>
      <c r="AX166" s="83"/>
      <c r="AY166" s="83"/>
      <c r="AZ166" s="83"/>
      <c r="BA166" s="83"/>
      <c r="BB166" s="83"/>
      <c r="BC166" s="83"/>
      <c r="BD166" s="83"/>
      <c r="BE166" s="83"/>
      <c r="BF166" s="83"/>
      <c r="BG166" s="83"/>
      <c r="BH166" s="83"/>
      <c r="BI166" s="83"/>
      <c r="BJ166" s="83"/>
      <c r="BK166" s="83"/>
      <c r="BL166" s="83"/>
      <c r="BM166" s="83"/>
      <c r="BN166" s="83"/>
      <c r="BO166" s="83"/>
      <c r="BP166" s="83"/>
      <c r="BQ166" s="83"/>
      <c r="BR166" s="83"/>
      <c r="BS166" s="83"/>
      <c r="BT166" s="83"/>
      <c r="BU166" s="83"/>
      <c r="BV166" s="83"/>
      <c r="BW166" s="83"/>
      <c r="BX166" s="83"/>
      <c r="BY166" s="83"/>
      <c r="BZ166" s="83"/>
      <c r="CA166" s="83"/>
      <c r="CB166" s="83"/>
      <c r="CC166" s="866"/>
      <c r="CD166" s="866"/>
      <c r="CE166" s="866"/>
      <c r="CF166" s="867"/>
      <c r="CG166" s="867"/>
      <c r="CH166" s="867"/>
      <c r="CI166" s="868"/>
      <c r="CJ166" s="119"/>
      <c r="CK166" s="869"/>
      <c r="CL166" s="866"/>
      <c r="CM166" s="866"/>
      <c r="CN166" s="94"/>
      <c r="CO166" s="94"/>
      <c r="CP166" s="94"/>
      <c r="CQ166" s="94"/>
      <c r="CR166" s="94"/>
      <c r="CS166" s="94"/>
    </row>
    <row r="167" spans="3:97" ht="16.05" customHeight="1" x14ac:dyDescent="0.3">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c r="AF167" s="94"/>
      <c r="AG167" s="94"/>
      <c r="AH167" s="94"/>
      <c r="AI167" s="94"/>
      <c r="AJ167" s="94"/>
      <c r="AK167" s="94"/>
      <c r="AL167" s="94"/>
      <c r="AM167" s="94"/>
      <c r="AN167" s="94"/>
      <c r="AO167" s="94"/>
      <c r="AP167" s="94"/>
      <c r="AQ167" s="94"/>
      <c r="AR167" s="94"/>
      <c r="AS167" s="94"/>
      <c r="AT167" s="94"/>
      <c r="AU167" s="94"/>
      <c r="AV167" s="94"/>
      <c r="AW167" s="94"/>
      <c r="AX167" s="94"/>
      <c r="AY167" s="94"/>
      <c r="AZ167" s="94"/>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4"/>
      <c r="CB167" s="94"/>
      <c r="CC167" s="94"/>
      <c r="CD167" s="94"/>
      <c r="CE167" s="94"/>
      <c r="CF167" s="94"/>
      <c r="CG167" s="94"/>
      <c r="CH167" s="94"/>
      <c r="CI167" s="94"/>
      <c r="CJ167" s="94"/>
      <c r="CK167" s="94"/>
      <c r="CL167" s="94"/>
      <c r="CM167" s="94"/>
      <c r="CN167" s="94"/>
      <c r="CO167" s="94"/>
      <c r="CP167" s="94"/>
      <c r="CQ167" s="94"/>
      <c r="CR167" s="94"/>
      <c r="CS167" s="94"/>
    </row>
    <row r="168" spans="3:97" ht="15" customHeight="1" x14ac:dyDescent="0.3">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c r="AF168" s="94"/>
      <c r="AG168" s="94"/>
      <c r="AH168" s="94"/>
      <c r="AI168" s="94"/>
      <c r="AJ168" s="94"/>
      <c r="AK168" s="94"/>
      <c r="AL168" s="94"/>
      <c r="AM168" s="94"/>
      <c r="AN168" s="94"/>
      <c r="AO168" s="94"/>
      <c r="AP168" s="94"/>
      <c r="AQ168" s="94"/>
      <c r="AR168" s="94"/>
      <c r="AS168" s="94"/>
      <c r="AT168" s="94"/>
      <c r="AU168" s="94"/>
      <c r="AV168" s="94"/>
      <c r="AW168" s="94"/>
      <c r="AX168" s="94"/>
      <c r="AY168" s="94"/>
      <c r="AZ168" s="94"/>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4"/>
      <c r="CB168" s="94"/>
      <c r="CC168" s="94"/>
      <c r="CD168" s="94"/>
      <c r="CE168" s="94"/>
      <c r="CF168" s="94"/>
      <c r="CG168" s="94"/>
      <c r="CH168" s="94"/>
      <c r="CI168" s="94"/>
      <c r="CJ168" s="94"/>
      <c r="CK168" s="94"/>
      <c r="CL168" s="94"/>
      <c r="CM168" s="94"/>
      <c r="CN168" s="94"/>
      <c r="CO168" s="94"/>
      <c r="CP168" s="94"/>
      <c r="CQ168" s="94"/>
      <c r="CR168" s="94"/>
      <c r="CS168" s="94"/>
    </row>
    <row r="169" spans="3:97" ht="15" customHeight="1" x14ac:dyDescent="0.3">
      <c r="C169" s="94"/>
      <c r="D169" s="94"/>
      <c r="E169" s="94"/>
      <c r="F169" s="94"/>
      <c r="G169" s="94"/>
      <c r="H169" s="94"/>
      <c r="I169" s="94"/>
      <c r="J169" s="94"/>
      <c r="K169" s="94"/>
      <c r="L169" s="94"/>
      <c r="M169" s="94"/>
      <c r="N169" s="94"/>
      <c r="O169" s="94"/>
      <c r="P169" s="94"/>
      <c r="Q169" s="94"/>
      <c r="R169" s="94"/>
      <c r="S169" s="94"/>
      <c r="T169" s="94"/>
      <c r="U169" s="94"/>
      <c r="V169" s="94"/>
      <c r="W169" s="94"/>
      <c r="X169" s="94"/>
      <c r="Y169" s="94"/>
      <c r="Z169" s="94"/>
      <c r="AF169" s="94"/>
      <c r="AG169" s="94"/>
      <c r="AH169" s="94"/>
      <c r="AI169" s="94"/>
      <c r="AJ169" s="94"/>
      <c r="AK169" s="94"/>
      <c r="AL169" s="94"/>
      <c r="AM169" s="94"/>
      <c r="AN169" s="94"/>
      <c r="AO169" s="94"/>
      <c r="AP169" s="94"/>
      <c r="AQ169" s="94"/>
      <c r="AR169" s="94"/>
      <c r="AS169" s="94"/>
      <c r="AT169" s="94"/>
      <c r="AU169" s="94"/>
      <c r="AV169" s="94"/>
      <c r="AW169" s="94"/>
      <c r="AX169" s="94"/>
      <c r="AY169" s="94"/>
      <c r="AZ169" s="94"/>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4"/>
      <c r="CB169" s="94"/>
      <c r="CC169" s="94"/>
      <c r="CD169" s="94"/>
      <c r="CE169" s="94"/>
      <c r="CF169" s="94"/>
      <c r="CG169" s="94"/>
      <c r="CH169" s="94"/>
      <c r="CI169" s="94"/>
      <c r="CJ169" s="94"/>
      <c r="CK169" s="94"/>
      <c r="CL169" s="94"/>
      <c r="CM169" s="94"/>
      <c r="CN169" s="94"/>
      <c r="CO169" s="94"/>
      <c r="CP169" s="94"/>
      <c r="CQ169" s="94"/>
      <c r="CR169" s="94"/>
      <c r="CS169" s="94"/>
    </row>
    <row r="170" spans="3:97" x14ac:dyDescent="0.3">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c r="AF170" s="94"/>
      <c r="AG170" s="94"/>
      <c r="AH170" s="94"/>
      <c r="AI170" s="94"/>
      <c r="AJ170" s="94"/>
      <c r="AK170" s="94"/>
      <c r="AL170" s="94"/>
      <c r="AM170" s="94"/>
      <c r="AN170" s="94"/>
      <c r="AO170" s="94"/>
      <c r="AP170" s="94"/>
      <c r="AQ170" s="94"/>
      <c r="AR170" s="94"/>
      <c r="AS170" s="94"/>
      <c r="AT170" s="94"/>
      <c r="AU170" s="94"/>
      <c r="AV170" s="94"/>
      <c r="AW170" s="94"/>
      <c r="AX170" s="94"/>
      <c r="AY170" s="94"/>
      <c r="AZ170" s="94"/>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4"/>
      <c r="CB170" s="94"/>
      <c r="CC170" s="94"/>
      <c r="CD170" s="94"/>
      <c r="CE170" s="94"/>
      <c r="CF170" s="94"/>
      <c r="CG170" s="94"/>
      <c r="CH170" s="94"/>
      <c r="CI170" s="94"/>
      <c r="CJ170" s="94"/>
      <c r="CK170" s="94"/>
      <c r="CL170" s="94"/>
      <c r="CM170" s="94"/>
      <c r="CN170" s="94"/>
      <c r="CO170" s="94"/>
      <c r="CP170" s="94"/>
      <c r="CQ170" s="94"/>
      <c r="CR170" s="94"/>
      <c r="CS170" s="94"/>
    </row>
    <row r="171" spans="3:97" x14ac:dyDescent="0.3">
      <c r="C171" s="94"/>
      <c r="D171" s="94"/>
      <c r="E171" s="94"/>
      <c r="F171" s="94"/>
      <c r="G171" s="94"/>
      <c r="H171" s="94"/>
      <c r="I171" s="94"/>
      <c r="J171" s="94"/>
      <c r="K171" s="94"/>
      <c r="L171" s="94"/>
      <c r="M171" s="94"/>
      <c r="N171" s="94"/>
      <c r="O171" s="94"/>
      <c r="P171" s="94"/>
      <c r="Q171" s="94"/>
      <c r="R171" s="94"/>
      <c r="S171" s="94"/>
      <c r="T171" s="94"/>
      <c r="U171" s="94"/>
      <c r="V171" s="94"/>
      <c r="W171" s="94"/>
      <c r="X171" s="94"/>
      <c r="Y171" s="94"/>
      <c r="Z171" s="94"/>
      <c r="AF171" s="94"/>
      <c r="AG171" s="94"/>
      <c r="AH171" s="94"/>
      <c r="AI171" s="94"/>
      <c r="AJ171" s="94"/>
      <c r="AK171" s="94"/>
      <c r="AL171" s="94"/>
      <c r="AM171" s="94"/>
      <c r="AN171" s="94"/>
      <c r="AO171" s="94"/>
      <c r="AP171" s="94"/>
      <c r="AQ171" s="94"/>
      <c r="AR171" s="94"/>
      <c r="AS171" s="94"/>
      <c r="AT171" s="94"/>
      <c r="AU171" s="94"/>
      <c r="AV171" s="94"/>
      <c r="AW171" s="94"/>
      <c r="AX171" s="94"/>
      <c r="AY171" s="94"/>
      <c r="AZ171" s="94"/>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4"/>
      <c r="CB171" s="94"/>
      <c r="CC171" s="94"/>
      <c r="CD171" s="94"/>
      <c r="CE171" s="94"/>
      <c r="CF171" s="94"/>
      <c r="CG171" s="94"/>
      <c r="CH171" s="94"/>
      <c r="CI171" s="94"/>
      <c r="CJ171" s="94"/>
      <c r="CK171" s="94"/>
      <c r="CL171" s="94"/>
      <c r="CM171" s="94"/>
      <c r="CN171" s="94"/>
      <c r="CO171" s="94"/>
      <c r="CP171" s="94"/>
      <c r="CQ171" s="94"/>
      <c r="CR171" s="94"/>
      <c r="CS171" s="94"/>
    </row>
    <row r="172" spans="3:97" x14ac:dyDescent="0.3">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c r="AF172" s="94"/>
      <c r="AG172" s="94"/>
      <c r="AH172" s="94"/>
      <c r="AI172" s="94"/>
      <c r="AJ172" s="94"/>
      <c r="AK172" s="94"/>
      <c r="AL172" s="94"/>
      <c r="AM172" s="94"/>
      <c r="AN172" s="94"/>
      <c r="AO172" s="94"/>
      <c r="AP172" s="94"/>
      <c r="AQ172" s="94"/>
      <c r="AR172" s="94"/>
      <c r="AS172" s="94"/>
      <c r="AT172" s="94"/>
      <c r="AU172" s="94"/>
      <c r="AV172" s="94"/>
      <c r="AW172" s="94"/>
      <c r="AX172" s="94"/>
      <c r="AY172" s="94"/>
      <c r="AZ172" s="94"/>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4"/>
      <c r="CB172" s="94"/>
      <c r="CC172" s="94"/>
      <c r="CD172" s="94"/>
      <c r="CE172" s="94"/>
      <c r="CF172" s="94"/>
      <c r="CG172" s="94"/>
      <c r="CH172" s="94"/>
      <c r="CI172" s="94"/>
      <c r="CJ172" s="94"/>
      <c r="CK172" s="94"/>
      <c r="CL172" s="94"/>
      <c r="CM172" s="94"/>
      <c r="CN172" s="94"/>
      <c r="CO172" s="94"/>
      <c r="CP172" s="94"/>
      <c r="CQ172" s="94"/>
      <c r="CR172" s="94"/>
      <c r="CS172" s="94"/>
    </row>
    <row r="173" spans="3:97" x14ac:dyDescent="0.3">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c r="AF173" s="94"/>
      <c r="AG173" s="94"/>
      <c r="AH173" s="94"/>
      <c r="AI173" s="94"/>
      <c r="AJ173" s="94"/>
      <c r="AK173" s="94"/>
      <c r="AL173" s="94"/>
      <c r="AM173" s="94"/>
      <c r="AN173" s="94"/>
      <c r="AO173" s="94"/>
      <c r="AP173" s="94"/>
      <c r="AQ173" s="94"/>
      <c r="AR173" s="94"/>
      <c r="AS173" s="94"/>
      <c r="AT173" s="94"/>
      <c r="AU173" s="94"/>
      <c r="AV173" s="94"/>
      <c r="AW173" s="94"/>
      <c r="AX173" s="94"/>
      <c r="AY173" s="94"/>
      <c r="AZ173" s="94"/>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4"/>
      <c r="CB173" s="94"/>
      <c r="CC173" s="94"/>
      <c r="CD173" s="94"/>
      <c r="CE173" s="94"/>
      <c r="CF173" s="94"/>
      <c r="CG173" s="94"/>
      <c r="CH173" s="94"/>
      <c r="CI173" s="94"/>
      <c r="CJ173" s="94"/>
      <c r="CK173" s="94"/>
      <c r="CL173" s="94"/>
      <c r="CM173" s="94"/>
      <c r="CN173" s="94"/>
      <c r="CO173" s="94"/>
      <c r="CP173" s="94"/>
      <c r="CQ173" s="94"/>
      <c r="CR173" s="94"/>
      <c r="CS173" s="94"/>
    </row>
    <row r="174" spans="3:97" ht="19.05" customHeight="1" x14ac:dyDescent="0.3">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c r="AF174" s="94"/>
      <c r="AG174" s="94"/>
      <c r="AH174" s="94"/>
      <c r="AI174" s="94"/>
      <c r="AJ174" s="94"/>
      <c r="AK174" s="94"/>
      <c r="AL174" s="94"/>
      <c r="AM174" s="94"/>
      <c r="AN174" s="94"/>
      <c r="AO174" s="94"/>
      <c r="AP174" s="94"/>
      <c r="AQ174" s="94"/>
      <c r="AR174" s="94"/>
      <c r="AS174" s="94"/>
      <c r="AT174" s="120"/>
      <c r="AU174" s="120"/>
      <c r="AV174" s="120"/>
      <c r="AW174" s="120"/>
      <c r="AX174" s="120"/>
      <c r="AY174" s="120"/>
      <c r="AZ174" s="120"/>
      <c r="BA174" s="120"/>
      <c r="BB174" s="120"/>
      <c r="BC174" s="120"/>
      <c r="BD174" s="120"/>
      <c r="BE174" s="120"/>
      <c r="BF174" s="120"/>
      <c r="BG174" s="120"/>
      <c r="BH174" s="120"/>
      <c r="BI174" s="120"/>
      <c r="BJ174" s="120"/>
      <c r="BK174" s="120"/>
      <c r="BL174" s="120"/>
      <c r="BM174" s="120"/>
      <c r="BN174" s="120"/>
      <c r="BO174" s="120"/>
      <c r="BP174" s="120"/>
      <c r="BQ174" s="120"/>
      <c r="BR174" s="120"/>
      <c r="BS174" s="120"/>
      <c r="BT174" s="120"/>
      <c r="BU174" s="120"/>
      <c r="BV174" s="120"/>
      <c r="BW174" s="120"/>
      <c r="BX174" s="120"/>
      <c r="BY174" s="120"/>
      <c r="BZ174" s="120"/>
      <c r="CA174" s="120"/>
      <c r="CB174" s="120"/>
      <c r="CC174" s="120"/>
      <c r="CD174" s="870"/>
      <c r="CE174" s="870"/>
      <c r="CF174" s="870"/>
      <c r="CG174" s="867"/>
      <c r="CH174" s="867"/>
      <c r="CI174" s="867"/>
      <c r="CJ174" s="871"/>
      <c r="CK174" s="872"/>
      <c r="CL174" s="873"/>
      <c r="CM174" s="873"/>
      <c r="CN174" s="94"/>
      <c r="CO174" s="94"/>
      <c r="CP174" s="94"/>
      <c r="CQ174" s="94"/>
      <c r="CR174" s="94"/>
      <c r="CS174" s="94"/>
    </row>
    <row r="175" spans="3:97" x14ac:dyDescent="0.3">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c r="AF175" s="94"/>
      <c r="AG175" s="94"/>
      <c r="AH175" s="94"/>
      <c r="AI175" s="94"/>
      <c r="AJ175" s="94"/>
      <c r="AK175" s="94"/>
      <c r="AL175" s="94"/>
      <c r="AM175" s="94"/>
      <c r="AN175" s="94"/>
      <c r="AO175" s="94"/>
      <c r="AP175" s="94"/>
      <c r="AQ175" s="94"/>
      <c r="AR175" s="94"/>
      <c r="AS175" s="94"/>
      <c r="AT175" s="121"/>
      <c r="AU175" s="121"/>
      <c r="AV175" s="121"/>
      <c r="AW175" s="121"/>
      <c r="AX175" s="121"/>
      <c r="AY175" s="121"/>
      <c r="AZ175" s="121"/>
      <c r="BA175" s="121"/>
      <c r="BB175" s="121"/>
      <c r="BC175" s="121"/>
      <c r="BD175" s="121"/>
      <c r="BE175" s="121"/>
      <c r="BF175" s="121"/>
      <c r="BG175" s="121"/>
      <c r="BH175" s="121"/>
      <c r="BI175" s="121"/>
      <c r="BJ175" s="121"/>
      <c r="BK175" s="121"/>
      <c r="BL175" s="121"/>
      <c r="BM175" s="121"/>
      <c r="BN175" s="121"/>
      <c r="BO175" s="121"/>
      <c r="BP175" s="121"/>
      <c r="BQ175" s="121"/>
      <c r="BR175" s="121"/>
      <c r="BS175" s="121"/>
      <c r="BT175" s="121"/>
      <c r="BU175" s="121"/>
      <c r="BV175" s="121"/>
      <c r="BW175" s="121"/>
      <c r="BX175" s="121"/>
      <c r="BY175" s="121"/>
      <c r="BZ175" s="121"/>
      <c r="CA175" s="121"/>
      <c r="CB175" s="121"/>
      <c r="CC175" s="121"/>
      <c r="CD175" s="121"/>
      <c r="CE175" s="121"/>
      <c r="CF175" s="83"/>
      <c r="CG175" s="83"/>
      <c r="CH175" s="83"/>
      <c r="CI175" s="83"/>
      <c r="CJ175" s="874"/>
      <c r="CK175" s="83"/>
      <c r="CL175" s="83"/>
      <c r="CM175" s="83"/>
      <c r="CN175" s="94"/>
      <c r="CO175" s="94"/>
      <c r="CP175" s="94"/>
      <c r="CQ175" s="94"/>
      <c r="CR175" s="94"/>
      <c r="CS175" s="94"/>
    </row>
    <row r="176" spans="3:97" x14ac:dyDescent="0.3">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c r="AF176" s="94"/>
      <c r="AG176" s="94"/>
      <c r="AH176" s="94"/>
      <c r="AI176" s="94"/>
      <c r="AJ176" s="94"/>
      <c r="AK176" s="94"/>
      <c r="AL176" s="94"/>
      <c r="AM176" s="94"/>
      <c r="AN176" s="94"/>
      <c r="AO176" s="94"/>
      <c r="AP176" s="94"/>
      <c r="AQ176" s="94"/>
      <c r="AR176" s="94"/>
      <c r="AS176" s="94"/>
      <c r="AT176" s="87"/>
      <c r="AU176" s="87"/>
      <c r="AV176" s="87"/>
      <c r="AW176" s="87"/>
      <c r="AX176" s="87"/>
      <c r="AY176" s="87"/>
      <c r="AZ176" s="87"/>
      <c r="BA176" s="87"/>
      <c r="BB176" s="87"/>
      <c r="BC176" s="87"/>
      <c r="BD176" s="87"/>
      <c r="BE176" s="87"/>
      <c r="BF176" s="87"/>
      <c r="BG176" s="87"/>
      <c r="BH176" s="87"/>
      <c r="BI176" s="87"/>
      <c r="BJ176" s="87"/>
      <c r="BK176" s="87"/>
      <c r="BL176" s="87"/>
      <c r="BM176" s="87"/>
      <c r="BN176" s="87"/>
      <c r="BO176" s="87"/>
      <c r="BP176" s="87"/>
      <c r="BQ176" s="87"/>
      <c r="BR176" s="87"/>
      <c r="BS176" s="87"/>
      <c r="BT176" s="87"/>
      <c r="BU176" s="87"/>
      <c r="BV176" s="87"/>
      <c r="BW176" s="87"/>
      <c r="BX176" s="87"/>
      <c r="BY176" s="87"/>
      <c r="BZ176" s="87"/>
      <c r="CA176" s="87"/>
      <c r="CB176" s="87"/>
      <c r="CC176" s="87"/>
      <c r="CD176" s="875"/>
      <c r="CE176" s="875"/>
      <c r="CF176" s="875"/>
      <c r="CG176" s="876"/>
      <c r="CH176" s="876"/>
      <c r="CI176" s="87"/>
      <c r="CJ176" s="694"/>
      <c r="CK176" s="149"/>
      <c r="CL176" s="87"/>
      <c r="CM176" s="87"/>
      <c r="CN176" s="94"/>
      <c r="CO176" s="94"/>
      <c r="CP176" s="94"/>
      <c r="CQ176" s="94"/>
      <c r="CR176" s="94"/>
      <c r="CS176" s="94"/>
    </row>
    <row r="177" spans="3:97" x14ac:dyDescent="0.3">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c r="AF177" s="94"/>
      <c r="AG177" s="94"/>
      <c r="AH177" s="94"/>
      <c r="AI177" s="94"/>
      <c r="AJ177" s="94"/>
      <c r="AK177" s="94"/>
      <c r="AL177" s="94"/>
      <c r="AM177" s="94"/>
      <c r="AN177" s="94"/>
      <c r="AO177" s="94"/>
      <c r="AP177" s="94"/>
      <c r="AQ177" s="94"/>
      <c r="AR177" s="94"/>
      <c r="AS177" s="94"/>
      <c r="AT177" s="123"/>
      <c r="AU177" s="123"/>
      <c r="AV177" s="123"/>
      <c r="AW177" s="123"/>
      <c r="AX177" s="123"/>
      <c r="AY177" s="123"/>
      <c r="AZ177" s="123"/>
      <c r="BA177" s="123"/>
      <c r="BB177" s="123"/>
      <c r="BC177" s="123"/>
      <c r="BD177" s="123"/>
      <c r="BE177" s="123"/>
      <c r="BF177" s="123"/>
      <c r="BG177" s="123"/>
      <c r="BH177" s="123"/>
      <c r="BI177" s="123"/>
      <c r="BJ177" s="123"/>
      <c r="BK177" s="123"/>
      <c r="BL177" s="123"/>
      <c r="BM177" s="123"/>
      <c r="BN177" s="123"/>
      <c r="BO177" s="123"/>
      <c r="BP177" s="123"/>
      <c r="BQ177" s="123"/>
      <c r="BR177" s="123"/>
      <c r="BS177" s="123"/>
      <c r="BT177" s="123"/>
      <c r="BU177" s="123"/>
      <c r="BV177" s="123"/>
      <c r="BW177" s="123"/>
      <c r="BX177" s="123"/>
      <c r="BY177" s="123"/>
      <c r="BZ177" s="123"/>
      <c r="CA177" s="123"/>
      <c r="CB177" s="123"/>
      <c r="CC177" s="123"/>
      <c r="CD177" s="877"/>
      <c r="CE177" s="877"/>
      <c r="CF177" s="877"/>
      <c r="CG177" s="878"/>
      <c r="CH177" s="878"/>
      <c r="CI177" s="87"/>
      <c r="CJ177" s="694"/>
      <c r="CK177" s="149"/>
      <c r="CL177" s="875"/>
      <c r="CM177" s="875"/>
      <c r="CN177" s="94"/>
      <c r="CO177" s="94"/>
      <c r="CP177" s="94"/>
      <c r="CQ177" s="94"/>
      <c r="CR177" s="94"/>
      <c r="CS177" s="94"/>
    </row>
    <row r="178" spans="3:97" x14ac:dyDescent="0.3">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c r="AF178" s="94"/>
      <c r="AG178" s="94"/>
      <c r="AH178" s="94"/>
      <c r="AI178" s="94"/>
      <c r="AJ178" s="94"/>
      <c r="AK178" s="94"/>
      <c r="AL178" s="94"/>
      <c r="AM178" s="94"/>
      <c r="AN178" s="94"/>
      <c r="AO178" s="94"/>
      <c r="AP178" s="94"/>
      <c r="AQ178" s="94"/>
      <c r="AR178" s="94"/>
      <c r="AS178" s="94"/>
      <c r="AT178" s="124"/>
      <c r="AU178" s="124"/>
      <c r="AV178" s="124"/>
      <c r="AW178" s="124"/>
      <c r="AX178" s="124"/>
      <c r="AY178" s="124"/>
      <c r="AZ178" s="124"/>
      <c r="BA178" s="124"/>
      <c r="BB178" s="124"/>
      <c r="BC178" s="124"/>
      <c r="BD178" s="124"/>
      <c r="BE178" s="124"/>
      <c r="BF178" s="124"/>
      <c r="BG178" s="124"/>
      <c r="BH178" s="124"/>
      <c r="BI178" s="124"/>
      <c r="BJ178" s="124"/>
      <c r="BK178" s="124"/>
      <c r="BL178" s="124"/>
      <c r="BM178" s="124"/>
      <c r="BN178" s="124"/>
      <c r="BO178" s="124"/>
      <c r="BP178" s="124"/>
      <c r="BQ178" s="124"/>
      <c r="BR178" s="124"/>
      <c r="BS178" s="124"/>
      <c r="BT178" s="124"/>
      <c r="BU178" s="124"/>
      <c r="BV178" s="124"/>
      <c r="BW178" s="124"/>
      <c r="BX178" s="124"/>
      <c r="BY178" s="124"/>
      <c r="BZ178" s="124"/>
      <c r="CA178" s="124"/>
      <c r="CB178" s="124"/>
      <c r="CC178" s="124"/>
      <c r="CD178" s="877"/>
      <c r="CE178" s="877"/>
      <c r="CF178" s="877"/>
      <c r="CG178" s="878"/>
      <c r="CH178" s="878"/>
      <c r="CI178" s="87"/>
      <c r="CJ178" s="694"/>
      <c r="CK178" s="879"/>
      <c r="CL178" s="880"/>
      <c r="CM178" s="880"/>
      <c r="CN178" s="94"/>
      <c r="CO178" s="94"/>
      <c r="CP178" s="94"/>
      <c r="CQ178" s="94"/>
      <c r="CR178" s="94"/>
      <c r="CS178" s="94"/>
    </row>
    <row r="179" spans="3:97" x14ac:dyDescent="0.3">
      <c r="AF179" s="94"/>
      <c r="AG179" s="94"/>
      <c r="AH179" s="94"/>
      <c r="AI179" s="94"/>
      <c r="AJ179" s="94"/>
      <c r="AK179" s="94"/>
      <c r="AL179" s="94"/>
      <c r="AM179" s="94"/>
      <c r="AN179" s="94"/>
      <c r="AO179" s="94"/>
      <c r="AP179" s="94"/>
      <c r="AQ179" s="94"/>
      <c r="AR179" s="94"/>
      <c r="AS179" s="94"/>
      <c r="AT179" s="124"/>
      <c r="AU179" s="124"/>
      <c r="AV179" s="124"/>
      <c r="AW179" s="124"/>
      <c r="AX179" s="124"/>
      <c r="AY179" s="124"/>
      <c r="AZ179" s="124"/>
      <c r="BA179" s="124"/>
      <c r="BB179" s="124"/>
      <c r="BC179" s="124"/>
      <c r="BD179" s="124"/>
      <c r="BE179" s="124"/>
      <c r="BF179" s="124"/>
      <c r="BG179" s="124"/>
      <c r="BH179" s="124"/>
      <c r="BI179" s="124"/>
      <c r="BJ179" s="124"/>
      <c r="BK179" s="124"/>
      <c r="BL179" s="124"/>
      <c r="BM179" s="124"/>
      <c r="BN179" s="124"/>
      <c r="BO179" s="124"/>
      <c r="BP179" s="124"/>
      <c r="BQ179" s="124"/>
      <c r="BR179" s="124"/>
      <c r="BS179" s="124"/>
      <c r="BT179" s="124"/>
      <c r="BU179" s="124"/>
      <c r="BV179" s="124"/>
      <c r="BW179" s="124"/>
      <c r="BX179" s="124"/>
      <c r="BY179" s="124"/>
      <c r="BZ179" s="124"/>
      <c r="CA179" s="124"/>
      <c r="CB179" s="124"/>
      <c r="CC179" s="124"/>
      <c r="CD179" s="877"/>
      <c r="CE179" s="877"/>
      <c r="CF179" s="877"/>
      <c r="CG179" s="878"/>
      <c r="CH179" s="878"/>
      <c r="CI179" s="87"/>
      <c r="CJ179" s="694"/>
      <c r="CK179" s="881"/>
      <c r="CL179" s="882"/>
      <c r="CM179" s="882"/>
      <c r="CN179" s="94"/>
      <c r="CO179" s="94"/>
      <c r="CP179" s="94"/>
      <c r="CQ179" s="94"/>
      <c r="CR179" s="94"/>
      <c r="CS179" s="94"/>
    </row>
    <row r="180" spans="3:97" x14ac:dyDescent="0.3">
      <c r="AA180" s="84"/>
      <c r="AB180" s="84"/>
      <c r="AC180" s="84"/>
      <c r="AD180" s="84"/>
      <c r="AE180" s="84"/>
      <c r="AF180" s="883"/>
      <c r="AG180" s="94"/>
      <c r="AH180" s="94"/>
      <c r="AI180" s="94"/>
      <c r="AJ180" s="94"/>
      <c r="AK180" s="94"/>
      <c r="AL180" s="94"/>
      <c r="AM180" s="94"/>
      <c r="AN180" s="94"/>
      <c r="AO180" s="94"/>
      <c r="AP180" s="94"/>
      <c r="AQ180" s="94"/>
      <c r="AR180" s="94"/>
      <c r="AS180" s="94"/>
      <c r="AT180" s="125"/>
      <c r="AU180" s="125"/>
      <c r="AV180" s="88"/>
      <c r="AW180" s="88"/>
      <c r="AX180" s="88"/>
      <c r="AY180" s="88"/>
      <c r="AZ180" s="88"/>
      <c r="BA180" s="88"/>
      <c r="BB180" s="88"/>
      <c r="BC180" s="88"/>
      <c r="BD180" s="88"/>
      <c r="BE180" s="88"/>
      <c r="BF180" s="88"/>
      <c r="BG180" s="88"/>
      <c r="BH180" s="88"/>
      <c r="BI180" s="88"/>
      <c r="BJ180" s="88"/>
      <c r="BK180" s="88"/>
      <c r="BL180" s="88"/>
      <c r="BM180" s="88"/>
      <c r="BN180" s="88"/>
      <c r="BO180" s="88"/>
      <c r="BP180" s="88"/>
      <c r="BQ180" s="88"/>
      <c r="BR180" s="88"/>
      <c r="BS180" s="88"/>
      <c r="BT180" s="88"/>
      <c r="BU180" s="88"/>
      <c r="BV180" s="88"/>
      <c r="BW180" s="88"/>
      <c r="BX180" s="88"/>
      <c r="BY180" s="88"/>
      <c r="BZ180" s="88"/>
      <c r="CA180" s="88"/>
      <c r="CB180" s="88"/>
      <c r="CC180" s="88"/>
      <c r="CD180" s="87"/>
      <c r="CE180" s="87"/>
      <c r="CF180" s="87"/>
      <c r="CG180" s="87"/>
      <c r="CH180" s="87"/>
      <c r="CI180" s="87"/>
      <c r="CJ180" s="694"/>
      <c r="CK180" s="879"/>
      <c r="CL180" s="880"/>
      <c r="CM180" s="880"/>
      <c r="CN180" s="94"/>
      <c r="CO180" s="94"/>
      <c r="CP180" s="94"/>
      <c r="CQ180" s="94"/>
      <c r="CR180" s="94"/>
      <c r="CS180" s="94"/>
    </row>
    <row r="181" spans="3:97" x14ac:dyDescent="0.3">
      <c r="AA181" s="85"/>
      <c r="AB181" s="85"/>
      <c r="AC181" s="85"/>
      <c r="AD181" s="85"/>
      <c r="AE181" s="85"/>
      <c r="AF181" s="87"/>
      <c r="AG181" s="94"/>
      <c r="AH181" s="94"/>
      <c r="AI181" s="94"/>
      <c r="AJ181" s="94"/>
      <c r="AK181" s="94"/>
      <c r="AL181" s="94"/>
      <c r="AM181" s="884"/>
      <c r="AN181" s="884"/>
      <c r="AO181" s="884"/>
      <c r="AP181" s="884"/>
      <c r="AQ181" s="94"/>
      <c r="AR181" s="94"/>
      <c r="AS181" s="94"/>
      <c r="AT181" s="88"/>
      <c r="AU181" s="88"/>
      <c r="AV181" s="88"/>
      <c r="AW181" s="88"/>
      <c r="AX181" s="88"/>
      <c r="AY181" s="88"/>
      <c r="AZ181" s="88"/>
      <c r="BA181" s="88"/>
      <c r="BB181" s="88"/>
      <c r="BC181" s="88"/>
      <c r="BD181" s="88"/>
      <c r="BE181" s="88"/>
      <c r="BF181" s="88"/>
      <c r="BG181" s="88"/>
      <c r="BH181" s="88"/>
      <c r="BI181" s="88"/>
      <c r="BJ181" s="88"/>
      <c r="BK181" s="88"/>
      <c r="BL181" s="88"/>
      <c r="BM181" s="88"/>
      <c r="BN181" s="88"/>
      <c r="BO181" s="88"/>
      <c r="BP181" s="88"/>
      <c r="BQ181" s="88"/>
      <c r="BR181" s="88"/>
      <c r="BS181" s="88"/>
      <c r="BT181" s="88"/>
      <c r="BU181" s="88"/>
      <c r="BV181" s="88"/>
      <c r="BW181" s="88"/>
      <c r="BX181" s="88"/>
      <c r="BY181" s="88"/>
      <c r="BZ181" s="88"/>
      <c r="CA181" s="88"/>
      <c r="CB181" s="88"/>
      <c r="CC181" s="88"/>
      <c r="CD181" s="94"/>
      <c r="CE181" s="94"/>
      <c r="CF181" s="94"/>
      <c r="CG181" s="94"/>
      <c r="CH181" s="94"/>
      <c r="CI181" s="885"/>
      <c r="CJ181" s="694"/>
      <c r="CK181" s="87"/>
      <c r="CL181" s="87"/>
      <c r="CM181" s="87"/>
      <c r="CN181" s="94"/>
      <c r="CO181" s="94"/>
      <c r="CP181" s="94"/>
      <c r="CQ181" s="94"/>
      <c r="CR181" s="94"/>
      <c r="CS181" s="94"/>
    </row>
    <row r="182" spans="3:97" x14ac:dyDescent="0.3">
      <c r="Y182" s="85"/>
      <c r="Z182" s="85"/>
      <c r="AA182" s="85"/>
      <c r="AB182" s="85"/>
      <c r="AC182" s="85"/>
      <c r="AD182" s="85"/>
      <c r="AE182" s="85"/>
      <c r="AF182" s="87"/>
      <c r="AG182" s="94"/>
      <c r="AH182" s="94"/>
      <c r="AI182" s="94"/>
      <c r="AJ182" s="94"/>
      <c r="AK182" s="94"/>
      <c r="AL182" s="94"/>
      <c r="AM182" s="884"/>
      <c r="AN182" s="884"/>
      <c r="AO182" s="884"/>
      <c r="AP182" s="886"/>
      <c r="AQ182" s="123"/>
      <c r="AR182" s="123"/>
      <c r="AS182" s="123"/>
      <c r="AT182" s="123"/>
      <c r="AU182" s="123"/>
      <c r="AV182" s="123"/>
      <c r="AW182" s="123"/>
      <c r="AX182" s="123"/>
      <c r="AY182" s="123"/>
      <c r="AZ182" s="123"/>
      <c r="BA182" s="123"/>
      <c r="BB182" s="123"/>
      <c r="BC182" s="123"/>
      <c r="BD182" s="123"/>
      <c r="BE182" s="123"/>
      <c r="BF182" s="123"/>
      <c r="BG182" s="123"/>
      <c r="BH182" s="123"/>
      <c r="BI182" s="123"/>
      <c r="BJ182" s="123"/>
      <c r="BK182" s="123"/>
      <c r="BL182" s="123"/>
      <c r="BM182" s="123"/>
      <c r="BN182" s="123"/>
      <c r="BO182" s="123"/>
      <c r="BP182" s="123"/>
      <c r="BQ182" s="123"/>
      <c r="BR182" s="123"/>
      <c r="BS182" s="123"/>
      <c r="BT182" s="123"/>
      <c r="BU182" s="123"/>
      <c r="BV182" s="123"/>
      <c r="BW182" s="123"/>
      <c r="BX182" s="123"/>
      <c r="BY182" s="123"/>
      <c r="BZ182" s="123"/>
      <c r="CA182" s="123"/>
      <c r="CB182" s="123"/>
      <c r="CC182" s="123"/>
      <c r="CD182" s="94"/>
      <c r="CE182" s="94"/>
      <c r="CF182" s="94"/>
      <c r="CG182" s="94"/>
      <c r="CH182" s="94"/>
      <c r="CI182" s="87"/>
      <c r="CJ182" s="694"/>
      <c r="CK182" s="87"/>
      <c r="CL182" s="875"/>
      <c r="CM182" s="875"/>
      <c r="CN182" s="94"/>
      <c r="CO182" s="94"/>
      <c r="CP182" s="94"/>
      <c r="CQ182" s="94"/>
      <c r="CR182" s="94"/>
      <c r="CS182" s="94"/>
    </row>
    <row r="183" spans="3:97" x14ac:dyDescent="0.3">
      <c r="Y183" s="85"/>
      <c r="Z183" s="85"/>
      <c r="AA183" s="85"/>
      <c r="AB183" s="85"/>
      <c r="AC183" s="85"/>
      <c r="AD183" s="85"/>
      <c r="AE183" s="85"/>
      <c r="AF183" s="87"/>
      <c r="AG183" s="94"/>
      <c r="AH183" s="94"/>
      <c r="AI183" s="94"/>
      <c r="AJ183" s="94"/>
      <c r="AK183" s="94"/>
      <c r="AL183" s="94"/>
      <c r="AM183" s="884"/>
      <c r="AN183" s="884"/>
      <c r="AO183" s="884"/>
      <c r="AP183" s="886"/>
      <c r="AQ183" s="124"/>
      <c r="AR183" s="124"/>
      <c r="AS183" s="124"/>
      <c r="AT183" s="124"/>
      <c r="AU183" s="124"/>
      <c r="AV183" s="124"/>
      <c r="AW183" s="124"/>
      <c r="AX183" s="124"/>
      <c r="AY183" s="124"/>
      <c r="AZ183" s="124"/>
      <c r="BA183" s="124"/>
      <c r="BB183" s="124"/>
      <c r="BC183" s="124"/>
      <c r="BD183" s="124"/>
      <c r="BE183" s="124"/>
      <c r="BF183" s="124"/>
      <c r="BG183" s="124"/>
      <c r="BH183" s="124"/>
      <c r="BI183" s="124"/>
      <c r="BJ183" s="124"/>
      <c r="BK183" s="124"/>
      <c r="BL183" s="124"/>
      <c r="BM183" s="124"/>
      <c r="BN183" s="124"/>
      <c r="BO183" s="124"/>
      <c r="BP183" s="124"/>
      <c r="BQ183" s="124"/>
      <c r="BR183" s="124"/>
      <c r="BS183" s="124"/>
      <c r="BT183" s="124"/>
      <c r="BU183" s="124"/>
      <c r="BV183" s="124"/>
      <c r="BW183" s="124"/>
      <c r="BX183" s="124"/>
      <c r="BY183" s="124"/>
      <c r="BZ183" s="124"/>
      <c r="CA183" s="124"/>
      <c r="CB183" s="124"/>
      <c r="CC183" s="124"/>
      <c r="CD183" s="94"/>
      <c r="CE183" s="94"/>
      <c r="CF183" s="94"/>
      <c r="CG183" s="94"/>
      <c r="CH183" s="94"/>
      <c r="CI183" s="87"/>
      <c r="CJ183" s="694"/>
      <c r="CK183" s="879"/>
      <c r="CL183" s="880"/>
      <c r="CM183" s="880"/>
      <c r="CN183" s="94"/>
      <c r="CO183" s="94"/>
      <c r="CP183" s="94"/>
      <c r="CQ183" s="94"/>
      <c r="CR183" s="94"/>
      <c r="CS183" s="94"/>
    </row>
    <row r="184" spans="3:97" x14ac:dyDescent="0.3">
      <c r="Y184" s="85"/>
      <c r="Z184" s="85"/>
      <c r="AA184" s="85"/>
      <c r="AB184" s="85"/>
      <c r="AC184" s="85"/>
      <c r="AD184" s="85"/>
      <c r="AE184" s="85"/>
      <c r="AF184" s="87"/>
      <c r="AG184" s="94"/>
      <c r="AH184" s="94"/>
      <c r="AI184" s="94"/>
      <c r="AJ184" s="94"/>
      <c r="AK184" s="94"/>
      <c r="AL184" s="94"/>
      <c r="AM184" s="884"/>
      <c r="AN184" s="884"/>
      <c r="AO184" s="884"/>
      <c r="AP184" s="886"/>
      <c r="AQ184" s="124"/>
      <c r="AR184" s="124"/>
      <c r="AS184" s="124"/>
      <c r="AT184" s="124"/>
      <c r="AU184" s="124"/>
      <c r="AV184" s="124"/>
      <c r="AW184" s="124"/>
      <c r="AX184" s="124"/>
      <c r="AY184" s="124"/>
      <c r="AZ184" s="124"/>
      <c r="BA184" s="124"/>
      <c r="BB184" s="124"/>
      <c r="BC184" s="124"/>
      <c r="BD184" s="124"/>
      <c r="BE184" s="124"/>
      <c r="BF184" s="124"/>
      <c r="BG184" s="124"/>
      <c r="BH184" s="124"/>
      <c r="BI184" s="124"/>
      <c r="BJ184" s="124"/>
      <c r="BK184" s="124"/>
      <c r="BL184" s="124"/>
      <c r="BM184" s="124"/>
      <c r="BN184" s="124"/>
      <c r="BO184" s="124"/>
      <c r="BP184" s="124"/>
      <c r="BQ184" s="124"/>
      <c r="BR184" s="124"/>
      <c r="BS184" s="124"/>
      <c r="BT184" s="124"/>
      <c r="BU184" s="124"/>
      <c r="BV184" s="124"/>
      <c r="BW184" s="124"/>
      <c r="BX184" s="124"/>
      <c r="BY184" s="124"/>
      <c r="BZ184" s="124"/>
      <c r="CA184" s="124"/>
      <c r="CB184" s="124"/>
      <c r="CC184" s="124"/>
      <c r="CD184" s="94"/>
      <c r="CE184" s="94"/>
      <c r="CF184" s="94"/>
      <c r="CG184" s="94"/>
      <c r="CH184" s="94"/>
      <c r="CI184" s="87"/>
      <c r="CJ184" s="694"/>
      <c r="CK184" s="879"/>
      <c r="CL184" s="880"/>
      <c r="CM184" s="880"/>
      <c r="CN184" s="94"/>
      <c r="CO184" s="94"/>
      <c r="CP184" s="94"/>
      <c r="CQ184" s="94"/>
      <c r="CR184" s="94"/>
      <c r="CS184" s="94"/>
    </row>
    <row r="185" spans="3:97" x14ac:dyDescent="0.3">
      <c r="Y185" s="85"/>
      <c r="Z185" s="85"/>
      <c r="AA185" s="85"/>
      <c r="AB185" s="85"/>
      <c r="AC185" s="85"/>
      <c r="AD185" s="85"/>
      <c r="AE185" s="85"/>
      <c r="AF185" s="87"/>
      <c r="AG185" s="94"/>
      <c r="AH185" s="94"/>
      <c r="AI185" s="94"/>
      <c r="AJ185" s="94"/>
      <c r="AK185" s="94"/>
      <c r="AL185" s="94"/>
      <c r="AM185" s="884"/>
      <c r="AN185" s="884"/>
      <c r="AO185" s="884"/>
      <c r="AP185" s="884"/>
      <c r="AQ185" s="124"/>
      <c r="AR185" s="124"/>
      <c r="AS185" s="124"/>
      <c r="AT185" s="124"/>
      <c r="AU185" s="124"/>
      <c r="AV185" s="124"/>
      <c r="AW185" s="124"/>
      <c r="AX185" s="124"/>
      <c r="AY185" s="124"/>
      <c r="AZ185" s="124"/>
      <c r="BA185" s="124"/>
      <c r="BB185" s="124"/>
      <c r="BC185" s="124"/>
      <c r="BD185" s="124"/>
      <c r="BE185" s="124"/>
      <c r="BF185" s="124"/>
      <c r="BG185" s="124"/>
      <c r="BH185" s="124"/>
      <c r="BI185" s="124"/>
      <c r="BJ185" s="124"/>
      <c r="BK185" s="124"/>
      <c r="BL185" s="124"/>
      <c r="BM185" s="124"/>
      <c r="BN185" s="124"/>
      <c r="BO185" s="124"/>
      <c r="BP185" s="124"/>
      <c r="BQ185" s="124"/>
      <c r="BR185" s="124"/>
      <c r="BS185" s="124"/>
      <c r="BT185" s="124"/>
      <c r="BU185" s="124"/>
      <c r="BV185" s="124"/>
      <c r="BW185" s="124"/>
      <c r="BX185" s="124"/>
      <c r="BY185" s="124"/>
      <c r="BZ185" s="124"/>
      <c r="CA185" s="124"/>
      <c r="CB185" s="124"/>
      <c r="CC185" s="124"/>
      <c r="CD185" s="94"/>
      <c r="CE185" s="94"/>
      <c r="CF185" s="94"/>
      <c r="CG185" s="94"/>
      <c r="CH185" s="94"/>
      <c r="CI185" s="87"/>
      <c r="CJ185" s="694"/>
      <c r="CK185" s="881"/>
      <c r="CL185" s="882"/>
      <c r="CM185" s="882"/>
      <c r="CN185" s="94"/>
      <c r="CO185" s="94"/>
      <c r="CP185" s="94"/>
      <c r="CQ185" s="94"/>
      <c r="CR185" s="94"/>
      <c r="CS185" s="94"/>
    </row>
    <row r="186" spans="3:97" x14ac:dyDescent="0.3">
      <c r="Y186" s="85"/>
      <c r="Z186" s="85"/>
      <c r="AF186" s="94"/>
      <c r="AG186" s="94"/>
      <c r="AH186" s="94"/>
      <c r="AI186" s="139"/>
      <c r="AJ186" s="94"/>
      <c r="AK186" s="94"/>
      <c r="AL186" s="94"/>
      <c r="AM186" s="139"/>
      <c r="AN186" s="139"/>
      <c r="AO186" s="139"/>
      <c r="AP186" s="139"/>
      <c r="AQ186" s="88"/>
      <c r="AR186" s="88"/>
      <c r="AS186" s="88"/>
      <c r="AT186" s="88"/>
      <c r="AU186" s="88"/>
      <c r="AV186" s="88"/>
      <c r="AW186" s="88"/>
      <c r="AX186" s="88"/>
      <c r="AY186" s="88"/>
      <c r="AZ186" s="88"/>
      <c r="BA186" s="88"/>
      <c r="BB186" s="88"/>
      <c r="BC186" s="88"/>
      <c r="BD186" s="88"/>
      <c r="BE186" s="88"/>
      <c r="BF186" s="88"/>
      <c r="BG186" s="88"/>
      <c r="BH186" s="88"/>
      <c r="BI186" s="88"/>
      <c r="BJ186" s="88"/>
      <c r="BK186" s="88"/>
      <c r="BL186" s="88"/>
      <c r="BM186" s="88"/>
      <c r="BN186" s="88"/>
      <c r="BO186" s="88"/>
      <c r="BP186" s="88"/>
      <c r="BQ186" s="88"/>
      <c r="BR186" s="88"/>
      <c r="BS186" s="88"/>
      <c r="BT186" s="88"/>
      <c r="BU186" s="88"/>
      <c r="BV186" s="88"/>
      <c r="BW186" s="88"/>
      <c r="BX186" s="88"/>
      <c r="BY186" s="88"/>
      <c r="BZ186" s="88"/>
      <c r="CA186" s="88"/>
      <c r="CB186" s="88"/>
      <c r="CC186" s="88"/>
      <c r="CD186" s="94"/>
      <c r="CE186" s="94"/>
      <c r="CF186" s="94"/>
      <c r="CG186" s="94"/>
      <c r="CH186" s="94"/>
      <c r="CI186" s="87"/>
      <c r="CJ186" s="694"/>
      <c r="CK186" s="879"/>
      <c r="CL186" s="880"/>
      <c r="CM186" s="880"/>
      <c r="CN186" s="94"/>
      <c r="CO186" s="94"/>
      <c r="CP186" s="94"/>
      <c r="CQ186" s="94"/>
      <c r="CR186" s="94"/>
      <c r="CS186" s="94"/>
    </row>
    <row r="187" spans="3:97" x14ac:dyDescent="0.3">
      <c r="Y187" s="85"/>
      <c r="Z187" s="85"/>
      <c r="AA187" s="85"/>
      <c r="AB187" s="85"/>
      <c r="AC187" s="85"/>
      <c r="AD187" s="85"/>
      <c r="AE187" s="85"/>
      <c r="AF187" s="87"/>
      <c r="AG187" s="94"/>
      <c r="AH187" s="94"/>
      <c r="AI187" s="88"/>
      <c r="AJ187" s="94"/>
      <c r="AK187" s="94"/>
      <c r="AL187" s="94"/>
      <c r="AM187" s="88"/>
      <c r="AN187" s="88"/>
      <c r="AO187" s="88"/>
      <c r="AP187" s="88"/>
      <c r="AQ187" s="88"/>
      <c r="AR187" s="88"/>
      <c r="AS187" s="88"/>
      <c r="AT187" s="88"/>
      <c r="AU187" s="88"/>
      <c r="AV187" s="88"/>
      <c r="AW187" s="88"/>
      <c r="AX187" s="88"/>
      <c r="AY187" s="88"/>
      <c r="AZ187" s="88"/>
      <c r="BA187" s="88"/>
      <c r="BB187" s="88"/>
      <c r="BC187" s="88"/>
      <c r="BD187" s="88"/>
      <c r="BE187" s="88"/>
      <c r="BF187" s="88"/>
      <c r="BG187" s="88"/>
      <c r="BH187" s="88"/>
      <c r="BI187" s="88"/>
      <c r="BJ187" s="88"/>
      <c r="BK187" s="88"/>
      <c r="BL187" s="88"/>
      <c r="BM187" s="88"/>
      <c r="BN187" s="88"/>
      <c r="BO187" s="88"/>
      <c r="BP187" s="88"/>
      <c r="BQ187" s="88"/>
      <c r="BR187" s="88"/>
      <c r="BS187" s="88"/>
      <c r="BT187" s="88"/>
      <c r="BU187" s="88"/>
      <c r="BV187" s="88"/>
      <c r="BW187" s="88"/>
      <c r="BX187" s="88"/>
      <c r="BY187" s="88"/>
      <c r="BZ187" s="88"/>
      <c r="CA187" s="88"/>
      <c r="CB187" s="88"/>
      <c r="CC187" s="88"/>
      <c r="CD187" s="94"/>
      <c r="CE187" s="94"/>
      <c r="CF187" s="94"/>
      <c r="CG187" s="94"/>
      <c r="CH187" s="94"/>
      <c r="CI187" s="887"/>
      <c r="CJ187" s="694"/>
      <c r="CK187" s="87"/>
      <c r="CL187" s="87"/>
      <c r="CM187" s="87"/>
      <c r="CN187" s="94"/>
      <c r="CO187" s="94"/>
      <c r="CP187" s="94"/>
      <c r="CQ187" s="94"/>
      <c r="CR187" s="94"/>
      <c r="CS187" s="94"/>
    </row>
    <row r="188" spans="3:97" x14ac:dyDescent="0.3">
      <c r="Y188" s="85"/>
      <c r="Z188" s="85"/>
      <c r="AA188" s="85"/>
      <c r="AB188" s="85"/>
      <c r="AC188" s="85"/>
      <c r="AD188" s="85"/>
      <c r="AE188" s="85"/>
      <c r="AF188" s="87"/>
      <c r="AG188" s="94"/>
      <c r="AH188" s="94"/>
      <c r="AI188" s="88"/>
      <c r="AJ188" s="94"/>
      <c r="AK188" s="94"/>
      <c r="AL188" s="94"/>
      <c r="AM188" s="88"/>
      <c r="AN188" s="88"/>
      <c r="AO188" s="88"/>
      <c r="AP188" s="88"/>
      <c r="AQ188" s="88"/>
      <c r="AR188" s="88"/>
      <c r="AS188" s="88"/>
      <c r="AT188" s="88"/>
      <c r="AU188" s="88"/>
      <c r="AV188" s="88"/>
      <c r="AW188" s="88"/>
      <c r="AX188" s="88"/>
      <c r="AY188" s="88"/>
      <c r="AZ188" s="88"/>
      <c r="BA188" s="88"/>
      <c r="BB188" s="88"/>
      <c r="BC188" s="88"/>
      <c r="BD188" s="88"/>
      <c r="BE188" s="88"/>
      <c r="BF188" s="88"/>
      <c r="BG188" s="88"/>
      <c r="BH188" s="88"/>
      <c r="BI188" s="88"/>
      <c r="BJ188" s="88"/>
      <c r="BK188" s="88"/>
      <c r="BL188" s="88"/>
      <c r="BM188" s="88"/>
      <c r="BN188" s="88"/>
      <c r="BO188" s="88"/>
      <c r="BP188" s="88"/>
      <c r="BQ188" s="88"/>
      <c r="BR188" s="88"/>
      <c r="BS188" s="88"/>
      <c r="BT188" s="88"/>
      <c r="BU188" s="88"/>
      <c r="BV188" s="88"/>
      <c r="BW188" s="88"/>
      <c r="BX188" s="88"/>
      <c r="BY188" s="88"/>
      <c r="BZ188" s="88"/>
      <c r="CA188" s="88"/>
      <c r="CB188" s="88"/>
      <c r="CC188" s="88"/>
      <c r="CD188" s="94"/>
      <c r="CE188" s="94"/>
      <c r="CF188" s="94"/>
      <c r="CG188" s="94"/>
      <c r="CH188" s="94"/>
      <c r="CI188" s="887"/>
      <c r="CJ188" s="694"/>
      <c r="CK188" s="87"/>
      <c r="CL188" s="87"/>
      <c r="CM188" s="87"/>
      <c r="CN188" s="94"/>
      <c r="CO188" s="94"/>
      <c r="CP188" s="94"/>
      <c r="CQ188" s="94"/>
      <c r="CR188" s="94"/>
      <c r="CS188" s="94"/>
    </row>
    <row r="189" spans="3:97" x14ac:dyDescent="0.3">
      <c r="Y189" s="85"/>
      <c r="Z189" s="85"/>
      <c r="AA189" s="85"/>
      <c r="AB189" s="85"/>
      <c r="AC189" s="85"/>
      <c r="AD189" s="85"/>
      <c r="AE189" s="85"/>
      <c r="AF189" s="87"/>
      <c r="AG189" s="94"/>
      <c r="AH189" s="94"/>
      <c r="AI189" s="123"/>
      <c r="AJ189" s="94"/>
      <c r="AK189" s="94"/>
      <c r="AL189" s="94"/>
      <c r="AM189" s="123"/>
      <c r="AN189" s="123"/>
      <c r="AO189" s="123"/>
      <c r="AP189" s="123"/>
      <c r="AQ189" s="123"/>
      <c r="AR189" s="123"/>
      <c r="AS189" s="123"/>
      <c r="AT189" s="123"/>
      <c r="AU189" s="123"/>
      <c r="AV189" s="123"/>
      <c r="AW189" s="123"/>
      <c r="AX189" s="123"/>
      <c r="AY189" s="123"/>
      <c r="AZ189" s="123"/>
      <c r="BA189" s="123"/>
      <c r="BB189" s="123"/>
      <c r="BC189" s="123"/>
      <c r="BD189" s="123"/>
      <c r="BE189" s="123"/>
      <c r="BF189" s="123"/>
      <c r="BG189" s="123"/>
      <c r="BH189" s="123"/>
      <c r="BI189" s="123"/>
      <c r="BJ189" s="123"/>
      <c r="BK189" s="123"/>
      <c r="BL189" s="123"/>
      <c r="BM189" s="123"/>
      <c r="BN189" s="123"/>
      <c r="BO189" s="123"/>
      <c r="BP189" s="123"/>
      <c r="BQ189" s="123"/>
      <c r="BR189" s="123"/>
      <c r="BS189" s="123"/>
      <c r="BT189" s="123"/>
      <c r="BU189" s="123"/>
      <c r="BV189" s="123"/>
      <c r="BW189" s="123"/>
      <c r="BX189" s="123"/>
      <c r="BY189" s="123"/>
      <c r="BZ189" s="123"/>
      <c r="CA189" s="123"/>
      <c r="CB189" s="123"/>
      <c r="CC189" s="123"/>
      <c r="CD189" s="94"/>
      <c r="CE189" s="94"/>
      <c r="CF189" s="94"/>
      <c r="CG189" s="94"/>
      <c r="CH189" s="94"/>
      <c r="CI189" s="87"/>
      <c r="CJ189" s="694"/>
      <c r="CK189" s="87"/>
      <c r="CL189" s="87"/>
      <c r="CM189" s="87"/>
      <c r="CN189" s="94"/>
      <c r="CO189" s="94"/>
      <c r="CP189" s="94"/>
      <c r="CQ189" s="94"/>
      <c r="CR189" s="94"/>
      <c r="CS189" s="94"/>
    </row>
    <row r="190" spans="3:97" x14ac:dyDescent="0.3">
      <c r="Y190" s="85"/>
      <c r="Z190" s="85"/>
      <c r="AA190" s="85"/>
      <c r="AB190" s="85"/>
      <c r="AC190" s="85"/>
      <c r="AD190" s="85"/>
      <c r="AE190" s="85"/>
      <c r="AF190" s="87"/>
      <c r="AG190" s="94"/>
      <c r="AH190" s="94"/>
      <c r="AI190" s="94"/>
      <c r="AJ190" s="94"/>
      <c r="AK190" s="94"/>
      <c r="AL190" s="94"/>
      <c r="AM190" s="1646"/>
      <c r="AN190" s="1646"/>
      <c r="AO190" s="1646"/>
      <c r="AP190" s="1646"/>
      <c r="AQ190" s="1646"/>
      <c r="AR190" s="1646"/>
      <c r="AS190" s="1646"/>
      <c r="AT190" s="1646"/>
      <c r="AU190" s="1646"/>
      <c r="AV190" s="1646"/>
      <c r="AW190" s="124"/>
      <c r="AX190" s="124"/>
      <c r="AY190" s="124"/>
      <c r="AZ190" s="124"/>
      <c r="BA190" s="124"/>
      <c r="BB190" s="124"/>
      <c r="BC190" s="124"/>
      <c r="BD190" s="124"/>
      <c r="BE190" s="124"/>
      <c r="BF190" s="124"/>
      <c r="BG190" s="124"/>
      <c r="BH190" s="124"/>
      <c r="BI190" s="124"/>
      <c r="BJ190" s="124"/>
      <c r="BK190" s="124"/>
      <c r="BL190" s="124"/>
      <c r="BM190" s="124"/>
      <c r="BN190" s="124"/>
      <c r="BO190" s="124"/>
      <c r="BP190" s="124"/>
      <c r="BQ190" s="124"/>
      <c r="BR190" s="124"/>
      <c r="BS190" s="124"/>
      <c r="BT190" s="124"/>
      <c r="BU190" s="124"/>
      <c r="BV190" s="124"/>
      <c r="BW190" s="124"/>
      <c r="BX190" s="124"/>
      <c r="BY190" s="124"/>
      <c r="BZ190" s="1646"/>
      <c r="CA190" s="1646"/>
      <c r="CB190" s="1646"/>
      <c r="CC190" s="1646"/>
      <c r="CD190" s="94"/>
      <c r="CE190" s="94"/>
      <c r="CF190" s="94"/>
      <c r="CG190" s="94"/>
      <c r="CH190" s="94"/>
      <c r="CI190" s="87"/>
      <c r="CJ190" s="694"/>
      <c r="CK190" s="87"/>
      <c r="CL190" s="87"/>
      <c r="CM190" s="87"/>
      <c r="CN190" s="94"/>
      <c r="CO190" s="94"/>
      <c r="CP190" s="94"/>
      <c r="CQ190" s="94"/>
      <c r="CR190" s="94"/>
      <c r="CS190" s="94"/>
    </row>
    <row r="191" spans="3:97" x14ac:dyDescent="0.3">
      <c r="Y191" s="85"/>
      <c r="Z191" s="85"/>
      <c r="AA191" s="85"/>
      <c r="AB191" s="85"/>
      <c r="AC191" s="85"/>
      <c r="AD191" s="85"/>
      <c r="AE191" s="85"/>
      <c r="AF191" s="87"/>
      <c r="AG191" s="94"/>
      <c r="AH191" s="94"/>
      <c r="AI191" s="94"/>
      <c r="AJ191" s="94"/>
      <c r="AK191" s="94"/>
      <c r="AL191" s="94"/>
      <c r="AM191" s="1646"/>
      <c r="AN191" s="1646"/>
      <c r="AO191" s="1646"/>
      <c r="AP191" s="1646"/>
      <c r="AQ191" s="1646"/>
      <c r="AR191" s="1646"/>
      <c r="AS191" s="1646"/>
      <c r="AT191" s="1646"/>
      <c r="AU191" s="1646"/>
      <c r="AV191" s="1646"/>
      <c r="AW191" s="1646"/>
      <c r="AX191" s="1646"/>
      <c r="AY191" s="1646"/>
      <c r="AZ191" s="1646"/>
      <c r="BA191" s="1646"/>
      <c r="BB191" s="1646"/>
      <c r="BC191" s="1646"/>
      <c r="BD191" s="1646"/>
      <c r="BE191" s="1646"/>
      <c r="BF191" s="1646"/>
      <c r="BG191" s="1646"/>
      <c r="BH191" s="1646"/>
      <c r="BI191" s="1646"/>
      <c r="BJ191" s="1646"/>
      <c r="BK191" s="1646"/>
      <c r="BL191" s="1646"/>
      <c r="BM191" s="1646"/>
      <c r="BN191" s="1646"/>
      <c r="BO191" s="1646"/>
      <c r="BP191" s="1646"/>
      <c r="BQ191" s="1646"/>
      <c r="BR191" s="1646"/>
      <c r="BS191" s="1646"/>
      <c r="BT191" s="1646"/>
      <c r="BU191" s="1646"/>
      <c r="BV191" s="1646"/>
      <c r="BW191" s="1646"/>
      <c r="BX191" s="1646"/>
      <c r="BY191" s="1646"/>
      <c r="BZ191" s="1646"/>
      <c r="CA191" s="1646"/>
      <c r="CB191" s="1646"/>
      <c r="CC191" s="1646"/>
      <c r="CD191" s="94"/>
      <c r="CE191" s="94"/>
      <c r="CF191" s="94"/>
      <c r="CG191" s="94"/>
      <c r="CH191" s="94"/>
      <c r="CI191" s="87"/>
      <c r="CJ191" s="694"/>
      <c r="CK191" s="87"/>
      <c r="CL191" s="87"/>
      <c r="CM191" s="87"/>
      <c r="CN191" s="94"/>
      <c r="CO191" s="94"/>
      <c r="CP191" s="94"/>
      <c r="CQ191" s="94"/>
      <c r="CR191" s="94"/>
      <c r="CS191" s="94"/>
    </row>
    <row r="192" spans="3:97" x14ac:dyDescent="0.3">
      <c r="Y192" s="85"/>
      <c r="Z192" s="85"/>
      <c r="AA192" s="85"/>
      <c r="AB192" s="85"/>
      <c r="AC192" s="85"/>
      <c r="AD192" s="85"/>
      <c r="AE192" s="85"/>
      <c r="AF192" s="87"/>
      <c r="AG192" s="87"/>
      <c r="AH192" s="87"/>
      <c r="AI192" s="94"/>
      <c r="AJ192" s="94"/>
      <c r="AK192" s="94"/>
      <c r="AL192" s="94"/>
      <c r="AM192" s="87"/>
      <c r="AN192" s="87"/>
      <c r="AO192" s="87"/>
      <c r="AP192" s="87"/>
      <c r="AQ192" s="87"/>
      <c r="AR192" s="87"/>
      <c r="AS192" s="87"/>
      <c r="AT192" s="87"/>
      <c r="AU192" s="87"/>
      <c r="AV192" s="87"/>
      <c r="AW192" s="87"/>
      <c r="AX192" s="87"/>
      <c r="AY192" s="87"/>
      <c r="AZ192" s="87"/>
      <c r="BA192" s="87"/>
      <c r="BB192" s="87"/>
      <c r="BC192" s="87"/>
      <c r="BD192" s="87"/>
      <c r="BE192" s="87"/>
      <c r="BF192" s="87"/>
      <c r="BG192" s="87"/>
      <c r="BH192" s="87"/>
      <c r="BI192" s="87"/>
      <c r="BJ192" s="87"/>
      <c r="BK192" s="87"/>
      <c r="BL192" s="87"/>
      <c r="BM192" s="87"/>
      <c r="BN192" s="87"/>
      <c r="BO192" s="87"/>
      <c r="BP192" s="87"/>
      <c r="BQ192" s="87"/>
      <c r="BR192" s="87"/>
      <c r="BS192" s="87"/>
      <c r="BT192" s="87"/>
      <c r="BU192" s="87"/>
      <c r="BV192" s="87"/>
      <c r="BW192" s="87"/>
      <c r="BX192" s="87"/>
      <c r="BY192" s="87"/>
      <c r="BZ192" s="87"/>
      <c r="CA192" s="87"/>
      <c r="CB192" s="87"/>
      <c r="CC192" s="87"/>
      <c r="CD192" s="94"/>
      <c r="CE192" s="94"/>
      <c r="CF192" s="94"/>
      <c r="CG192" s="94"/>
      <c r="CH192" s="94"/>
      <c r="CI192" s="87"/>
      <c r="CJ192" s="694"/>
      <c r="CK192" s="87"/>
      <c r="CL192" s="87"/>
      <c r="CM192" s="87"/>
      <c r="CN192" s="94"/>
      <c r="CO192" s="94"/>
      <c r="CP192" s="94"/>
      <c r="CQ192" s="94"/>
      <c r="CR192" s="94"/>
      <c r="CS192" s="94"/>
    </row>
    <row r="193" spans="25:97" x14ac:dyDescent="0.3">
      <c r="Y193" s="140"/>
      <c r="Z193" s="140"/>
      <c r="AA193" s="140"/>
      <c r="AB193" s="140"/>
      <c r="AC193" s="140"/>
      <c r="AD193" s="140"/>
      <c r="AE193" s="140"/>
      <c r="AF193" s="888"/>
      <c r="AG193" s="94"/>
      <c r="AH193" s="94"/>
      <c r="AI193" s="94"/>
      <c r="AJ193" s="87"/>
      <c r="AK193" s="87"/>
      <c r="AL193" s="87"/>
      <c r="AM193" s="87"/>
      <c r="AN193" s="87"/>
      <c r="AO193" s="87"/>
      <c r="AP193" s="87"/>
      <c r="AQ193" s="87"/>
      <c r="AR193" s="87"/>
      <c r="AS193" s="87"/>
      <c r="AT193" s="87"/>
      <c r="AU193" s="87"/>
      <c r="AV193" s="87"/>
      <c r="AW193" s="87"/>
      <c r="AX193" s="87"/>
      <c r="AY193" s="87"/>
      <c r="AZ193" s="87"/>
      <c r="BA193" s="87"/>
      <c r="BB193" s="87"/>
      <c r="BC193" s="87"/>
      <c r="BD193" s="87"/>
      <c r="BE193" s="87"/>
      <c r="BF193" s="87"/>
      <c r="BG193" s="87"/>
      <c r="BH193" s="87"/>
      <c r="BI193" s="87"/>
      <c r="BJ193" s="87"/>
      <c r="BK193" s="87"/>
      <c r="BL193" s="87"/>
      <c r="BM193" s="87"/>
      <c r="BN193" s="87"/>
      <c r="BO193" s="87"/>
      <c r="BP193" s="87"/>
      <c r="BQ193" s="87"/>
      <c r="BR193" s="87"/>
      <c r="BS193" s="87"/>
      <c r="BT193" s="87"/>
      <c r="BU193" s="87"/>
      <c r="BV193" s="87"/>
      <c r="BW193" s="87"/>
      <c r="BX193" s="87"/>
      <c r="BY193" s="87"/>
      <c r="BZ193" s="87"/>
      <c r="CA193" s="87"/>
      <c r="CB193" s="87"/>
      <c r="CC193" s="87"/>
      <c r="CD193" s="87"/>
      <c r="CE193" s="87"/>
      <c r="CF193" s="87"/>
      <c r="CG193" s="87"/>
      <c r="CH193" s="87"/>
      <c r="CI193" s="87"/>
      <c r="CJ193" s="694"/>
      <c r="CK193" s="87"/>
      <c r="CL193" s="87"/>
      <c r="CM193" s="87"/>
      <c r="CN193" s="94"/>
      <c r="CO193" s="94"/>
      <c r="CP193" s="94"/>
      <c r="CQ193" s="94"/>
      <c r="CR193" s="94"/>
      <c r="CS193" s="94"/>
    </row>
    <row r="194" spans="25:97" x14ac:dyDescent="0.3">
      <c r="Y194" s="140"/>
      <c r="Z194" s="140"/>
      <c r="AA194" s="140"/>
      <c r="AB194" s="140"/>
      <c r="AC194" s="140"/>
      <c r="AD194" s="140"/>
      <c r="AE194" s="140"/>
      <c r="AF194" s="888"/>
      <c r="AG194" s="94"/>
      <c r="AH194" s="94"/>
      <c r="AI194" s="94"/>
      <c r="AJ194" s="87"/>
      <c r="AK194" s="87"/>
      <c r="AL194" s="87"/>
      <c r="AM194" s="87"/>
      <c r="AN194" s="87"/>
      <c r="AO194" s="87"/>
      <c r="AP194" s="87"/>
      <c r="AQ194" s="87"/>
      <c r="AR194" s="87"/>
      <c r="AS194" s="87"/>
      <c r="AT194" s="87"/>
      <c r="AU194" s="87"/>
      <c r="AV194" s="87"/>
      <c r="AW194" s="87"/>
      <c r="AX194" s="87"/>
      <c r="AY194" s="87"/>
      <c r="AZ194" s="87"/>
      <c r="BA194" s="87"/>
      <c r="BB194" s="87"/>
      <c r="BC194" s="87"/>
      <c r="BD194" s="87"/>
      <c r="BE194" s="87"/>
      <c r="BF194" s="87"/>
      <c r="BG194" s="87"/>
      <c r="BH194" s="87"/>
      <c r="BI194" s="87"/>
      <c r="BJ194" s="87"/>
      <c r="BK194" s="87"/>
      <c r="BL194" s="87"/>
      <c r="BM194" s="87"/>
      <c r="BN194" s="87"/>
      <c r="BO194" s="87"/>
      <c r="BP194" s="87"/>
      <c r="BQ194" s="87"/>
      <c r="BR194" s="87"/>
      <c r="BS194" s="87"/>
      <c r="BT194" s="87"/>
      <c r="BU194" s="87"/>
      <c r="BV194" s="87"/>
      <c r="BW194" s="87"/>
      <c r="BX194" s="87"/>
      <c r="BY194" s="87"/>
      <c r="BZ194" s="87"/>
      <c r="CA194" s="87"/>
      <c r="CB194" s="87"/>
      <c r="CC194" s="87"/>
      <c r="CD194" s="87"/>
      <c r="CE194" s="87"/>
      <c r="CF194" s="87"/>
      <c r="CG194" s="87"/>
      <c r="CH194" s="87"/>
      <c r="CI194" s="87"/>
      <c r="CJ194" s="694"/>
      <c r="CK194" s="87"/>
      <c r="CL194" s="87"/>
      <c r="CM194" s="87"/>
      <c r="CN194" s="94"/>
      <c r="CO194" s="94"/>
      <c r="CP194" s="94"/>
      <c r="CQ194" s="94"/>
      <c r="CR194" s="94"/>
      <c r="CS194" s="94"/>
    </row>
    <row r="195" spans="25:97" x14ac:dyDescent="0.3">
      <c r="Y195" s="140"/>
      <c r="Z195" s="140"/>
      <c r="AA195" s="140"/>
      <c r="AB195" s="140"/>
      <c r="AC195" s="140"/>
      <c r="AD195" s="140"/>
      <c r="AE195" s="140"/>
      <c r="AF195" s="888"/>
      <c r="AG195" s="94"/>
      <c r="AH195" s="94"/>
      <c r="AI195" s="94"/>
      <c r="AJ195" s="87"/>
      <c r="AK195" s="87"/>
      <c r="AL195" s="87"/>
      <c r="AM195" s="87"/>
      <c r="AN195" s="87"/>
      <c r="AO195" s="87"/>
      <c r="AP195" s="87"/>
      <c r="AQ195" s="87"/>
      <c r="AR195" s="87"/>
      <c r="AS195" s="87"/>
      <c r="AT195" s="87"/>
      <c r="AU195" s="87"/>
      <c r="AV195" s="87"/>
      <c r="AW195" s="87"/>
      <c r="AX195" s="87"/>
      <c r="AY195" s="87"/>
      <c r="AZ195" s="87"/>
      <c r="BA195" s="87"/>
      <c r="BB195" s="87"/>
      <c r="BC195" s="87"/>
      <c r="BD195" s="87"/>
      <c r="BE195" s="87"/>
      <c r="BF195" s="87"/>
      <c r="BG195" s="87"/>
      <c r="BH195" s="87"/>
      <c r="BI195" s="87"/>
      <c r="BJ195" s="87"/>
      <c r="BK195" s="87"/>
      <c r="BL195" s="87"/>
      <c r="BM195" s="87"/>
      <c r="BN195" s="87"/>
      <c r="BO195" s="87"/>
      <c r="BP195" s="87"/>
      <c r="BQ195" s="87"/>
      <c r="BR195" s="87"/>
      <c r="BS195" s="87"/>
      <c r="BT195" s="87"/>
      <c r="BU195" s="87"/>
      <c r="BV195" s="87"/>
      <c r="BW195" s="87"/>
      <c r="BX195" s="87"/>
      <c r="BY195" s="87"/>
      <c r="BZ195" s="87"/>
      <c r="CA195" s="87"/>
      <c r="CB195" s="87"/>
      <c r="CC195" s="87"/>
      <c r="CD195" s="87"/>
      <c r="CE195" s="87"/>
      <c r="CF195" s="87"/>
      <c r="CG195" s="87"/>
      <c r="CH195" s="87"/>
      <c r="CI195" s="87"/>
      <c r="CJ195" s="694"/>
      <c r="CK195" s="87"/>
      <c r="CL195" s="87"/>
      <c r="CM195" s="87"/>
      <c r="CN195" s="94"/>
      <c r="CO195" s="94"/>
      <c r="CP195" s="94"/>
      <c r="CQ195" s="94"/>
      <c r="CR195" s="94"/>
      <c r="CS195" s="94"/>
    </row>
    <row r="196" spans="25:97" x14ac:dyDescent="0.3">
      <c r="Y196" s="85"/>
      <c r="Z196" s="85"/>
      <c r="AA196" s="85"/>
      <c r="AB196" s="85"/>
      <c r="AC196" s="85"/>
      <c r="AD196" s="85"/>
      <c r="AE196" s="85"/>
      <c r="AF196" s="87"/>
      <c r="AG196" s="94"/>
      <c r="AH196" s="94"/>
      <c r="AI196" s="94"/>
      <c r="AJ196" s="87"/>
      <c r="AK196" s="87"/>
      <c r="AL196" s="87"/>
      <c r="AM196" s="87"/>
      <c r="AN196" s="87"/>
      <c r="AO196" s="87"/>
      <c r="AP196" s="87"/>
      <c r="AQ196" s="87"/>
      <c r="AR196" s="87"/>
      <c r="AS196" s="87"/>
      <c r="AT196" s="87"/>
      <c r="AU196" s="87"/>
      <c r="AV196" s="87"/>
      <c r="AW196" s="87"/>
      <c r="AX196" s="87"/>
      <c r="AY196" s="87"/>
      <c r="AZ196" s="87"/>
      <c r="BA196" s="87"/>
      <c r="BB196" s="87"/>
      <c r="BC196" s="87"/>
      <c r="BD196" s="87"/>
      <c r="BE196" s="87"/>
      <c r="BF196" s="87"/>
      <c r="BG196" s="87"/>
      <c r="BH196" s="87"/>
      <c r="BI196" s="87"/>
      <c r="BJ196" s="87"/>
      <c r="BK196" s="87"/>
      <c r="BL196" s="87"/>
      <c r="BM196" s="87"/>
      <c r="BN196" s="87"/>
      <c r="BO196" s="87"/>
      <c r="BP196" s="87"/>
      <c r="BQ196" s="87"/>
      <c r="BR196" s="87"/>
      <c r="BS196" s="87"/>
      <c r="BT196" s="87"/>
      <c r="BU196" s="87"/>
      <c r="BV196" s="87"/>
      <c r="BW196" s="87"/>
      <c r="BX196" s="87"/>
      <c r="BY196" s="87"/>
      <c r="BZ196" s="87"/>
      <c r="CA196" s="87"/>
      <c r="CB196" s="87"/>
      <c r="CC196" s="87"/>
      <c r="CD196" s="87"/>
      <c r="CE196" s="87"/>
      <c r="CF196" s="87"/>
      <c r="CG196" s="87"/>
      <c r="CH196" s="87"/>
      <c r="CI196" s="87"/>
      <c r="CJ196" s="694"/>
      <c r="CK196" s="87"/>
      <c r="CL196" s="87"/>
      <c r="CM196" s="87"/>
      <c r="CN196" s="94"/>
      <c r="CO196" s="94"/>
      <c r="CP196" s="94"/>
      <c r="CQ196" s="94"/>
      <c r="CR196" s="94"/>
      <c r="CS196" s="94"/>
    </row>
    <row r="197" spans="25:97" ht="15" x14ac:dyDescent="0.3">
      <c r="Y197" s="141"/>
      <c r="Z197" s="141"/>
      <c r="AA197" s="141"/>
      <c r="AB197" s="141"/>
      <c r="AC197" s="141"/>
      <c r="AD197" s="141"/>
      <c r="AE197" s="141"/>
      <c r="AF197" s="889"/>
      <c r="AG197" s="94"/>
      <c r="AH197" s="94"/>
      <c r="AI197" s="94"/>
      <c r="AJ197" s="87"/>
      <c r="AK197" s="890"/>
      <c r="AL197" s="87"/>
      <c r="AM197" s="87"/>
      <c r="AN197" s="87"/>
      <c r="AO197" s="87"/>
      <c r="AP197" s="87"/>
      <c r="AQ197" s="87"/>
      <c r="AR197" s="87"/>
      <c r="AS197" s="87"/>
      <c r="AT197" s="87"/>
      <c r="AU197" s="87"/>
      <c r="AV197" s="87"/>
      <c r="AW197" s="87"/>
      <c r="AX197" s="87"/>
      <c r="AY197" s="87"/>
      <c r="AZ197" s="87"/>
      <c r="BA197" s="87"/>
      <c r="BB197" s="87"/>
      <c r="BC197" s="87"/>
      <c r="BD197" s="87"/>
      <c r="BE197" s="87"/>
      <c r="BF197" s="87"/>
      <c r="BG197" s="87"/>
      <c r="BH197" s="87"/>
      <c r="BI197" s="87"/>
      <c r="BJ197" s="87"/>
      <c r="BK197" s="87"/>
      <c r="BL197" s="87"/>
      <c r="BM197" s="87"/>
      <c r="BN197" s="87"/>
      <c r="BO197" s="87"/>
      <c r="BP197" s="87"/>
      <c r="BQ197" s="87"/>
      <c r="BR197" s="87"/>
      <c r="BS197" s="87"/>
      <c r="BT197" s="87"/>
      <c r="BU197" s="87"/>
      <c r="BV197" s="87"/>
      <c r="BW197" s="87"/>
      <c r="BX197" s="87"/>
      <c r="BY197" s="87"/>
      <c r="BZ197" s="87"/>
      <c r="CA197" s="87"/>
      <c r="CB197" s="87"/>
      <c r="CC197" s="87"/>
      <c r="CD197" s="87"/>
      <c r="CE197" s="87"/>
      <c r="CF197" s="87"/>
      <c r="CG197" s="87"/>
      <c r="CH197" s="87"/>
      <c r="CI197" s="87"/>
      <c r="CJ197" s="694"/>
      <c r="CK197" s="87"/>
      <c r="CL197" s="87"/>
      <c r="CM197" s="87"/>
      <c r="CN197" s="94"/>
      <c r="CO197" s="94"/>
      <c r="CP197" s="94"/>
      <c r="CQ197" s="94"/>
      <c r="CR197" s="94"/>
      <c r="CS197" s="94"/>
    </row>
    <row r="198" spans="25:97" x14ac:dyDescent="0.3">
      <c r="Y198" s="141"/>
      <c r="Z198" s="141"/>
      <c r="AA198" s="141"/>
      <c r="AB198" s="141"/>
      <c r="AC198" s="141"/>
      <c r="AD198" s="141"/>
      <c r="AE198" s="141"/>
      <c r="AF198" s="889"/>
      <c r="AG198" s="94"/>
      <c r="AH198" s="94"/>
      <c r="AI198" s="94"/>
      <c r="AJ198" s="87"/>
      <c r="AK198" s="87"/>
      <c r="AL198" s="87"/>
      <c r="AM198" s="87"/>
      <c r="AN198" s="87"/>
      <c r="AO198" s="87"/>
      <c r="AP198" s="87"/>
      <c r="AQ198" s="87"/>
      <c r="AR198" s="87"/>
      <c r="AS198" s="87"/>
      <c r="AT198" s="87"/>
      <c r="AU198" s="87"/>
      <c r="AV198" s="87"/>
      <c r="AW198" s="87"/>
      <c r="AX198" s="87"/>
      <c r="AY198" s="87"/>
      <c r="AZ198" s="87"/>
      <c r="BA198" s="87"/>
      <c r="BB198" s="87"/>
      <c r="BC198" s="87"/>
      <c r="BD198" s="87"/>
      <c r="BE198" s="87"/>
      <c r="BF198" s="87"/>
      <c r="BG198" s="87"/>
      <c r="BH198" s="87"/>
      <c r="BI198" s="87"/>
      <c r="BJ198" s="87"/>
      <c r="BK198" s="87"/>
      <c r="BL198" s="87"/>
      <c r="BM198" s="87"/>
      <c r="BN198" s="87"/>
      <c r="BO198" s="87"/>
      <c r="BP198" s="87"/>
      <c r="BQ198" s="87"/>
      <c r="BR198" s="87"/>
      <c r="BS198" s="87"/>
      <c r="BT198" s="87"/>
      <c r="BU198" s="87"/>
      <c r="BV198" s="87"/>
      <c r="BW198" s="87"/>
      <c r="BX198" s="87"/>
      <c r="BY198" s="87"/>
      <c r="BZ198" s="87"/>
      <c r="CA198" s="87"/>
      <c r="CB198" s="87"/>
      <c r="CC198" s="87"/>
      <c r="CD198" s="87"/>
      <c r="CE198" s="87"/>
      <c r="CF198" s="87"/>
      <c r="CG198" s="87"/>
      <c r="CH198" s="87"/>
      <c r="CI198" s="87"/>
      <c r="CJ198" s="694"/>
      <c r="CK198" s="87"/>
      <c r="CL198" s="87"/>
      <c r="CM198" s="87"/>
      <c r="CN198" s="94"/>
      <c r="CO198" s="94"/>
      <c r="CP198" s="94"/>
      <c r="CQ198" s="94"/>
      <c r="CR198" s="94"/>
      <c r="CS198" s="94"/>
    </row>
    <row r="199" spans="25:97" x14ac:dyDescent="0.3">
      <c r="Y199" s="141"/>
      <c r="Z199" s="141"/>
      <c r="AA199" s="141"/>
      <c r="AB199" s="141"/>
      <c r="AC199" s="141"/>
      <c r="AD199" s="141"/>
      <c r="AE199" s="141"/>
      <c r="AF199" s="889"/>
      <c r="AG199" s="94"/>
      <c r="AH199" s="94"/>
      <c r="AI199" s="94"/>
      <c r="AJ199" s="87"/>
      <c r="AK199" s="87"/>
      <c r="AL199" s="87"/>
      <c r="AM199" s="87"/>
      <c r="AN199" s="87"/>
      <c r="AO199" s="87"/>
      <c r="AP199" s="87"/>
      <c r="AQ199" s="87"/>
      <c r="AR199" s="87"/>
      <c r="AS199" s="87"/>
      <c r="AT199" s="87"/>
      <c r="AU199" s="87"/>
      <c r="AV199" s="87"/>
      <c r="AW199" s="87"/>
      <c r="AX199" s="87"/>
      <c r="AY199" s="87"/>
      <c r="AZ199" s="87"/>
      <c r="BA199" s="87"/>
      <c r="BB199" s="87"/>
      <c r="BC199" s="87"/>
      <c r="BD199" s="87"/>
      <c r="BE199" s="87"/>
      <c r="BF199" s="87"/>
      <c r="BG199" s="87"/>
      <c r="BH199" s="87"/>
      <c r="BI199" s="87"/>
      <c r="BJ199" s="87"/>
      <c r="BK199" s="87"/>
      <c r="BL199" s="87"/>
      <c r="BM199" s="87"/>
      <c r="BN199" s="87"/>
      <c r="BO199" s="87"/>
      <c r="BP199" s="87"/>
      <c r="BQ199" s="87"/>
      <c r="BR199" s="87"/>
      <c r="BS199" s="87"/>
      <c r="BT199" s="87"/>
      <c r="BU199" s="87"/>
      <c r="BV199" s="87"/>
      <c r="BW199" s="87"/>
      <c r="BX199" s="87"/>
      <c r="BY199" s="87"/>
      <c r="BZ199" s="87"/>
      <c r="CA199" s="87"/>
      <c r="CB199" s="87"/>
      <c r="CC199" s="87"/>
      <c r="CD199" s="87"/>
      <c r="CE199" s="87"/>
      <c r="CF199" s="87"/>
      <c r="CG199" s="87"/>
      <c r="CH199" s="87"/>
      <c r="CI199" s="87"/>
      <c r="CJ199" s="694"/>
      <c r="CK199" s="87"/>
      <c r="CL199" s="87"/>
      <c r="CM199" s="87"/>
      <c r="CN199" s="94"/>
      <c r="CO199" s="94"/>
      <c r="CP199" s="94"/>
      <c r="CQ199" s="94"/>
      <c r="CR199" s="94"/>
      <c r="CS199" s="94"/>
    </row>
    <row r="200" spans="25:97" x14ac:dyDescent="0.3">
      <c r="Y200" s="85"/>
      <c r="Z200" s="85"/>
      <c r="AA200" s="85"/>
      <c r="AB200" s="85"/>
      <c r="AC200" s="85"/>
      <c r="AD200" s="85"/>
      <c r="AE200" s="85"/>
      <c r="AF200" s="87"/>
      <c r="AG200" s="94"/>
      <c r="AH200" s="94"/>
      <c r="AI200" s="94"/>
      <c r="AJ200" s="87"/>
      <c r="AK200" s="87"/>
      <c r="AL200" s="87"/>
      <c r="AM200" s="87"/>
      <c r="AN200" s="87"/>
      <c r="AO200" s="87"/>
      <c r="AP200" s="87"/>
      <c r="AQ200" s="87"/>
      <c r="AR200" s="87"/>
      <c r="AS200" s="87"/>
      <c r="AT200" s="87"/>
      <c r="AU200" s="87"/>
      <c r="AV200" s="87"/>
      <c r="AW200" s="87"/>
      <c r="AX200" s="87"/>
      <c r="AY200" s="87"/>
      <c r="AZ200" s="87"/>
      <c r="BA200" s="87"/>
      <c r="BB200" s="87"/>
      <c r="BC200" s="87"/>
      <c r="BD200" s="87"/>
      <c r="BE200" s="87"/>
      <c r="BF200" s="87"/>
      <c r="BG200" s="87"/>
      <c r="BH200" s="87"/>
      <c r="BI200" s="87"/>
      <c r="BJ200" s="87"/>
      <c r="BK200" s="87"/>
      <c r="BL200" s="87"/>
      <c r="BM200" s="87"/>
      <c r="BN200" s="87"/>
      <c r="BO200" s="87"/>
      <c r="BP200" s="87"/>
      <c r="BQ200" s="87"/>
      <c r="BR200" s="87"/>
      <c r="BS200" s="87"/>
      <c r="BT200" s="87"/>
      <c r="BU200" s="87"/>
      <c r="BV200" s="87"/>
      <c r="BW200" s="87"/>
      <c r="BX200" s="87"/>
      <c r="BY200" s="87"/>
      <c r="BZ200" s="87"/>
      <c r="CA200" s="87"/>
      <c r="CB200" s="87"/>
      <c r="CC200" s="87"/>
      <c r="CD200" s="87"/>
      <c r="CE200" s="87"/>
      <c r="CF200" s="87"/>
      <c r="CG200" s="87"/>
      <c r="CH200" s="87"/>
      <c r="CI200" s="87"/>
      <c r="CJ200" s="694"/>
      <c r="CK200" s="87"/>
      <c r="CL200" s="87"/>
      <c r="CM200" s="87"/>
      <c r="CN200" s="94"/>
      <c r="CO200" s="94"/>
      <c r="CP200" s="94"/>
      <c r="CQ200" s="94"/>
      <c r="CR200" s="94"/>
      <c r="CS200" s="94"/>
    </row>
    <row r="201" spans="25:97" x14ac:dyDescent="0.3">
      <c r="AF201" s="94"/>
      <c r="AG201" s="94"/>
      <c r="AH201" s="94"/>
      <c r="AI201" s="94"/>
      <c r="AJ201" s="94"/>
      <c r="AK201" s="94"/>
      <c r="AL201" s="94"/>
      <c r="AM201" s="94"/>
      <c r="AN201" s="94"/>
      <c r="AO201" s="94"/>
      <c r="AP201" s="94"/>
      <c r="AQ201" s="94"/>
      <c r="AR201" s="94"/>
      <c r="AS201" s="94"/>
      <c r="AT201" s="94"/>
      <c r="AU201" s="94"/>
      <c r="AV201" s="94"/>
      <c r="AW201" s="94"/>
      <c r="AX201" s="94"/>
      <c r="AY201" s="94"/>
      <c r="AZ201" s="94"/>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4"/>
      <c r="CB201" s="94"/>
      <c r="CC201" s="94"/>
      <c r="CD201" s="94"/>
      <c r="CE201" s="94"/>
      <c r="CF201" s="94"/>
      <c r="CG201" s="94"/>
      <c r="CH201" s="94"/>
      <c r="CI201" s="94"/>
      <c r="CJ201" s="94"/>
      <c r="CK201" s="94"/>
      <c r="CL201" s="94"/>
      <c r="CM201" s="94"/>
      <c r="CN201" s="94"/>
      <c r="CO201" s="94"/>
      <c r="CP201" s="94"/>
      <c r="CQ201" s="94"/>
      <c r="CR201" s="94"/>
      <c r="CS201" s="94"/>
    </row>
    <row r="202" spans="25:97" x14ac:dyDescent="0.3">
      <c r="AF202" s="94"/>
      <c r="AG202" s="94"/>
      <c r="AH202" s="94"/>
      <c r="AI202" s="94"/>
      <c r="AJ202" s="94"/>
      <c r="AK202" s="94"/>
      <c r="AL202" s="94"/>
      <c r="AM202" s="94"/>
      <c r="AN202" s="94"/>
      <c r="AO202" s="94"/>
      <c r="AP202" s="94"/>
      <c r="AQ202" s="94"/>
      <c r="AR202" s="94"/>
      <c r="AS202" s="94"/>
      <c r="AT202" s="94"/>
      <c r="AU202" s="94"/>
      <c r="AV202" s="94"/>
      <c r="AW202" s="94"/>
      <c r="AX202" s="94"/>
      <c r="AY202" s="94"/>
      <c r="AZ202" s="94"/>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4"/>
      <c r="CB202" s="94"/>
      <c r="CC202" s="94"/>
      <c r="CD202" s="94"/>
      <c r="CE202" s="94"/>
      <c r="CF202" s="94"/>
      <c r="CG202" s="94"/>
      <c r="CH202" s="94"/>
      <c r="CI202" s="94"/>
      <c r="CJ202" s="94"/>
      <c r="CK202" s="94"/>
      <c r="CL202" s="94"/>
      <c r="CM202" s="94"/>
      <c r="CN202" s="94"/>
      <c r="CO202" s="94"/>
      <c r="CP202" s="94"/>
      <c r="CQ202" s="94"/>
      <c r="CR202" s="94"/>
      <c r="CS202" s="94"/>
    </row>
    <row r="203" spans="25:97" x14ac:dyDescent="0.3">
      <c r="AF203" s="94"/>
      <c r="AG203" s="94"/>
      <c r="AH203" s="94"/>
      <c r="AI203" s="94"/>
      <c r="AJ203" s="94"/>
      <c r="AK203" s="94"/>
      <c r="AL203" s="94"/>
      <c r="AM203" s="94"/>
      <c r="AN203" s="94"/>
      <c r="AO203" s="94"/>
      <c r="AP203" s="94"/>
      <c r="AQ203" s="94"/>
      <c r="AR203" s="94"/>
      <c r="AS203" s="94"/>
      <c r="AT203" s="94"/>
      <c r="AU203" s="94"/>
      <c r="AV203" s="94"/>
      <c r="AW203" s="94"/>
      <c r="AX203" s="94"/>
      <c r="AY203" s="94"/>
      <c r="AZ203" s="94"/>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4"/>
      <c r="CB203" s="94"/>
      <c r="CC203" s="94"/>
      <c r="CD203" s="94"/>
      <c r="CE203" s="94"/>
      <c r="CF203" s="94"/>
      <c r="CG203" s="94"/>
      <c r="CH203" s="94"/>
      <c r="CI203" s="94"/>
      <c r="CJ203" s="94"/>
      <c r="CK203" s="94"/>
      <c r="CL203" s="94"/>
      <c r="CM203" s="94"/>
      <c r="CN203" s="94"/>
      <c r="CO203" s="94"/>
      <c r="CP203" s="94"/>
      <c r="CQ203" s="94"/>
      <c r="CR203" s="94"/>
      <c r="CS203" s="94"/>
    </row>
    <row r="204" spans="25:97" x14ac:dyDescent="0.3">
      <c r="AF204" s="94"/>
      <c r="AG204" s="94"/>
      <c r="AH204" s="94"/>
      <c r="AI204" s="94"/>
      <c r="AJ204" s="94"/>
      <c r="AK204" s="94"/>
      <c r="AL204" s="94"/>
      <c r="AM204" s="94"/>
      <c r="AN204" s="94"/>
      <c r="AO204" s="94"/>
      <c r="AP204" s="94"/>
      <c r="AQ204" s="94"/>
      <c r="AR204" s="94"/>
      <c r="AS204" s="94"/>
      <c r="AT204" s="94"/>
      <c r="AU204" s="94"/>
      <c r="AV204" s="94"/>
      <c r="AW204" s="94"/>
      <c r="AX204" s="94"/>
      <c r="AY204" s="94"/>
      <c r="AZ204" s="94"/>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4"/>
      <c r="CB204" s="94"/>
      <c r="CC204" s="94"/>
      <c r="CD204" s="94"/>
      <c r="CE204" s="94"/>
      <c r="CF204" s="94"/>
      <c r="CG204" s="94"/>
      <c r="CH204" s="94"/>
      <c r="CI204" s="94"/>
      <c r="CJ204" s="94"/>
      <c r="CK204" s="94"/>
      <c r="CL204" s="94"/>
      <c r="CM204" s="94"/>
      <c r="CN204" s="94"/>
      <c r="CO204" s="94"/>
      <c r="CP204" s="94"/>
      <c r="CQ204" s="94"/>
      <c r="CR204" s="94"/>
      <c r="CS204" s="94"/>
    </row>
    <row r="209" spans="4:37" x14ac:dyDescent="0.3">
      <c r="D209" s="135"/>
      <c r="E209" s="135"/>
      <c r="F209" s="135"/>
      <c r="G209" s="135"/>
      <c r="H209" s="135"/>
      <c r="I209" s="135"/>
      <c r="J209" s="135"/>
      <c r="K209" s="135"/>
      <c r="L209" s="135"/>
      <c r="M209" s="135"/>
      <c r="N209" s="135"/>
      <c r="O209" s="135"/>
      <c r="P209" s="150"/>
      <c r="Q209" s="150"/>
      <c r="R209" s="150"/>
      <c r="S209" s="150"/>
      <c r="T209" s="150"/>
      <c r="U209" s="150"/>
      <c r="V209" s="150"/>
      <c r="W209" s="150"/>
      <c r="Y209" s="162"/>
      <c r="Z209" s="162"/>
      <c r="AA209" s="162"/>
      <c r="AB209" s="162"/>
      <c r="AC209" s="162"/>
      <c r="AD209" s="162"/>
      <c r="AE209" s="162"/>
      <c r="AF209" s="162"/>
      <c r="AG209" s="135"/>
      <c r="AH209" s="135"/>
    </row>
    <row r="210" spans="4:37" x14ac:dyDescent="0.3">
      <c r="D210" s="135"/>
      <c r="E210" s="135"/>
      <c r="F210" s="135"/>
      <c r="G210" s="135"/>
      <c r="H210" s="135"/>
      <c r="I210" s="135"/>
      <c r="J210" s="135"/>
      <c r="K210" s="135"/>
      <c r="L210" s="135"/>
      <c r="M210" s="135"/>
      <c r="N210" s="135"/>
      <c r="O210" s="135"/>
      <c r="P210" s="151"/>
      <c r="Q210" s="151"/>
      <c r="R210" s="151"/>
      <c r="S210" s="151"/>
      <c r="T210" s="151"/>
      <c r="U210" s="151"/>
      <c r="V210" s="151"/>
      <c r="W210" s="151"/>
      <c r="Y210" s="163"/>
      <c r="Z210" s="163"/>
      <c r="AA210" s="163"/>
      <c r="AB210" s="163"/>
      <c r="AC210" s="163"/>
      <c r="AD210" s="163"/>
      <c r="AE210" s="163"/>
      <c r="AF210" s="163"/>
      <c r="AG210" s="163"/>
      <c r="AH210" s="164"/>
    </row>
    <row r="211" spans="4:37" x14ac:dyDescent="0.3">
      <c r="D211" s="135"/>
      <c r="E211" s="135"/>
      <c r="F211" s="135"/>
      <c r="G211" s="135"/>
      <c r="H211" s="135"/>
      <c r="I211" s="135"/>
      <c r="J211" s="135"/>
      <c r="K211" s="135"/>
      <c r="L211" s="135"/>
      <c r="M211" s="135"/>
      <c r="N211" s="135"/>
      <c r="O211" s="135"/>
      <c r="P211" s="152"/>
      <c r="Q211" s="152"/>
      <c r="R211" s="152"/>
      <c r="S211" s="152"/>
      <c r="T211" s="152"/>
      <c r="U211" s="152"/>
      <c r="V211" s="152"/>
      <c r="W211" s="152"/>
      <c r="Y211" s="163"/>
      <c r="Z211" s="163"/>
      <c r="AA211" s="163"/>
      <c r="AB211" s="163"/>
      <c r="AC211" s="163"/>
      <c r="AD211" s="163"/>
      <c r="AE211" s="163"/>
      <c r="AF211" s="163"/>
      <c r="AG211" s="163"/>
      <c r="AH211" s="164"/>
    </row>
    <row r="212" spans="4:37" x14ac:dyDescent="0.3">
      <c r="Y212" s="163"/>
      <c r="Z212" s="163"/>
      <c r="AA212" s="163"/>
      <c r="AB212" s="163"/>
      <c r="AC212" s="163"/>
      <c r="AD212" s="163"/>
      <c r="AE212" s="163"/>
      <c r="AF212" s="163"/>
      <c r="AG212" s="163"/>
      <c r="AH212" s="164"/>
    </row>
    <row r="213" spans="4:37" x14ac:dyDescent="0.3">
      <c r="D213" s="1644"/>
      <c r="E213" s="1644"/>
      <c r="F213" s="1644"/>
      <c r="G213" s="1644"/>
      <c r="H213" s="1644"/>
      <c r="I213" s="1644"/>
      <c r="J213" s="1644"/>
      <c r="K213" s="1644"/>
      <c r="L213" s="1644"/>
      <c r="M213" s="1644"/>
      <c r="N213" s="1644"/>
      <c r="O213" s="1644"/>
      <c r="P213" s="1644"/>
      <c r="Q213" s="153"/>
      <c r="R213" s="153"/>
      <c r="S213" s="153"/>
      <c r="T213" s="153"/>
      <c r="U213" s="153"/>
      <c r="V213" s="153"/>
      <c r="W213" s="153"/>
      <c r="Y213" s="163"/>
      <c r="Z213" s="163"/>
      <c r="AA213" s="163"/>
      <c r="AB213" s="163"/>
      <c r="AC213" s="163"/>
      <c r="AD213" s="163"/>
      <c r="AE213" s="163"/>
      <c r="AF213" s="163"/>
      <c r="AG213" s="163"/>
      <c r="AH213" s="164"/>
    </row>
    <row r="214" spans="4:37" x14ac:dyDescent="0.3">
      <c r="D214" s="154"/>
      <c r="E214" s="154"/>
      <c r="F214" s="154"/>
      <c r="G214" s="154"/>
      <c r="H214" s="154"/>
      <c r="I214" s="154"/>
      <c r="J214" s="154"/>
      <c r="K214" s="154"/>
      <c r="L214" s="154"/>
      <c r="M214" s="154"/>
      <c r="N214" s="154"/>
      <c r="O214" s="154"/>
      <c r="Y214" s="163"/>
      <c r="Z214" s="163"/>
      <c r="AA214" s="163"/>
      <c r="AB214" s="163"/>
      <c r="AC214" s="163"/>
      <c r="AD214" s="163"/>
      <c r="AE214" s="163"/>
      <c r="AF214" s="163"/>
      <c r="AG214" s="163"/>
      <c r="AH214" s="164"/>
    </row>
    <row r="215" spans="4:37" x14ac:dyDescent="0.3">
      <c r="D215" s="154"/>
      <c r="E215" s="154"/>
      <c r="F215" s="154"/>
      <c r="G215" s="154"/>
      <c r="H215" s="154"/>
      <c r="I215" s="154"/>
      <c r="J215" s="154"/>
      <c r="K215" s="154"/>
      <c r="L215" s="154"/>
      <c r="M215" s="154"/>
      <c r="N215" s="154"/>
      <c r="O215" s="154"/>
      <c r="P215" s="155"/>
      <c r="Q215" s="155"/>
      <c r="R215" s="155"/>
      <c r="S215" s="155"/>
      <c r="T215" s="155"/>
      <c r="U215" s="155"/>
      <c r="V215" s="155"/>
      <c r="W215" s="155"/>
      <c r="Y215" s="163"/>
      <c r="Z215" s="163"/>
      <c r="AA215" s="163"/>
      <c r="AB215" s="163"/>
      <c r="AC215" s="163"/>
      <c r="AD215" s="163"/>
      <c r="AE215" s="163"/>
      <c r="AF215" s="163"/>
      <c r="AG215" s="163"/>
      <c r="AH215" s="164"/>
    </row>
    <row r="216" spans="4:37" x14ac:dyDescent="0.3">
      <c r="D216" s="154"/>
      <c r="E216" s="154"/>
      <c r="F216" s="154"/>
      <c r="G216" s="154"/>
      <c r="H216" s="154"/>
      <c r="I216" s="154"/>
      <c r="J216" s="154"/>
      <c r="K216" s="154"/>
      <c r="L216" s="154"/>
      <c r="M216" s="154"/>
      <c r="N216" s="154"/>
      <c r="O216" s="154"/>
    </row>
    <row r="217" spans="4:37" x14ac:dyDescent="0.3">
      <c r="D217" s="154"/>
      <c r="E217" s="154"/>
      <c r="F217" s="154"/>
      <c r="G217" s="154"/>
      <c r="H217" s="154"/>
      <c r="I217" s="154"/>
      <c r="J217" s="154"/>
      <c r="K217" s="154"/>
      <c r="L217" s="154"/>
      <c r="M217" s="154"/>
      <c r="N217" s="154"/>
      <c r="O217" s="154"/>
      <c r="P217" s="156"/>
      <c r="Q217" s="156"/>
      <c r="R217" s="156"/>
      <c r="S217" s="156"/>
      <c r="T217" s="156"/>
      <c r="U217" s="156"/>
      <c r="V217" s="156"/>
      <c r="W217" s="156"/>
      <c r="Y217" s="94"/>
      <c r="Z217" s="94"/>
      <c r="AA217" s="94"/>
      <c r="AB217" s="94"/>
      <c r="AC217" s="94"/>
      <c r="AD217" s="94"/>
      <c r="AE217" s="94"/>
      <c r="AF217" s="94"/>
      <c r="AG217" s="94"/>
      <c r="AH217" s="94"/>
    </row>
    <row r="218" spans="4:37" ht="17.399999999999999" x14ac:dyDescent="0.35">
      <c r="D218" s="154"/>
      <c r="E218" s="154"/>
      <c r="F218" s="154"/>
      <c r="G218" s="154"/>
      <c r="H218" s="154"/>
      <c r="I218" s="154"/>
      <c r="J218" s="154"/>
      <c r="K218" s="154"/>
      <c r="L218" s="154"/>
      <c r="M218" s="154"/>
      <c r="N218" s="154"/>
      <c r="O218" s="154"/>
      <c r="P218" s="156"/>
      <c r="Q218" s="156"/>
      <c r="R218" s="156"/>
      <c r="S218" s="156"/>
      <c r="T218" s="156"/>
      <c r="U218" s="156"/>
      <c r="V218" s="156"/>
      <c r="W218" s="156"/>
      <c r="Y218" s="161"/>
      <c r="Z218" s="161"/>
      <c r="AA218" s="161"/>
      <c r="AB218" s="161"/>
      <c r="AC218" s="161"/>
      <c r="AD218" s="161"/>
      <c r="AE218" s="161"/>
      <c r="AF218" s="161"/>
      <c r="AG218" s="165"/>
      <c r="AH218" s="166"/>
    </row>
    <row r="219" spans="4:37" x14ac:dyDescent="0.3">
      <c r="D219" s="154"/>
      <c r="E219" s="154"/>
      <c r="F219" s="154"/>
      <c r="G219" s="154"/>
      <c r="H219" s="154"/>
      <c r="I219" s="154"/>
      <c r="J219" s="154"/>
      <c r="K219" s="154"/>
      <c r="L219" s="154"/>
      <c r="M219" s="154"/>
      <c r="N219" s="154"/>
      <c r="O219" s="154"/>
      <c r="P219" s="156"/>
      <c r="Q219" s="156"/>
      <c r="R219" s="156"/>
      <c r="S219" s="156"/>
      <c r="T219" s="156"/>
      <c r="U219" s="156"/>
      <c r="V219" s="156"/>
      <c r="W219" s="156"/>
      <c r="Y219" s="94"/>
      <c r="Z219" s="94"/>
      <c r="AA219" s="94"/>
      <c r="AB219" s="94"/>
      <c r="AC219" s="94"/>
      <c r="AD219" s="94"/>
      <c r="AE219" s="94"/>
      <c r="AF219" s="94"/>
      <c r="AG219" s="94"/>
      <c r="AH219" s="167"/>
    </row>
    <row r="220" spans="4:37" x14ac:dyDescent="0.3">
      <c r="Y220" s="94"/>
      <c r="Z220" s="94"/>
      <c r="AA220" s="94"/>
      <c r="AB220" s="94"/>
      <c r="AC220" s="94"/>
      <c r="AD220" s="94"/>
      <c r="AE220" s="94"/>
      <c r="AF220" s="94"/>
      <c r="AG220" s="94"/>
      <c r="AH220" s="94"/>
    </row>
    <row r="221" spans="4:37" ht="17.399999999999999" x14ac:dyDescent="0.35">
      <c r="Y221" s="161"/>
      <c r="Z221" s="161"/>
      <c r="AA221" s="161"/>
      <c r="AB221" s="161"/>
      <c r="AC221" s="161"/>
      <c r="AD221" s="161"/>
      <c r="AE221" s="161"/>
      <c r="AF221" s="161"/>
      <c r="AG221" s="161"/>
      <c r="AH221" s="166"/>
    </row>
    <row r="224" spans="4:37" x14ac:dyDescent="0.3">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c r="AA224" s="135"/>
      <c r="AB224" s="135"/>
      <c r="AC224" s="135"/>
      <c r="AD224" s="135"/>
      <c r="AE224" s="135"/>
      <c r="AF224" s="135"/>
      <c r="AH224" s="1650"/>
      <c r="AI224" s="1650"/>
      <c r="AJ224" s="1650"/>
      <c r="AK224" s="1650"/>
    </row>
    <row r="225" spans="4:43" x14ac:dyDescent="0.3">
      <c r="D225" s="157"/>
      <c r="E225" s="157"/>
      <c r="F225" s="157"/>
      <c r="G225" s="157"/>
      <c r="H225" s="157"/>
      <c r="I225" s="157"/>
      <c r="J225" s="157"/>
      <c r="K225" s="157"/>
      <c r="L225" s="157"/>
      <c r="M225" s="157"/>
      <c r="N225" s="157"/>
      <c r="O225" s="157"/>
      <c r="P225" s="158"/>
      <c r="Q225" s="158"/>
      <c r="R225" s="158"/>
      <c r="S225" s="158"/>
      <c r="T225" s="158"/>
      <c r="U225" s="158"/>
      <c r="V225" s="158"/>
      <c r="W225" s="158"/>
      <c r="X225" s="111"/>
      <c r="Y225" s="111"/>
      <c r="Z225" s="111"/>
      <c r="AA225" s="111"/>
      <c r="AB225" s="111"/>
      <c r="AC225" s="111"/>
      <c r="AD225" s="111"/>
      <c r="AE225" s="111"/>
      <c r="AF225" s="111"/>
      <c r="AH225" s="1649"/>
      <c r="AI225" s="1649"/>
      <c r="AJ225" s="1649"/>
      <c r="AK225" s="1649"/>
    </row>
    <row r="226" spans="4:43" x14ac:dyDescent="0.3">
      <c r="D226" s="157"/>
      <c r="E226" s="157"/>
      <c r="F226" s="157"/>
      <c r="G226" s="157"/>
      <c r="H226" s="157"/>
      <c r="I226" s="157"/>
      <c r="J226" s="157"/>
      <c r="K226" s="157"/>
      <c r="L226" s="157"/>
      <c r="M226" s="157"/>
      <c r="N226" s="157"/>
      <c r="O226" s="157"/>
      <c r="P226" s="158"/>
      <c r="Q226" s="158"/>
      <c r="R226" s="158"/>
      <c r="S226" s="158"/>
      <c r="T226" s="158"/>
      <c r="U226" s="158"/>
      <c r="V226" s="158"/>
      <c r="W226" s="158"/>
      <c r="X226" s="111"/>
      <c r="Y226" s="111"/>
      <c r="Z226" s="111"/>
      <c r="AA226" s="111"/>
      <c r="AB226" s="111"/>
      <c r="AC226" s="111"/>
      <c r="AD226" s="111"/>
      <c r="AE226" s="111"/>
      <c r="AF226" s="111"/>
      <c r="AH226" s="1649"/>
      <c r="AI226" s="1649"/>
      <c r="AJ226" s="1649"/>
      <c r="AK226" s="1649"/>
    </row>
    <row r="227" spans="4:43" x14ac:dyDescent="0.3">
      <c r="D227" s="157"/>
      <c r="E227" s="157"/>
      <c r="F227" s="157"/>
      <c r="G227" s="157"/>
      <c r="H227" s="157"/>
      <c r="I227" s="157"/>
      <c r="J227" s="157"/>
      <c r="K227" s="157"/>
      <c r="L227" s="157"/>
      <c r="M227" s="157"/>
      <c r="N227" s="157"/>
      <c r="O227" s="157"/>
      <c r="P227" s="158"/>
      <c r="Q227" s="158"/>
      <c r="R227" s="158"/>
      <c r="S227" s="158"/>
      <c r="T227" s="158"/>
      <c r="U227" s="158"/>
      <c r="V227" s="158"/>
      <c r="W227" s="158"/>
      <c r="X227" s="111"/>
      <c r="Y227" s="111"/>
      <c r="Z227" s="111"/>
      <c r="AA227" s="111"/>
      <c r="AB227" s="111"/>
      <c r="AC227" s="111"/>
      <c r="AD227" s="111"/>
      <c r="AE227" s="111"/>
      <c r="AF227" s="111"/>
      <c r="AH227" s="1649"/>
      <c r="AI227" s="1649"/>
      <c r="AJ227" s="1649"/>
      <c r="AK227" s="1649"/>
    </row>
    <row r="228" spans="4:43" x14ac:dyDescent="0.3">
      <c r="D228" s="157"/>
      <c r="E228" s="157"/>
      <c r="F228" s="157"/>
      <c r="G228" s="157"/>
      <c r="H228" s="157"/>
      <c r="I228" s="157"/>
      <c r="J228" s="157"/>
      <c r="K228" s="157"/>
      <c r="L228" s="157"/>
      <c r="M228" s="157"/>
      <c r="N228" s="157"/>
      <c r="O228" s="157"/>
      <c r="P228" s="158"/>
      <c r="Q228" s="158"/>
      <c r="R228" s="158"/>
      <c r="S228" s="158"/>
      <c r="T228" s="158"/>
      <c r="U228" s="158"/>
      <c r="V228" s="158"/>
      <c r="W228" s="158"/>
      <c r="X228" s="111"/>
      <c r="Y228" s="111"/>
      <c r="Z228" s="111"/>
      <c r="AA228" s="111"/>
      <c r="AB228" s="111"/>
      <c r="AC228" s="111"/>
      <c r="AD228" s="111"/>
      <c r="AE228" s="111"/>
      <c r="AF228" s="111"/>
      <c r="AH228" s="1649"/>
      <c r="AI228" s="1649"/>
      <c r="AJ228" s="1649"/>
      <c r="AK228" s="1649"/>
    </row>
    <row r="229" spans="4:43" x14ac:dyDescent="0.3">
      <c r="D229" s="157"/>
      <c r="E229" s="157"/>
      <c r="F229" s="157"/>
      <c r="G229" s="157"/>
      <c r="H229" s="157"/>
      <c r="I229" s="157"/>
      <c r="J229" s="157"/>
      <c r="K229" s="157"/>
      <c r="L229" s="157"/>
      <c r="M229" s="157"/>
      <c r="N229" s="157"/>
      <c r="O229" s="157"/>
      <c r="P229" s="158"/>
      <c r="Q229" s="158"/>
      <c r="R229" s="158"/>
      <c r="S229" s="158"/>
      <c r="T229" s="158"/>
      <c r="U229" s="158"/>
      <c r="V229" s="158"/>
      <c r="W229" s="158"/>
      <c r="X229" s="111"/>
      <c r="Y229" s="111"/>
      <c r="Z229" s="111"/>
      <c r="AA229" s="111"/>
      <c r="AB229" s="111"/>
      <c r="AC229" s="111"/>
      <c r="AD229" s="111"/>
      <c r="AE229" s="111"/>
      <c r="AF229" s="111"/>
      <c r="AH229" s="1649"/>
      <c r="AI229" s="1649"/>
      <c r="AJ229" s="1649"/>
      <c r="AK229" s="1649"/>
    </row>
    <row r="230" spans="4:43" x14ac:dyDescent="0.3">
      <c r="D230" s="157"/>
      <c r="E230" s="157"/>
      <c r="F230" s="157"/>
      <c r="G230" s="157"/>
      <c r="H230" s="157"/>
      <c r="I230" s="157"/>
      <c r="J230" s="157"/>
      <c r="K230" s="157"/>
      <c r="L230" s="157"/>
      <c r="M230" s="157"/>
      <c r="N230" s="157"/>
      <c r="O230" s="157"/>
      <c r="P230" s="158"/>
      <c r="Q230" s="158"/>
      <c r="R230" s="158"/>
      <c r="S230" s="158"/>
      <c r="T230" s="158"/>
      <c r="U230" s="158"/>
      <c r="V230" s="158"/>
      <c r="W230" s="158"/>
      <c r="X230" s="111"/>
      <c r="Y230" s="111"/>
      <c r="Z230" s="111"/>
      <c r="AA230" s="111"/>
      <c r="AB230" s="111"/>
      <c r="AC230" s="111"/>
      <c r="AD230" s="111"/>
      <c r="AE230" s="111"/>
      <c r="AF230" s="111"/>
      <c r="AH230" s="1649"/>
      <c r="AI230" s="1649"/>
      <c r="AJ230" s="1649"/>
      <c r="AK230" s="1649"/>
    </row>
    <row r="231" spans="4:43" x14ac:dyDescent="0.3">
      <c r="D231" s="157"/>
      <c r="E231" s="157"/>
      <c r="F231" s="157"/>
      <c r="G231" s="157"/>
      <c r="H231" s="157"/>
      <c r="I231" s="157"/>
      <c r="J231" s="157"/>
      <c r="K231" s="157"/>
      <c r="L231" s="157"/>
      <c r="M231" s="157"/>
      <c r="N231" s="157"/>
      <c r="O231" s="157"/>
      <c r="P231" s="158"/>
      <c r="Q231" s="158"/>
      <c r="R231" s="158"/>
      <c r="S231" s="158"/>
      <c r="T231" s="158"/>
      <c r="U231" s="158"/>
      <c r="V231" s="158"/>
      <c r="W231" s="158"/>
      <c r="X231" s="111"/>
      <c r="Y231" s="111"/>
      <c r="Z231" s="111"/>
      <c r="AA231" s="111"/>
      <c r="AB231" s="111"/>
      <c r="AC231" s="111"/>
      <c r="AD231" s="111"/>
      <c r="AE231" s="111"/>
      <c r="AF231" s="111"/>
      <c r="AH231" s="1649"/>
      <c r="AI231" s="1649"/>
      <c r="AJ231" s="1649"/>
      <c r="AK231" s="1649"/>
    </row>
    <row r="232" spans="4:43" x14ac:dyDescent="0.3">
      <c r="D232" s="157"/>
      <c r="E232" s="157"/>
      <c r="F232" s="157"/>
      <c r="G232" s="157"/>
      <c r="H232" s="157"/>
      <c r="I232" s="157"/>
      <c r="J232" s="157"/>
      <c r="K232" s="157"/>
      <c r="L232" s="157"/>
      <c r="M232" s="157"/>
      <c r="N232" s="157"/>
      <c r="O232" s="157"/>
      <c r="P232" s="158"/>
      <c r="Q232" s="158"/>
      <c r="R232" s="158"/>
      <c r="S232" s="158"/>
      <c r="T232" s="158"/>
      <c r="U232" s="158"/>
      <c r="V232" s="158"/>
      <c r="W232" s="158"/>
      <c r="X232" s="111"/>
      <c r="Y232" s="111"/>
      <c r="Z232" s="111"/>
      <c r="AA232" s="111"/>
      <c r="AB232" s="111"/>
      <c r="AC232" s="111"/>
      <c r="AD232" s="111"/>
      <c r="AE232" s="111"/>
      <c r="AF232" s="111"/>
    </row>
    <row r="235" spans="4:43" x14ac:dyDescent="0.3">
      <c r="Y235" s="95"/>
      <c r="Z235" s="95"/>
      <c r="AA235" s="95"/>
      <c r="AB235" s="95"/>
      <c r="AC235" s="95"/>
      <c r="AD235" s="95"/>
      <c r="AE235" s="95"/>
      <c r="AF235" s="95"/>
      <c r="AQ235" s="95"/>
    </row>
    <row r="236" spans="4:43" x14ac:dyDescent="0.3">
      <c r="Y236" s="95"/>
      <c r="Z236" s="95"/>
      <c r="AA236" s="95"/>
      <c r="AB236" s="95"/>
      <c r="AC236" s="95"/>
      <c r="AD236" s="95"/>
      <c r="AE236" s="95"/>
      <c r="AF236" s="95"/>
      <c r="AQ236" s="95"/>
    </row>
    <row r="237" spans="4:43" x14ac:dyDescent="0.3">
      <c r="Y237" s="95"/>
      <c r="Z237" s="95"/>
      <c r="AA237" s="95"/>
      <c r="AB237" s="95"/>
      <c r="AC237" s="95"/>
      <c r="AD237" s="95"/>
      <c r="AE237" s="95"/>
      <c r="AF237" s="95"/>
      <c r="AQ237" s="95"/>
    </row>
    <row r="238" spans="4:43" x14ac:dyDescent="0.3">
      <c r="Y238" s="95"/>
      <c r="Z238" s="95"/>
      <c r="AA238" s="95"/>
      <c r="AB238" s="95"/>
      <c r="AC238" s="95"/>
      <c r="AD238" s="95"/>
      <c r="AE238" s="95"/>
      <c r="AF238" s="95"/>
      <c r="AQ238" s="95"/>
    </row>
    <row r="239" spans="4:43" x14ac:dyDescent="0.3">
      <c r="Y239" s="95"/>
      <c r="Z239" s="95"/>
      <c r="AA239" s="95"/>
      <c r="AB239" s="95"/>
      <c r="AC239" s="95"/>
      <c r="AD239" s="95"/>
      <c r="AE239" s="95"/>
      <c r="AF239" s="95"/>
      <c r="AQ239" s="95"/>
    </row>
    <row r="240" spans="4:43" ht="24" customHeight="1" x14ac:dyDescent="0.3">
      <c r="Y240" s="95"/>
      <c r="Z240" s="95"/>
      <c r="AA240" s="95"/>
      <c r="AB240" s="95"/>
      <c r="AC240" s="95"/>
      <c r="AD240" s="95"/>
      <c r="AE240" s="95"/>
      <c r="AF240" s="95"/>
      <c r="AQ240" s="95"/>
    </row>
    <row r="241" spans="4:77" x14ac:dyDescent="0.3">
      <c r="Y241" s="95"/>
      <c r="Z241" s="95"/>
      <c r="AA241" s="95"/>
      <c r="AB241" s="95"/>
      <c r="AC241" s="95"/>
      <c r="AD241" s="95"/>
      <c r="AE241" s="95"/>
      <c r="AF241" s="95"/>
      <c r="AQ241" s="95"/>
    </row>
    <row r="242" spans="4:77" x14ac:dyDescent="0.3">
      <c r="Y242" s="95"/>
      <c r="Z242" s="95"/>
      <c r="AA242" s="95"/>
      <c r="AB242" s="95"/>
      <c r="AC242" s="95"/>
      <c r="AD242" s="95"/>
      <c r="AE242" s="95"/>
      <c r="AF242" s="95"/>
      <c r="AQ242" s="95"/>
    </row>
    <row r="243" spans="4:77" x14ac:dyDescent="0.3">
      <c r="Y243" s="98"/>
      <c r="Z243" s="98"/>
      <c r="AA243" s="98"/>
      <c r="AB243" s="98"/>
      <c r="AC243" s="98"/>
      <c r="AD243" s="98"/>
      <c r="AE243" s="98"/>
      <c r="AF243" s="98"/>
      <c r="AQ243" s="95"/>
    </row>
    <row r="244" spans="4:77" x14ac:dyDescent="0.3">
      <c r="D244" s="96"/>
      <c r="E244" s="96"/>
      <c r="F244" s="96"/>
      <c r="G244" s="96"/>
      <c r="H244" s="96"/>
      <c r="I244" s="96"/>
      <c r="J244" s="96"/>
      <c r="K244" s="96"/>
      <c r="L244" s="96"/>
      <c r="M244" s="96"/>
      <c r="N244" s="96"/>
      <c r="O244" s="96"/>
      <c r="P244" s="95"/>
      <c r="Q244" s="95"/>
      <c r="R244" s="95"/>
      <c r="S244" s="95"/>
      <c r="T244" s="95"/>
      <c r="U244" s="95"/>
      <c r="V244" s="95"/>
      <c r="W244" s="95"/>
      <c r="X244" s="95"/>
      <c r="Y244" s="95"/>
      <c r="Z244" s="95"/>
      <c r="AA244" s="95"/>
      <c r="AB244" s="95"/>
      <c r="AC244" s="95"/>
      <c r="AD244" s="95"/>
      <c r="AE244" s="95"/>
      <c r="AF244" s="95"/>
      <c r="AQ244" s="95"/>
    </row>
    <row r="245" spans="4:77" x14ac:dyDescent="0.3">
      <c r="D245" s="95"/>
      <c r="E245" s="95"/>
      <c r="F245" s="95"/>
      <c r="G245" s="95"/>
      <c r="H245" s="95"/>
      <c r="I245" s="95"/>
      <c r="J245" s="95"/>
      <c r="K245" s="95"/>
      <c r="L245" s="95"/>
      <c r="M245" s="95"/>
      <c r="N245" s="95"/>
      <c r="O245" s="95"/>
      <c r="P245" s="95"/>
      <c r="Q245" s="95"/>
      <c r="R245" s="95"/>
      <c r="S245" s="95"/>
      <c r="T245" s="95"/>
      <c r="U245" s="95"/>
      <c r="V245" s="95"/>
      <c r="W245" s="95"/>
      <c r="X245" s="95"/>
      <c r="Y245" s="95"/>
      <c r="Z245" s="95"/>
      <c r="AA245" s="95"/>
      <c r="AB245" s="95"/>
      <c r="AC245" s="95"/>
      <c r="AD245" s="95"/>
      <c r="AE245" s="95"/>
      <c r="AF245" s="95"/>
      <c r="AQ245" s="97"/>
    </row>
    <row r="246" spans="4:77" x14ac:dyDescent="0.3">
      <c r="D246" s="95"/>
      <c r="E246" s="95"/>
      <c r="F246" s="95"/>
      <c r="G246" s="95"/>
      <c r="H246" s="95"/>
      <c r="I246" s="95"/>
      <c r="J246" s="95"/>
      <c r="K246" s="95"/>
      <c r="L246" s="95"/>
      <c r="M246" s="95"/>
      <c r="N246" s="95"/>
      <c r="O246" s="95"/>
      <c r="P246" s="95"/>
      <c r="Q246" s="95"/>
      <c r="R246" s="95"/>
      <c r="S246" s="95"/>
      <c r="T246" s="95"/>
      <c r="U246" s="95"/>
      <c r="V246" s="95"/>
      <c r="W246" s="95"/>
      <c r="X246" s="95"/>
      <c r="Y246" s="95"/>
      <c r="Z246" s="95"/>
      <c r="AA246" s="95"/>
      <c r="AB246" s="95"/>
      <c r="AC246" s="95"/>
      <c r="AD246" s="95"/>
      <c r="AE246" s="95"/>
      <c r="AF246" s="95"/>
      <c r="AQ246" s="95"/>
    </row>
    <row r="247" spans="4:77" x14ac:dyDescent="0.3">
      <c r="D247" s="96"/>
      <c r="E247" s="96"/>
      <c r="F247" s="96"/>
      <c r="G247" s="96"/>
      <c r="H247" s="96"/>
      <c r="I247" s="96"/>
      <c r="J247" s="96"/>
      <c r="K247" s="96"/>
      <c r="L247" s="96"/>
      <c r="M247" s="96"/>
      <c r="N247" s="96"/>
      <c r="O247" s="96"/>
      <c r="P247" s="95"/>
      <c r="Q247" s="95"/>
      <c r="R247" s="95"/>
      <c r="S247" s="95"/>
      <c r="T247" s="95"/>
      <c r="U247" s="95"/>
      <c r="V247" s="95"/>
      <c r="W247" s="95"/>
      <c r="X247" s="95"/>
      <c r="Y247" s="95"/>
      <c r="Z247" s="95"/>
      <c r="AA247" s="95"/>
      <c r="AB247" s="95"/>
      <c r="AC247" s="95"/>
      <c r="AD247" s="95"/>
      <c r="AE247" s="95"/>
      <c r="AF247" s="95"/>
      <c r="AQ247" s="95"/>
    </row>
    <row r="248" spans="4:77" x14ac:dyDescent="0.3">
      <c r="D248" s="96"/>
      <c r="E248" s="96"/>
      <c r="F248" s="96"/>
      <c r="G248" s="96"/>
      <c r="H248" s="96"/>
      <c r="I248" s="96"/>
      <c r="J248" s="96"/>
      <c r="K248" s="96"/>
      <c r="L248" s="96"/>
      <c r="M248" s="96"/>
      <c r="N248" s="96"/>
      <c r="O248" s="96"/>
      <c r="P248" s="95"/>
      <c r="Q248" s="95"/>
      <c r="R248" s="95"/>
      <c r="S248" s="95"/>
      <c r="T248" s="95"/>
      <c r="U248" s="95"/>
      <c r="V248" s="95"/>
      <c r="W248" s="95"/>
      <c r="X248" s="95"/>
      <c r="Y248" s="95"/>
      <c r="Z248" s="95"/>
      <c r="AA248" s="95"/>
      <c r="AB248" s="95"/>
      <c r="AC248" s="95"/>
      <c r="AD248" s="95"/>
      <c r="AE248" s="95"/>
      <c r="AF248" s="95"/>
      <c r="AQ248" s="95"/>
    </row>
    <row r="249" spans="4:77" x14ac:dyDescent="0.3">
      <c r="D249" s="99"/>
      <c r="E249" s="99"/>
      <c r="F249" s="99"/>
      <c r="G249" s="99"/>
      <c r="H249" s="99"/>
      <c r="I249" s="99"/>
      <c r="J249" s="99"/>
      <c r="K249" s="99"/>
      <c r="L249" s="99"/>
      <c r="M249" s="99"/>
      <c r="N249" s="99"/>
      <c r="O249" s="99"/>
      <c r="P249" s="128"/>
      <c r="Q249" s="128"/>
      <c r="R249" s="128"/>
      <c r="S249" s="128"/>
      <c r="T249" s="128"/>
      <c r="U249" s="128"/>
      <c r="V249" s="128"/>
      <c r="W249" s="128"/>
      <c r="X249" s="95"/>
      <c r="Y249" s="112"/>
      <c r="Z249" s="112"/>
      <c r="AA249" s="112"/>
      <c r="AB249" s="112"/>
      <c r="AC249" s="112"/>
      <c r="AD249" s="112"/>
      <c r="AE249" s="112"/>
      <c r="AF249" s="112"/>
      <c r="AG249" s="96"/>
      <c r="AH249" s="96"/>
      <c r="AI249" s="95"/>
      <c r="AJ249" s="95"/>
      <c r="AK249" s="96"/>
      <c r="AL249" s="95"/>
      <c r="AM249" s="95"/>
      <c r="AN249" s="95"/>
      <c r="AO249" s="95"/>
      <c r="AP249" s="100"/>
      <c r="AQ249" s="100"/>
    </row>
    <row r="252" spans="4:77" x14ac:dyDescent="0.3">
      <c r="P252" s="96"/>
      <c r="Q252" s="96"/>
      <c r="R252" s="96"/>
      <c r="S252" s="96"/>
      <c r="T252" s="96"/>
      <c r="U252" s="96"/>
      <c r="V252" s="96"/>
      <c r="W252" s="96"/>
      <c r="X252" s="95"/>
      <c r="Y252" s="95"/>
      <c r="Z252" s="95"/>
      <c r="AA252" s="95"/>
      <c r="AB252" s="95"/>
      <c r="AC252" s="95"/>
      <c r="AD252" s="95"/>
      <c r="AE252" s="95"/>
      <c r="AF252" s="95"/>
      <c r="AG252" s="95"/>
      <c r="AH252" s="96"/>
      <c r="AI252" s="96"/>
      <c r="AJ252" s="127"/>
      <c r="AK252" s="96"/>
      <c r="AL252" s="95"/>
      <c r="AM252" s="95"/>
      <c r="AN252" s="95"/>
      <c r="AO252" s="95"/>
      <c r="AP252" s="95"/>
      <c r="AQ252" s="95"/>
      <c r="AR252" s="95"/>
      <c r="AS252" s="95"/>
      <c r="AT252" s="95"/>
      <c r="AU252" s="95"/>
      <c r="AV252" s="95"/>
      <c r="AW252" s="95"/>
      <c r="AX252" s="95"/>
      <c r="AY252" s="95"/>
      <c r="AZ252" s="95"/>
      <c r="BA252" s="95"/>
      <c r="BB252" s="95"/>
      <c r="BC252" s="95"/>
      <c r="BD252" s="95"/>
      <c r="BE252" s="95"/>
      <c r="BF252" s="95"/>
      <c r="BG252" s="95"/>
      <c r="BH252" s="95"/>
      <c r="BI252" s="95"/>
      <c r="BJ252" s="95"/>
      <c r="BK252" s="95"/>
      <c r="BL252" s="95"/>
      <c r="BM252" s="95"/>
      <c r="BN252" s="95"/>
      <c r="BO252" s="95"/>
      <c r="BP252" s="95"/>
      <c r="BQ252" s="95"/>
      <c r="BR252" s="95"/>
      <c r="BS252" s="95"/>
      <c r="BT252" s="95"/>
      <c r="BU252" s="95"/>
      <c r="BV252" s="95"/>
      <c r="BW252" s="95"/>
      <c r="BX252" s="95"/>
      <c r="BY252" s="95"/>
    </row>
    <row r="253" spans="4:77" x14ac:dyDescent="0.3">
      <c r="P253" s="99"/>
      <c r="Q253" s="99"/>
      <c r="R253" s="99"/>
      <c r="S253" s="99"/>
      <c r="T253" s="99"/>
      <c r="U253" s="99"/>
      <c r="V253" s="99"/>
      <c r="W253" s="99"/>
      <c r="X253" s="128"/>
      <c r="Y253" s="95"/>
      <c r="Z253" s="95"/>
      <c r="AA253" s="95"/>
      <c r="AB253" s="95"/>
      <c r="AC253" s="95"/>
      <c r="AD253" s="95"/>
      <c r="AE253" s="95"/>
      <c r="AF253" s="95"/>
      <c r="AG253" s="112"/>
      <c r="AH253" s="96"/>
      <c r="AI253" s="96"/>
      <c r="AJ253" s="95"/>
      <c r="AK253" s="95"/>
      <c r="AL253" s="96"/>
      <c r="AM253" s="95"/>
      <c r="AN253" s="95"/>
      <c r="AO253" s="95"/>
      <c r="AP253" s="95"/>
      <c r="AQ253" s="100"/>
      <c r="AR253" s="100"/>
      <c r="AS253" s="100"/>
      <c r="AT253" s="100"/>
      <c r="AU253" s="100"/>
      <c r="AV253" s="100"/>
      <c r="AW253" s="100"/>
      <c r="AX253" s="100"/>
      <c r="AY253" s="100"/>
      <c r="AZ253" s="100"/>
      <c r="BA253" s="100"/>
      <c r="BB253" s="100"/>
      <c r="BC253" s="100"/>
      <c r="BD253" s="100"/>
      <c r="BE253" s="100"/>
      <c r="BF253" s="100"/>
      <c r="BG253" s="100"/>
      <c r="BH253" s="100"/>
      <c r="BI253" s="100"/>
      <c r="BJ253" s="100"/>
      <c r="BK253" s="100"/>
      <c r="BL253" s="100"/>
      <c r="BM253" s="100"/>
      <c r="BN253" s="100"/>
      <c r="BO253" s="100"/>
      <c r="BP253" s="100"/>
      <c r="BQ253" s="100"/>
      <c r="BR253" s="100"/>
      <c r="BS253" s="100"/>
      <c r="BT253" s="100"/>
      <c r="BU253" s="100"/>
      <c r="BV253" s="100"/>
      <c r="BW253" s="100"/>
      <c r="BX253" s="100"/>
      <c r="BY253" s="100"/>
    </row>
    <row r="254" spans="4:77" x14ac:dyDescent="0.3">
      <c r="P254" s="129"/>
      <c r="Q254" s="129"/>
      <c r="R254" s="129"/>
      <c r="S254" s="129"/>
      <c r="T254" s="129"/>
      <c r="U254" s="129"/>
      <c r="V254" s="129"/>
      <c r="W254" s="129"/>
      <c r="X254" s="129"/>
      <c r="Y254" s="129"/>
      <c r="Z254" s="129"/>
      <c r="AA254" s="129"/>
      <c r="AB254" s="129"/>
      <c r="AC254" s="129"/>
      <c r="AD254" s="129"/>
      <c r="AE254" s="129"/>
      <c r="AF254" s="129"/>
      <c r="AG254" s="129"/>
      <c r="AH254" s="129"/>
      <c r="AI254" s="129"/>
      <c r="AJ254" s="129"/>
      <c r="AK254" s="129"/>
      <c r="AL254" s="129"/>
      <c r="AM254" s="129"/>
      <c r="AN254" s="130"/>
      <c r="AO254" s="130"/>
      <c r="AP254" s="129"/>
      <c r="AQ254" s="131"/>
      <c r="AR254" s="131"/>
      <c r="AS254" s="131"/>
      <c r="AT254" s="131"/>
      <c r="AU254" s="131"/>
      <c r="AV254" s="131"/>
      <c r="AW254" s="131"/>
      <c r="AX254" s="131"/>
      <c r="AY254" s="131"/>
      <c r="AZ254" s="131"/>
      <c r="BA254" s="131"/>
      <c r="BB254" s="131"/>
      <c r="BC254" s="131"/>
      <c r="BD254" s="131"/>
      <c r="BE254" s="131"/>
      <c r="BF254" s="131"/>
      <c r="BG254" s="131"/>
      <c r="BH254" s="131"/>
      <c r="BI254" s="131"/>
      <c r="BJ254" s="131"/>
      <c r="BK254" s="131"/>
      <c r="BL254" s="131"/>
      <c r="BM254" s="131"/>
      <c r="BN254" s="131"/>
      <c r="BO254" s="131"/>
      <c r="BP254" s="131"/>
      <c r="BQ254" s="131"/>
      <c r="BR254" s="131"/>
      <c r="BS254" s="131"/>
      <c r="BT254" s="131"/>
      <c r="BU254" s="131"/>
      <c r="BV254" s="131"/>
      <c r="BW254" s="131"/>
      <c r="BX254" s="131"/>
      <c r="BY254" s="131"/>
    </row>
    <row r="255" spans="4:77" x14ac:dyDescent="0.3">
      <c r="P255" s="132"/>
      <c r="Q255" s="132"/>
      <c r="R255" s="132"/>
      <c r="S255" s="132"/>
      <c r="T255" s="132"/>
      <c r="U255" s="132"/>
      <c r="V255" s="132"/>
      <c r="W255" s="132"/>
      <c r="X255" s="95"/>
      <c r="Y255" s="95"/>
      <c r="Z255" s="95"/>
      <c r="AA255" s="95"/>
      <c r="AB255" s="95"/>
      <c r="AC255" s="95"/>
      <c r="AD255" s="95"/>
      <c r="AE255" s="95"/>
      <c r="AF255" s="95"/>
      <c r="AG255" s="95"/>
      <c r="AH255" s="95"/>
      <c r="AI255" s="95"/>
      <c r="AJ255" s="95"/>
      <c r="AK255" s="95"/>
      <c r="AL255" s="95"/>
      <c r="AM255" s="133"/>
      <c r="AN255" s="133"/>
      <c r="AO255" s="133"/>
      <c r="AP255" s="133"/>
      <c r="AQ255" s="133"/>
      <c r="AR255" s="133"/>
      <c r="AS255" s="133"/>
      <c r="AT255" s="133"/>
      <c r="AU255" s="133"/>
      <c r="AV255" s="133"/>
      <c r="AW255" s="133"/>
      <c r="AX255" s="133"/>
      <c r="AY255" s="133"/>
      <c r="AZ255" s="133"/>
      <c r="BA255" s="133"/>
      <c r="BB255" s="133"/>
      <c r="BC255" s="133"/>
      <c r="BD255" s="133"/>
      <c r="BE255" s="133"/>
      <c r="BF255" s="133"/>
      <c r="BG255" s="133"/>
      <c r="BH255" s="133"/>
      <c r="BI255" s="133"/>
      <c r="BJ255" s="133"/>
      <c r="BK255" s="133"/>
      <c r="BL255" s="133"/>
      <c r="BM255" s="133"/>
      <c r="BN255" s="133"/>
      <c r="BO255" s="133"/>
      <c r="BP255" s="133"/>
      <c r="BQ255" s="133"/>
      <c r="BR255" s="133"/>
      <c r="BS255" s="133"/>
      <c r="BT255" s="133"/>
      <c r="BU255" s="133"/>
      <c r="BV255" s="133"/>
      <c r="BW255" s="133"/>
      <c r="BX255" s="133"/>
      <c r="BY255" s="133"/>
    </row>
    <row r="256" spans="4:77" x14ac:dyDescent="0.3">
      <c r="P256" s="95"/>
      <c r="Q256" s="95"/>
      <c r="R256" s="95"/>
      <c r="S256" s="95"/>
      <c r="T256" s="95"/>
      <c r="U256" s="95"/>
      <c r="V256" s="95"/>
      <c r="W256" s="95"/>
      <c r="X256" s="95"/>
      <c r="Y256" s="95"/>
      <c r="Z256" s="95"/>
      <c r="AA256" s="95"/>
      <c r="AB256" s="95"/>
      <c r="AC256" s="95"/>
      <c r="AD256" s="95"/>
      <c r="AE256" s="95"/>
      <c r="AF256" s="95"/>
      <c r="AG256" s="95"/>
      <c r="AH256" s="101"/>
      <c r="AI256" s="101"/>
      <c r="AJ256" s="101"/>
      <c r="AK256" s="101"/>
      <c r="AL256" s="127"/>
      <c r="AM256" s="133"/>
      <c r="AN256" s="133"/>
      <c r="AO256" s="133"/>
      <c r="AP256" s="134"/>
      <c r="AQ256" s="133"/>
      <c r="AR256" s="133"/>
      <c r="AS256" s="133"/>
      <c r="AT256" s="133"/>
      <c r="AU256" s="133"/>
      <c r="AV256" s="133"/>
      <c r="AW256" s="133"/>
      <c r="AX256" s="133"/>
      <c r="AY256" s="133"/>
      <c r="AZ256" s="133"/>
      <c r="BA256" s="133"/>
      <c r="BB256" s="133"/>
      <c r="BC256" s="133"/>
      <c r="BD256" s="133"/>
      <c r="BE256" s="133"/>
      <c r="BF256" s="133"/>
      <c r="BG256" s="133"/>
      <c r="BH256" s="133"/>
      <c r="BI256" s="133"/>
      <c r="BJ256" s="133"/>
      <c r="BK256" s="133"/>
      <c r="BL256" s="133"/>
      <c r="BM256" s="133"/>
      <c r="BN256" s="133"/>
      <c r="BO256" s="133"/>
      <c r="BP256" s="133"/>
      <c r="BQ256" s="133"/>
      <c r="BR256" s="133"/>
      <c r="BS256" s="133"/>
      <c r="BT256" s="133"/>
      <c r="BU256" s="133"/>
      <c r="BV256" s="133"/>
      <c r="BW256" s="133"/>
      <c r="BX256" s="133"/>
      <c r="BY256" s="133"/>
    </row>
    <row r="257" spans="16:77" x14ac:dyDescent="0.3">
      <c r="P257" s="95"/>
      <c r="Q257" s="95"/>
      <c r="R257" s="95"/>
      <c r="S257" s="95"/>
      <c r="T257" s="95"/>
      <c r="U257" s="95"/>
      <c r="V257" s="95"/>
      <c r="W257" s="95"/>
      <c r="X257" s="95"/>
      <c r="Y257" s="95"/>
      <c r="Z257" s="95"/>
      <c r="AA257" s="95"/>
      <c r="AB257" s="95"/>
      <c r="AC257" s="95"/>
      <c r="AD257" s="95"/>
      <c r="AE257" s="95"/>
      <c r="AF257" s="95"/>
      <c r="AG257" s="95"/>
      <c r="AH257" s="101"/>
      <c r="AI257" s="101"/>
      <c r="AJ257" s="101"/>
      <c r="AK257" s="101"/>
      <c r="AL257" s="127"/>
      <c r="AM257" s="133"/>
      <c r="AN257" s="133"/>
      <c r="AO257" s="133"/>
      <c r="AP257" s="134"/>
      <c r="AQ257" s="133"/>
      <c r="AR257" s="133"/>
      <c r="AS257" s="133"/>
      <c r="AT257" s="133"/>
      <c r="AU257" s="133"/>
      <c r="AV257" s="133"/>
      <c r="AW257" s="133"/>
      <c r="AX257" s="133"/>
      <c r="AY257" s="133"/>
      <c r="AZ257" s="133"/>
      <c r="BA257" s="133"/>
      <c r="BB257" s="133"/>
      <c r="BC257" s="133"/>
      <c r="BD257" s="133"/>
      <c r="BE257" s="133"/>
      <c r="BF257" s="133"/>
      <c r="BG257" s="133"/>
      <c r="BH257" s="133"/>
      <c r="BI257" s="133"/>
      <c r="BJ257" s="133"/>
      <c r="BK257" s="133"/>
      <c r="BL257" s="133"/>
      <c r="BM257" s="133"/>
      <c r="BN257" s="133"/>
      <c r="BO257" s="133"/>
      <c r="BP257" s="133"/>
      <c r="BQ257" s="133"/>
      <c r="BR257" s="133"/>
      <c r="BS257" s="133"/>
      <c r="BT257" s="133"/>
      <c r="BU257" s="133"/>
      <c r="BV257" s="133"/>
      <c r="BW257" s="133"/>
      <c r="BX257" s="133"/>
      <c r="BY257" s="133"/>
    </row>
    <row r="258" spans="16:77" x14ac:dyDescent="0.3">
      <c r="P258" s="95"/>
      <c r="Q258" s="95"/>
      <c r="R258" s="95"/>
      <c r="S258" s="95"/>
      <c r="T258" s="95"/>
      <c r="U258" s="95"/>
      <c r="V258" s="95"/>
      <c r="W258" s="95"/>
      <c r="X258" s="95"/>
      <c r="Y258" s="95"/>
      <c r="Z258" s="95"/>
      <c r="AA258" s="95"/>
      <c r="AB258" s="95"/>
      <c r="AC258" s="95"/>
      <c r="AD258" s="95"/>
      <c r="AE258" s="95"/>
      <c r="AF258" s="95"/>
      <c r="AG258" s="95"/>
      <c r="AH258" s="95"/>
      <c r="AI258" s="101"/>
      <c r="AJ258" s="101"/>
      <c r="AK258" s="101"/>
      <c r="AL258" s="95"/>
      <c r="AM258" s="133"/>
      <c r="AN258" s="133"/>
      <c r="AO258" s="133"/>
      <c r="AP258" s="133"/>
      <c r="AQ258" s="133"/>
      <c r="AR258" s="133"/>
      <c r="AS258" s="133"/>
      <c r="AT258" s="133"/>
      <c r="AU258" s="133"/>
      <c r="AV258" s="133"/>
      <c r="AW258" s="133"/>
      <c r="AX258" s="133"/>
      <c r="AY258" s="133"/>
      <c r="AZ258" s="133"/>
      <c r="BA258" s="133"/>
      <c r="BB258" s="133"/>
      <c r="BC258" s="133"/>
      <c r="BD258" s="133"/>
      <c r="BE258" s="133"/>
      <c r="BF258" s="133"/>
      <c r="BG258" s="133"/>
      <c r="BH258" s="133"/>
      <c r="BI258" s="133"/>
      <c r="BJ258" s="133"/>
      <c r="BK258" s="133"/>
      <c r="BL258" s="133"/>
      <c r="BM258" s="133"/>
      <c r="BN258" s="133"/>
      <c r="BO258" s="133"/>
      <c r="BP258" s="133"/>
      <c r="BQ258" s="133"/>
      <c r="BR258" s="133"/>
      <c r="BS258" s="133"/>
      <c r="BT258" s="133"/>
      <c r="BU258" s="133"/>
      <c r="BV258" s="133"/>
      <c r="BW258" s="133"/>
      <c r="BX258" s="133"/>
      <c r="BY258" s="133"/>
    </row>
    <row r="259" spans="16:77" x14ac:dyDescent="0.3">
      <c r="P259" s="95"/>
      <c r="Q259" s="95"/>
      <c r="R259" s="95"/>
      <c r="S259" s="95"/>
      <c r="T259" s="95"/>
      <c r="U259" s="95"/>
      <c r="V259" s="95"/>
      <c r="W259" s="95"/>
      <c r="X259" s="95"/>
      <c r="Y259" s="95"/>
      <c r="Z259" s="95"/>
      <c r="AA259" s="95"/>
      <c r="AB259" s="95"/>
      <c r="AC259" s="95"/>
      <c r="AD259" s="95"/>
      <c r="AE259" s="95"/>
      <c r="AF259" s="95"/>
      <c r="AG259" s="95"/>
      <c r="AH259" s="101"/>
      <c r="AI259" s="101"/>
      <c r="AJ259" s="101"/>
      <c r="AK259" s="127"/>
      <c r="AL259" s="127"/>
      <c r="AM259" s="133"/>
      <c r="AN259" s="133"/>
      <c r="AO259" s="133"/>
      <c r="AP259" s="134"/>
      <c r="AQ259" s="133"/>
      <c r="AR259" s="133"/>
      <c r="AS259" s="133"/>
      <c r="AT259" s="133"/>
      <c r="AU259" s="133"/>
      <c r="AV259" s="133"/>
      <c r="AW259" s="133"/>
      <c r="AX259" s="133"/>
      <c r="AY259" s="133"/>
      <c r="AZ259" s="133"/>
      <c r="BA259" s="133"/>
      <c r="BB259" s="133"/>
      <c r="BC259" s="133"/>
      <c r="BD259" s="133"/>
      <c r="BE259" s="133"/>
      <c r="BF259" s="133"/>
      <c r="BG259" s="133"/>
      <c r="BH259" s="133"/>
      <c r="BI259" s="133"/>
      <c r="BJ259" s="133"/>
      <c r="BK259" s="133"/>
      <c r="BL259" s="133"/>
      <c r="BM259" s="133"/>
      <c r="BN259" s="133"/>
      <c r="BO259" s="133"/>
      <c r="BP259" s="133"/>
      <c r="BQ259" s="133"/>
      <c r="BR259" s="133"/>
      <c r="BS259" s="133"/>
      <c r="BT259" s="133"/>
      <c r="BU259" s="133"/>
      <c r="BV259" s="133"/>
      <c r="BW259" s="133"/>
      <c r="BX259" s="133"/>
      <c r="BY259" s="133"/>
    </row>
    <row r="262" spans="16:77" x14ac:dyDescent="0.3">
      <c r="P262" s="95"/>
      <c r="Q262" s="95"/>
      <c r="R262" s="95"/>
      <c r="S262" s="95"/>
      <c r="T262" s="95"/>
      <c r="U262" s="95"/>
      <c r="V262" s="95"/>
      <c r="W262" s="95"/>
      <c r="X262" s="96"/>
      <c r="Y262" s="95"/>
      <c r="Z262" s="95"/>
      <c r="AA262" s="95"/>
      <c r="AB262" s="95"/>
      <c r="AC262" s="95"/>
      <c r="AD262" s="95"/>
      <c r="AE262" s="95"/>
      <c r="AF262" s="95"/>
      <c r="AG262" s="96"/>
      <c r="AH262" s="96"/>
      <c r="AI262" s="95"/>
      <c r="AJ262" s="95"/>
      <c r="AK262" s="95"/>
      <c r="AL262" s="95"/>
      <c r="AM262" s="95"/>
    </row>
    <row r="263" spans="16:77" x14ac:dyDescent="0.3">
      <c r="P263" s="95"/>
      <c r="Q263" s="95"/>
      <c r="R263" s="95"/>
      <c r="S263" s="95"/>
      <c r="T263" s="95"/>
      <c r="U263" s="95"/>
      <c r="V263" s="95"/>
      <c r="W263" s="95"/>
      <c r="X263" s="96"/>
      <c r="Y263" s="95"/>
      <c r="Z263" s="95"/>
      <c r="AA263" s="95"/>
      <c r="AB263" s="95"/>
      <c r="AC263" s="95"/>
      <c r="AD263" s="95"/>
      <c r="AE263" s="95"/>
      <c r="AF263" s="95"/>
      <c r="AG263" s="96"/>
      <c r="AH263" s="96"/>
      <c r="AI263" s="95"/>
      <c r="AJ263" s="142"/>
      <c r="AK263" s="95"/>
      <c r="AL263" s="95"/>
      <c r="AM263" s="95"/>
    </row>
    <row r="264" spans="16:77" x14ac:dyDescent="0.3">
      <c r="P264" s="95"/>
      <c r="Q264" s="95"/>
      <c r="R264" s="95"/>
      <c r="S264" s="95"/>
      <c r="T264" s="95"/>
      <c r="U264" s="95"/>
      <c r="V264" s="95"/>
      <c r="W264" s="95"/>
      <c r="X264" s="95"/>
      <c r="Y264" s="95"/>
      <c r="Z264" s="95"/>
      <c r="AA264" s="95"/>
      <c r="AB264" s="95"/>
      <c r="AC264" s="95"/>
      <c r="AD264" s="95"/>
      <c r="AE264" s="95"/>
      <c r="AF264" s="95"/>
      <c r="AG264" s="96"/>
      <c r="AH264" s="96"/>
      <c r="AI264" s="95"/>
      <c r="AJ264" s="95"/>
      <c r="AK264" s="95"/>
      <c r="AL264" s="95"/>
      <c r="AM264" s="95"/>
    </row>
    <row r="265" spans="16:77" x14ac:dyDescent="0.3">
      <c r="P265" s="95"/>
      <c r="Q265" s="95"/>
      <c r="R265" s="95"/>
      <c r="S265" s="95"/>
      <c r="T265" s="95"/>
      <c r="U265" s="95"/>
      <c r="V265" s="95"/>
      <c r="W265" s="95"/>
      <c r="X265" s="95"/>
      <c r="Y265" s="95"/>
      <c r="Z265" s="95"/>
      <c r="AA265" s="95"/>
      <c r="AB265" s="95"/>
      <c r="AC265" s="95"/>
      <c r="AD265" s="95"/>
      <c r="AE265" s="95"/>
      <c r="AF265" s="95"/>
      <c r="AG265" s="96"/>
      <c r="AH265" s="96"/>
      <c r="AI265" s="95"/>
      <c r="AJ265" s="95"/>
      <c r="AK265" s="95"/>
      <c r="AL265" s="95"/>
      <c r="AM265" s="95"/>
    </row>
    <row r="266" spans="16:77" x14ac:dyDescent="0.3">
      <c r="P266" s="99"/>
      <c r="Q266" s="99"/>
      <c r="R266" s="99"/>
      <c r="S266" s="99"/>
      <c r="T266" s="99"/>
      <c r="U266" s="99"/>
      <c r="V266" s="99"/>
      <c r="W266" s="99"/>
      <c r="X266" s="95"/>
      <c r="Y266" s="95"/>
      <c r="Z266" s="95"/>
      <c r="AA266" s="95"/>
      <c r="AB266" s="95"/>
      <c r="AC266" s="95"/>
      <c r="AD266" s="95"/>
      <c r="AE266" s="95"/>
      <c r="AF266" s="95"/>
      <c r="AG266" s="99"/>
      <c r="AH266" s="99"/>
      <c r="AI266" s="95"/>
      <c r="AJ266" s="95"/>
      <c r="AK266" s="95"/>
      <c r="AL266" s="95"/>
      <c r="AM266" s="95"/>
    </row>
    <row r="267" spans="16:77" x14ac:dyDescent="0.3">
      <c r="P267" s="97"/>
      <c r="Q267" s="97"/>
      <c r="R267" s="97"/>
      <c r="S267" s="97"/>
      <c r="T267" s="97"/>
      <c r="U267" s="97"/>
      <c r="V267" s="97"/>
      <c r="W267" s="97"/>
      <c r="X267" s="95"/>
      <c r="Y267" s="95"/>
      <c r="Z267" s="95"/>
      <c r="AA267" s="95"/>
      <c r="AB267" s="95"/>
      <c r="AC267" s="95"/>
      <c r="AD267" s="95"/>
      <c r="AE267" s="95"/>
      <c r="AF267" s="95"/>
      <c r="AG267" s="95"/>
      <c r="AH267" s="95"/>
      <c r="AI267" s="95"/>
      <c r="AJ267" s="95"/>
      <c r="AK267" s="95"/>
      <c r="AL267" s="95"/>
      <c r="AM267" s="95"/>
    </row>
    <row r="268" spans="16:77" x14ac:dyDescent="0.3">
      <c r="P268" s="99"/>
      <c r="Q268" s="99"/>
      <c r="R268" s="99"/>
      <c r="S268" s="99"/>
      <c r="T268" s="99"/>
      <c r="U268" s="99"/>
      <c r="V268" s="99"/>
      <c r="W268" s="99"/>
      <c r="X268" s="143"/>
      <c r="Y268" s="143"/>
      <c r="Z268" s="143"/>
      <c r="AA268" s="143"/>
      <c r="AB268" s="143"/>
      <c r="AC268" s="143"/>
      <c r="AD268" s="143"/>
      <c r="AE268" s="143"/>
      <c r="AF268" s="143"/>
      <c r="AG268" s="143"/>
      <c r="AH268" s="143"/>
      <c r="AI268" s="143"/>
      <c r="AJ268" s="143"/>
      <c r="AK268" s="143"/>
      <c r="AL268" s="143"/>
      <c r="AM268" s="143"/>
    </row>
    <row r="269" spans="16:77" x14ac:dyDescent="0.3">
      <c r="P269" s="99"/>
      <c r="Q269" s="99"/>
      <c r="R269" s="99"/>
      <c r="S269" s="99"/>
      <c r="T269" s="99"/>
      <c r="U269" s="99"/>
      <c r="V269" s="99"/>
      <c r="W269" s="99"/>
      <c r="X269" s="127"/>
      <c r="Y269" s="127"/>
      <c r="Z269" s="127"/>
      <c r="AA269" s="127"/>
      <c r="AB269" s="127"/>
      <c r="AC269" s="127"/>
      <c r="AD269" s="127"/>
      <c r="AE269" s="127"/>
      <c r="AF269" s="127"/>
      <c r="AG269" s="127"/>
      <c r="AH269" s="144"/>
      <c r="AI269" s="127"/>
      <c r="AJ269" s="127"/>
      <c r="AK269" s="127"/>
      <c r="AL269" s="127"/>
      <c r="AM269" s="127"/>
    </row>
    <row r="270" spans="16:77" x14ac:dyDescent="0.3">
      <c r="P270" s="99"/>
      <c r="Q270" s="99"/>
      <c r="R270" s="99"/>
      <c r="S270" s="99"/>
      <c r="T270" s="99"/>
      <c r="U270" s="99"/>
      <c r="V270" s="99"/>
      <c r="W270" s="99"/>
      <c r="X270" s="127"/>
      <c r="Y270" s="127"/>
      <c r="Z270" s="127"/>
      <c r="AA270" s="127"/>
      <c r="AB270" s="127"/>
      <c r="AC270" s="127"/>
      <c r="AD270" s="127"/>
      <c r="AE270" s="127"/>
      <c r="AF270" s="127"/>
      <c r="AG270" s="127"/>
      <c r="AH270" s="127"/>
      <c r="AI270" s="127"/>
      <c r="AJ270" s="127"/>
      <c r="AK270" s="127"/>
      <c r="AL270" s="127"/>
      <c r="AM270" s="127"/>
    </row>
    <row r="271" spans="16:77" x14ac:dyDescent="0.3">
      <c r="P271" s="99"/>
      <c r="Q271" s="99"/>
      <c r="R271" s="99"/>
      <c r="S271" s="99"/>
      <c r="T271" s="99"/>
      <c r="U271" s="99"/>
      <c r="V271" s="99"/>
      <c r="W271" s="99"/>
      <c r="X271" s="127"/>
      <c r="Y271" s="127"/>
      <c r="Z271" s="127"/>
      <c r="AA271" s="127"/>
      <c r="AB271" s="127"/>
      <c r="AC271" s="127"/>
      <c r="AD271" s="127"/>
      <c r="AE271" s="127"/>
      <c r="AF271" s="127"/>
      <c r="AG271" s="127"/>
      <c r="AH271" s="127"/>
      <c r="AI271" s="127"/>
      <c r="AJ271" s="127"/>
      <c r="AK271" s="127"/>
      <c r="AL271" s="127"/>
      <c r="AM271" s="127"/>
    </row>
    <row r="272" spans="16:77" x14ac:dyDescent="0.3">
      <c r="P272" s="95"/>
      <c r="Q272" s="95"/>
      <c r="R272" s="95"/>
      <c r="S272" s="95"/>
      <c r="T272" s="95"/>
      <c r="U272" s="95"/>
      <c r="V272" s="95"/>
      <c r="W272" s="95"/>
      <c r="X272" s="95"/>
      <c r="Y272" s="95"/>
      <c r="Z272" s="95"/>
      <c r="AA272" s="95"/>
      <c r="AB272" s="95"/>
      <c r="AC272" s="95"/>
      <c r="AD272" s="95"/>
      <c r="AE272" s="95"/>
      <c r="AF272" s="95"/>
      <c r="AG272" s="95"/>
      <c r="AH272" s="95"/>
      <c r="AI272" s="95"/>
      <c r="AJ272" s="95"/>
      <c r="AK272" s="95"/>
      <c r="AL272" s="95"/>
      <c r="AM272" s="95"/>
    </row>
    <row r="273" spans="16:39" x14ac:dyDescent="0.3">
      <c r="P273" s="95"/>
      <c r="Q273" s="95"/>
      <c r="R273" s="95"/>
      <c r="S273" s="95"/>
      <c r="T273" s="95"/>
      <c r="U273" s="95"/>
      <c r="V273" s="95"/>
      <c r="W273" s="95"/>
      <c r="X273" s="95"/>
      <c r="Y273" s="95"/>
      <c r="Z273" s="95"/>
      <c r="AA273" s="95"/>
      <c r="AB273" s="95"/>
      <c r="AC273" s="95"/>
      <c r="AD273" s="95"/>
      <c r="AE273" s="95"/>
      <c r="AF273" s="95"/>
      <c r="AG273" s="95"/>
      <c r="AH273" s="95"/>
      <c r="AI273" s="95"/>
      <c r="AJ273" s="95"/>
      <c r="AK273" s="95"/>
      <c r="AL273" s="95"/>
      <c r="AM273" s="95"/>
    </row>
    <row r="274" spans="16:39" x14ac:dyDescent="0.3">
      <c r="P274" s="96"/>
      <c r="Q274" s="96"/>
      <c r="R274" s="96"/>
      <c r="S274" s="96"/>
      <c r="T274" s="96"/>
      <c r="U274" s="96"/>
      <c r="V274" s="96"/>
      <c r="W274" s="96"/>
      <c r="X274" s="95"/>
      <c r="Y274" s="95"/>
      <c r="Z274" s="95"/>
      <c r="AA274" s="95"/>
      <c r="AB274" s="95"/>
      <c r="AC274" s="95"/>
      <c r="AD274" s="95"/>
      <c r="AE274" s="95"/>
      <c r="AF274" s="95"/>
      <c r="AG274" s="97"/>
      <c r="AH274" s="97"/>
      <c r="AI274" s="97"/>
      <c r="AJ274" s="95"/>
      <c r="AK274" s="95"/>
      <c r="AL274" s="95"/>
      <c r="AM274" s="95"/>
    </row>
    <row r="275" spans="16:39" x14ac:dyDescent="0.3">
      <c r="P275" s="99"/>
      <c r="Q275" s="99"/>
      <c r="R275" s="99"/>
      <c r="S275" s="99"/>
      <c r="T275" s="99"/>
      <c r="U275" s="99"/>
      <c r="V275" s="99"/>
      <c r="W275" s="99"/>
      <c r="X275" s="101"/>
      <c r="Y275" s="95"/>
      <c r="Z275" s="95"/>
      <c r="AA275" s="95"/>
      <c r="AB275" s="95"/>
      <c r="AC275" s="95"/>
      <c r="AD275" s="95"/>
      <c r="AE275" s="95"/>
      <c r="AF275" s="95"/>
      <c r="AG275" s="95"/>
      <c r="AH275" s="95"/>
      <c r="AI275" s="95"/>
      <c r="AJ275" s="95"/>
      <c r="AK275" s="95"/>
      <c r="AL275" s="95"/>
      <c r="AM275" s="95"/>
    </row>
    <row r="276" spans="16:39" x14ac:dyDescent="0.3">
      <c r="P276" s="99"/>
      <c r="Q276" s="99"/>
      <c r="R276" s="99"/>
      <c r="S276" s="99"/>
      <c r="T276" s="99"/>
      <c r="U276" s="99"/>
      <c r="V276" s="99"/>
      <c r="W276" s="99"/>
      <c r="X276" s="101"/>
      <c r="Y276" s="95"/>
      <c r="Z276" s="95"/>
      <c r="AA276" s="95"/>
      <c r="AB276" s="95"/>
      <c r="AC276" s="95"/>
      <c r="AD276" s="95"/>
      <c r="AE276" s="95"/>
      <c r="AF276" s="95"/>
      <c r="AG276" s="95"/>
      <c r="AH276" s="95"/>
      <c r="AI276" s="95"/>
      <c r="AJ276" s="95"/>
      <c r="AK276" s="95"/>
      <c r="AL276" s="95"/>
      <c r="AM276" s="95"/>
    </row>
    <row r="277" spans="16:39" x14ac:dyDescent="0.3">
      <c r="P277" s="99"/>
      <c r="Q277" s="99"/>
      <c r="R277" s="99"/>
      <c r="S277" s="99"/>
      <c r="T277" s="99"/>
      <c r="U277" s="99"/>
      <c r="V277" s="99"/>
      <c r="W277" s="99"/>
      <c r="X277" s="101"/>
      <c r="Y277" s="95"/>
      <c r="Z277" s="95"/>
      <c r="AA277" s="95"/>
      <c r="AB277" s="95"/>
      <c r="AC277" s="95"/>
      <c r="AD277" s="95"/>
      <c r="AE277" s="95"/>
      <c r="AF277" s="95"/>
      <c r="AG277" s="95"/>
      <c r="AH277" s="95"/>
      <c r="AI277" s="95"/>
      <c r="AJ277" s="95"/>
      <c r="AK277" s="95"/>
      <c r="AL277" s="95"/>
      <c r="AM277" s="95"/>
    </row>
    <row r="278" spans="16:39" x14ac:dyDescent="0.3">
      <c r="P278" s="99"/>
      <c r="Q278" s="99"/>
      <c r="R278" s="99"/>
      <c r="S278" s="99"/>
      <c r="T278" s="99"/>
      <c r="U278" s="99"/>
      <c r="V278" s="99"/>
      <c r="W278" s="99"/>
      <c r="X278" s="101"/>
      <c r="Y278" s="95"/>
      <c r="Z278" s="95"/>
      <c r="AA278" s="95"/>
      <c r="AB278" s="95"/>
      <c r="AC278" s="95"/>
      <c r="AD278" s="95"/>
      <c r="AE278" s="95"/>
      <c r="AF278" s="95"/>
      <c r="AG278" s="95"/>
      <c r="AH278" s="95"/>
      <c r="AI278" s="95"/>
      <c r="AJ278" s="95"/>
      <c r="AK278" s="95"/>
      <c r="AL278" s="95"/>
      <c r="AM278" s="95"/>
    </row>
  </sheetData>
  <sheetProtection sort="0" autoFilter="0" pivotTables="0"/>
  <dataConsolidate/>
  <mergeCells count="249">
    <mergeCell ref="N48:N49"/>
    <mergeCell ref="C34:D34"/>
    <mergeCell ref="AA19:AB19"/>
    <mergeCell ref="AA20:AB20"/>
    <mergeCell ref="Z1:AB1"/>
    <mergeCell ref="AA9:AB9"/>
    <mergeCell ref="AA10:AB10"/>
    <mergeCell ref="AA11:AB11"/>
    <mergeCell ref="AA12:AB12"/>
    <mergeCell ref="AA13:AB13"/>
    <mergeCell ref="AA14:AB14"/>
    <mergeCell ref="AA15:AB15"/>
    <mergeCell ref="AA16:AB16"/>
    <mergeCell ref="AA17:AB17"/>
    <mergeCell ref="AA18:AB18"/>
    <mergeCell ref="T6:W6"/>
    <mergeCell ref="M7:N7"/>
    <mergeCell ref="Z147:AA147"/>
    <mergeCell ref="Z148:AA148"/>
    <mergeCell ref="Z149:AA149"/>
    <mergeCell ref="Z137:AA137"/>
    <mergeCell ref="Z138:AA138"/>
    <mergeCell ref="Z139:AA139"/>
    <mergeCell ref="Z140:AA140"/>
    <mergeCell ref="Z141:AA141"/>
    <mergeCell ref="Z142:AA142"/>
    <mergeCell ref="Z143:AA143"/>
    <mergeCell ref="Z144:AA144"/>
    <mergeCell ref="Z145:AA145"/>
    <mergeCell ref="Z129:AA129"/>
    <mergeCell ref="Z130:AA130"/>
    <mergeCell ref="Z131:AA131"/>
    <mergeCell ref="Z132:AA132"/>
    <mergeCell ref="Z133:AA133"/>
    <mergeCell ref="Z134:AA134"/>
    <mergeCell ref="Z135:AA135"/>
    <mergeCell ref="Z136:AA136"/>
    <mergeCell ref="Z146:AA146"/>
    <mergeCell ref="Z120:AA120"/>
    <mergeCell ref="Z121:AA121"/>
    <mergeCell ref="Z122:AA122"/>
    <mergeCell ref="Z123:AA123"/>
    <mergeCell ref="Z124:AA124"/>
    <mergeCell ref="Z125:AA125"/>
    <mergeCell ref="Z126:AA126"/>
    <mergeCell ref="Z127:AA127"/>
    <mergeCell ref="Z128:AA128"/>
    <mergeCell ref="Z111:AA111"/>
    <mergeCell ref="Z112:AA112"/>
    <mergeCell ref="Z113:AA113"/>
    <mergeCell ref="Z114:AA114"/>
    <mergeCell ref="Z115:AA115"/>
    <mergeCell ref="Z116:AA116"/>
    <mergeCell ref="Z117:AA117"/>
    <mergeCell ref="Z118:AA118"/>
    <mergeCell ref="Z119:AA119"/>
    <mergeCell ref="Z102:AA102"/>
    <mergeCell ref="Z103:AA103"/>
    <mergeCell ref="Z104:AA104"/>
    <mergeCell ref="Z105:AA105"/>
    <mergeCell ref="Z106:AA106"/>
    <mergeCell ref="Z107:AA107"/>
    <mergeCell ref="Z108:AA108"/>
    <mergeCell ref="Z109:AA109"/>
    <mergeCell ref="Z110:AA110"/>
    <mergeCell ref="AH231:AK231"/>
    <mergeCell ref="AH224:AK224"/>
    <mergeCell ref="AH225:AK225"/>
    <mergeCell ref="AH226:AK226"/>
    <mergeCell ref="AH227:AK227"/>
    <mergeCell ref="AH228:AK228"/>
    <mergeCell ref="AH229:AK229"/>
    <mergeCell ref="AH230:AK230"/>
    <mergeCell ref="C7:D7"/>
    <mergeCell ref="U50:V50"/>
    <mergeCell ref="U51:V51"/>
    <mergeCell ref="T7:W8"/>
    <mergeCell ref="U48:V48"/>
    <mergeCell ref="U49:V49"/>
    <mergeCell ref="U62:V62"/>
    <mergeCell ref="U63:V63"/>
    <mergeCell ref="U64:V64"/>
    <mergeCell ref="U65:V65"/>
    <mergeCell ref="U66:V66"/>
    <mergeCell ref="U57:V57"/>
    <mergeCell ref="U58:V58"/>
    <mergeCell ref="U59:V59"/>
    <mergeCell ref="U60:V60"/>
    <mergeCell ref="U61:V61"/>
    <mergeCell ref="CH34:CK34"/>
    <mergeCell ref="C33:R33"/>
    <mergeCell ref="S33:X33"/>
    <mergeCell ref="C24:D24"/>
    <mergeCell ref="D213:P213"/>
    <mergeCell ref="D157:P157"/>
    <mergeCell ref="BZ191:CC191"/>
    <mergeCell ref="AM191:AP191"/>
    <mergeCell ref="AQ191:AT191"/>
    <mergeCell ref="AU191:BY191"/>
    <mergeCell ref="AM190:AN190"/>
    <mergeCell ref="AO190:AP190"/>
    <mergeCell ref="AQ190:AR190"/>
    <mergeCell ref="AS190:AT190"/>
    <mergeCell ref="AU190:AV190"/>
    <mergeCell ref="BZ190:CA190"/>
    <mergeCell ref="CB190:CC190"/>
    <mergeCell ref="U52:V52"/>
    <mergeCell ref="U53:V53"/>
    <mergeCell ref="U54:V54"/>
    <mergeCell ref="U55:V55"/>
    <mergeCell ref="U56:V56"/>
    <mergeCell ref="U72:V72"/>
    <mergeCell ref="Z101:AA101"/>
    <mergeCell ref="U73:V73"/>
    <mergeCell ref="U74:V74"/>
    <mergeCell ref="U75:V75"/>
    <mergeCell ref="U76:V76"/>
    <mergeCell ref="U67:V67"/>
    <mergeCell ref="U68:V68"/>
    <mergeCell ref="U69:V69"/>
    <mergeCell ref="U70:V70"/>
    <mergeCell ref="U71:V71"/>
    <mergeCell ref="U82:V82"/>
    <mergeCell ref="U83:V83"/>
    <mergeCell ref="U84:V84"/>
    <mergeCell ref="U85:V85"/>
    <mergeCell ref="U86:V86"/>
    <mergeCell ref="U77:V77"/>
    <mergeCell ref="U78:V78"/>
    <mergeCell ref="U79:V79"/>
    <mergeCell ref="U80:V80"/>
    <mergeCell ref="U81:V81"/>
    <mergeCell ref="U92:V92"/>
    <mergeCell ref="U93:V93"/>
    <mergeCell ref="U94:V94"/>
    <mergeCell ref="U95:V95"/>
    <mergeCell ref="U96:V96"/>
    <mergeCell ref="U87:V87"/>
    <mergeCell ref="U88:V88"/>
    <mergeCell ref="U89:V89"/>
    <mergeCell ref="U90:V90"/>
    <mergeCell ref="U91:V91"/>
    <mergeCell ref="U102:V102"/>
    <mergeCell ref="U103:V103"/>
    <mergeCell ref="U104:V104"/>
    <mergeCell ref="U105:V105"/>
    <mergeCell ref="U106:V106"/>
    <mergeCell ref="U97:V97"/>
    <mergeCell ref="U98:V98"/>
    <mergeCell ref="U99:V99"/>
    <mergeCell ref="U100:V100"/>
    <mergeCell ref="U101:V101"/>
    <mergeCell ref="U112:V112"/>
    <mergeCell ref="U113:V113"/>
    <mergeCell ref="U114:V114"/>
    <mergeCell ref="U115:V115"/>
    <mergeCell ref="U116:V116"/>
    <mergeCell ref="U107:V107"/>
    <mergeCell ref="U108:V108"/>
    <mergeCell ref="U109:V109"/>
    <mergeCell ref="U110:V110"/>
    <mergeCell ref="U111:V111"/>
    <mergeCell ref="U122:V122"/>
    <mergeCell ref="U123:V123"/>
    <mergeCell ref="U124:V124"/>
    <mergeCell ref="U125:V125"/>
    <mergeCell ref="U126:V126"/>
    <mergeCell ref="U117:V117"/>
    <mergeCell ref="U118:V118"/>
    <mergeCell ref="U119:V119"/>
    <mergeCell ref="U120:V120"/>
    <mergeCell ref="U121:V121"/>
    <mergeCell ref="U132:V132"/>
    <mergeCell ref="U133:V133"/>
    <mergeCell ref="U134:V134"/>
    <mergeCell ref="U135:V135"/>
    <mergeCell ref="U136:V136"/>
    <mergeCell ref="U127:V127"/>
    <mergeCell ref="U128:V128"/>
    <mergeCell ref="U129:V129"/>
    <mergeCell ref="U130:V130"/>
    <mergeCell ref="U131:V131"/>
    <mergeCell ref="U147:V147"/>
    <mergeCell ref="U148:V148"/>
    <mergeCell ref="U149:V149"/>
    <mergeCell ref="U142:V142"/>
    <mergeCell ref="U143:V143"/>
    <mergeCell ref="U144:V144"/>
    <mergeCell ref="U145:V145"/>
    <mergeCell ref="U146:V146"/>
    <mergeCell ref="U137:V137"/>
    <mergeCell ref="U138:V138"/>
    <mergeCell ref="U139:V139"/>
    <mergeCell ref="U140:V140"/>
    <mergeCell ref="U141:V141"/>
    <mergeCell ref="Z63:AA63"/>
    <mergeCell ref="Z64:AA64"/>
    <mergeCell ref="Z65:AA65"/>
    <mergeCell ref="Z50:AA50"/>
    <mergeCell ref="Z34:AA34"/>
    <mergeCell ref="Z48:AA48"/>
    <mergeCell ref="Z51:AA51"/>
    <mergeCell ref="Z52:AA52"/>
    <mergeCell ref="Z53:AA53"/>
    <mergeCell ref="Z54:AA54"/>
    <mergeCell ref="Z55:AA55"/>
    <mergeCell ref="Z56:AA56"/>
    <mergeCell ref="Z62:AA62"/>
    <mergeCell ref="Z99:AA99"/>
    <mergeCell ref="Z100:AA100"/>
    <mergeCell ref="Z84:AA84"/>
    <mergeCell ref="Z85:AA85"/>
    <mergeCell ref="Z86:AA86"/>
    <mergeCell ref="Z87:AA87"/>
    <mergeCell ref="Z88:AA88"/>
    <mergeCell ref="Z89:AA89"/>
    <mergeCell ref="Z90:AA90"/>
    <mergeCell ref="Z91:AA91"/>
    <mergeCell ref="Z92:AA92"/>
    <mergeCell ref="Z98:AA98"/>
    <mergeCell ref="Z93:AA93"/>
    <mergeCell ref="Z94:AA94"/>
    <mergeCell ref="Z95:AA95"/>
    <mergeCell ref="Z96:AA96"/>
    <mergeCell ref="Z97:AA97"/>
    <mergeCell ref="Z76:AA76"/>
    <mergeCell ref="Z77:AA77"/>
    <mergeCell ref="Z78:AA78"/>
    <mergeCell ref="Z79:AA79"/>
    <mergeCell ref="Z80:AA80"/>
    <mergeCell ref="Z81:AA81"/>
    <mergeCell ref="Z82:AA82"/>
    <mergeCell ref="Z83:AA83"/>
    <mergeCell ref="T15:W16"/>
    <mergeCell ref="Z75:AA75"/>
    <mergeCell ref="Z66:AA66"/>
    <mergeCell ref="Z67:AA67"/>
    <mergeCell ref="Z68:AA68"/>
    <mergeCell ref="Z69:AA69"/>
    <mergeCell ref="Z70:AA70"/>
    <mergeCell ref="Z71:AA71"/>
    <mergeCell ref="Z72:AA72"/>
    <mergeCell ref="Z73:AA73"/>
    <mergeCell ref="Z74:AA74"/>
    <mergeCell ref="Z57:AA57"/>
    <mergeCell ref="Z58:AA58"/>
    <mergeCell ref="Z59:AA59"/>
    <mergeCell ref="Z60:AA60"/>
    <mergeCell ref="Z61:AA61"/>
  </mergeCells>
  <phoneticPr fontId="68" type="noConversion"/>
  <conditionalFormatting sqref="C31 S48:U49 W48:W49 C157 AA180:AF181 Y182:AF185 Y186:Z186 Y187:AF200 AG192:AH192">
    <cfRule type="cellIs" dxfId="125" priority="134" operator="equal">
      <formula>"Onshore"</formula>
    </cfRule>
    <cfRule type="cellIs" dxfId="124" priority="135" operator="equal">
      <formula>"Onsite"</formula>
    </cfRule>
    <cfRule type="cellIs" dxfId="123" priority="136" operator="equal">
      <formula>"Onsite"</formula>
    </cfRule>
    <cfRule type="cellIs" dxfId="122" priority="137" operator="equal">
      <formula>"Onshore"</formula>
    </cfRule>
  </conditionalFormatting>
  <conditionalFormatting sqref="C48:J49">
    <cfRule type="cellIs" dxfId="121" priority="59" operator="equal">
      <formula>"Onshore"</formula>
    </cfRule>
    <cfRule type="cellIs" dxfId="120" priority="60" operator="equal">
      <formula>"Onsite"</formula>
    </cfRule>
    <cfRule type="cellIs" dxfId="119" priority="61" operator="equal">
      <formula>"Onsite"</formula>
    </cfRule>
    <cfRule type="cellIs" dxfId="118" priority="62" operator="equal">
      <formula>"Onshore"</formula>
    </cfRule>
  </conditionalFormatting>
  <conditionalFormatting sqref="D25:D27">
    <cfRule type="cellIs" dxfId="117" priority="2" operator="equal">
      <formula>"Enter Contingency to see Revenue"</formula>
    </cfRule>
  </conditionalFormatting>
  <conditionalFormatting sqref="D8:J8 D9:D20 E10:J16 F17:J19 E17:E20">
    <cfRule type="expression" dxfId="116" priority="173">
      <formula>$Z$1="Canada"</formula>
    </cfRule>
    <cfRule type="expression" dxfId="115" priority="174">
      <formula>$Z$1="India"</formula>
    </cfRule>
    <cfRule type="expression" dxfId="114" priority="175">
      <formula>$Z$1="US"</formula>
    </cfRule>
    <cfRule type="expression" dxfId="113" priority="176">
      <formula>$Z$1="UK"</formula>
    </cfRule>
  </conditionalFormatting>
  <conditionalFormatting sqref="G7">
    <cfRule type="cellIs" dxfId="112" priority="1" operator="notEqual">
      <formula>""</formula>
    </cfRule>
  </conditionalFormatting>
  <conditionalFormatting sqref="Y193:AF195 CF165:CH166 CG174:CI174 CL174:CM174 CG176:CH179 AT177:CC177 AQ182:CC182 AI189 AM189:CC189">
    <cfRule type="expression" dxfId="111" priority="138">
      <formula>$AI$1="Canada"</formula>
    </cfRule>
  </conditionalFormatting>
  <conditionalFormatting sqref="Z10:Z19 D225:W232">
    <cfRule type="beginsWith" dxfId="110" priority="103" operator="beginsWith" text="[">
      <formula>LEFT(D10,LEN("["))="["</formula>
    </cfRule>
  </conditionalFormatting>
  <conditionalFormatting sqref="AA10:AA20">
    <cfRule type="expression" dxfId="109" priority="177">
      <formula>$P11="%"</formula>
    </cfRule>
  </conditionalFormatting>
  <conditionalFormatting sqref="AC10:AF19">
    <cfRule type="expression" dxfId="108" priority="178">
      <formula>$P11="Hrs"</formula>
    </cfRule>
  </conditionalFormatting>
  <conditionalFormatting sqref="CF165:CH166 CG174:CI174 CL174:CM174 CG176:CH179 AT177:CC177 AQ182:CC182 AI189 AM189:CC189 Y193:AF195">
    <cfRule type="expression" dxfId="107" priority="139">
      <formula>$AI$1="India"</formula>
    </cfRule>
    <cfRule type="expression" dxfId="106" priority="140">
      <formula>$AI$1="US"</formula>
    </cfRule>
    <cfRule type="expression" dxfId="105" priority="141">
      <formula>$AI$1="UK"</formula>
    </cfRule>
  </conditionalFormatting>
  <conditionalFormatting sqref="CH50:CK149">
    <cfRule type="expression" dxfId="104" priority="55">
      <formula>#REF!="Canada"</formula>
    </cfRule>
    <cfRule type="expression" dxfId="103" priority="56">
      <formula>#REF!="India"</formula>
    </cfRule>
    <cfRule type="expression" dxfId="102" priority="57">
      <formula>#REF!="US"</formula>
    </cfRule>
    <cfRule type="expression" dxfId="101" priority="58">
      <formula>#REF!="UK"</formula>
    </cfRule>
  </conditionalFormatting>
  <conditionalFormatting sqref="CK165:CK166">
    <cfRule type="expression" dxfId="100" priority="118">
      <formula>$AI$1="Canada"</formula>
    </cfRule>
    <cfRule type="expression" dxfId="99" priority="119">
      <formula>$AI$1="India"</formula>
    </cfRule>
    <cfRule type="expression" dxfId="98" priority="120">
      <formula>$AI$1="US"</formula>
    </cfRule>
    <cfRule type="expression" dxfId="97" priority="121">
      <formula>$AI$1="UK"</formula>
    </cfRule>
  </conditionalFormatting>
  <dataValidations count="6">
    <dataValidation type="list" allowBlank="1" showInputMessage="1" showErrorMessage="1" sqref="K50:K149" xr:uid="{5CBECA9D-BB2C-420B-9C8F-E9007B4D2DDC}">
      <formula1>INDIRECT(D50)</formula1>
    </dataValidation>
    <dataValidation type="list" allowBlank="1" showInputMessage="1" showErrorMessage="1" sqref="D50:D149 E101:E149" xr:uid="{4B4B76C0-2B61-4471-A8E7-598D1271862E}">
      <formula1>Organizations</formula1>
    </dataValidation>
    <dataValidation type="list" allowBlank="1" showInputMessage="1" showErrorMessage="1" sqref="Q50:Q149" xr:uid="{D32BA988-DB42-48DC-AE3F-285FE8EDFAC3}">
      <formula1>INDIRECT($P50)</formula1>
    </dataValidation>
    <dataValidation type="list" allowBlank="1" showInputMessage="1" showErrorMessage="1" sqref="G50:G149" xr:uid="{4ACCEBA9-F7F9-4AF9-B714-952CB0AA7EFE}">
      <formula1>INDIRECT($F50)</formula1>
    </dataValidation>
    <dataValidation type="list" allowBlank="1" showInputMessage="1" showErrorMessage="1" sqref="I50:J149" xr:uid="{E0D9BA86-CDBB-42B5-974A-23DF09B2CE88}">
      <formula1>INDIRECT($H50)</formula1>
    </dataValidation>
    <dataValidation type="list" allowBlank="1" showInputMessage="1" showErrorMessage="1" sqref="N50:N149" xr:uid="{99E9AAC2-4842-4345-B3A5-BDB52ED3C0FE}">
      <formula1>INDIRECT($D$17)</formula1>
    </dataValidation>
  </dataValidations>
  <pageMargins left="0.7" right="0.7" top="0.75" bottom="0.75" header="0.3" footer="0.3"/>
  <ignoredErrors>
    <ignoredError sqref="D8:D9 AG101:CF149 D25 D27:D30 AG50" unlockedFormula="1"/>
  </ignoredErrors>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xr:uid="{9B54F9B7-FFD9-46C4-B88E-B6087856D61A}">
          <x14:formula1>
            <xm:f>'Standard Rate Cards'!#REF!</xm:f>
          </x14:formula1>
          <xm:sqref>W103:W149 S103:U149</xm:sqref>
        </x14:dataValidation>
        <x14:dataValidation type="list" allowBlank="1" showInputMessage="1" showErrorMessage="1" xr:uid="{04A4567D-5D5B-5F4F-86FA-836EA78C0115}">
          <x14:formula1>
            <xm:f>'Standard Rate Cards'!$Q$8:$Q$20</xm:f>
          </x14:formula1>
          <xm:sqref>E50:E100 F50:F149</xm:sqref>
        </x14:dataValidation>
        <x14:dataValidation type="list" allowBlank="1" showInputMessage="1" showErrorMessage="1" xr:uid="{1CDCB16C-1EC7-4137-B39C-05F413A9C6DB}">
          <x14:formula1>
            <xm:f>'Standard Rate Cards'!$P$8:$P$10</xm:f>
          </x14:formula1>
          <xm:sqref>W50:W100 V51:V52 T50:U100</xm:sqref>
        </x14:dataValidation>
        <x14:dataValidation type="list" allowBlank="1" showInputMessage="1" showErrorMessage="1" xr:uid="{23AF3FC5-8680-2140-A1DF-DFFDD0132368}">
          <x14:formula1>
            <xm:f>'Standard Rate Cards'!$AD$8:$AD$12</xm:f>
          </x14:formula1>
          <xm:sqref>M8</xm:sqref>
        </x14:dataValidation>
        <x14:dataValidation type="list" allowBlank="1" showInputMessage="1" showErrorMessage="1" xr:uid="{75A17264-CD07-40D6-B38A-7E8C2743AC5F}">
          <x14:formula1>
            <xm:f>'Standard Rate Cards'!$AH$8:$AH$38</xm:f>
          </x14:formula1>
          <xm:sqref>S50:S100</xm:sqref>
        </x14:dataValidation>
        <x14:dataValidation type="list" allowBlank="1" showInputMessage="1" showErrorMessage="1" xr:uid="{FC7EBCB5-DF6A-4348-9786-CDB02477C8B8}">
          <x14:formula1>
            <xm:f>IF($D$15="Consulting",$M$11:$M$21,'Standard Rate Cards'!$Y$9:$Y$13)</xm:f>
          </x14:formula1>
          <xm:sqref>W101:W102 S101:U102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0199-881A-44BB-928A-BE8E8D2C1496}">
  <sheetPr>
    <tabColor theme="3" tint="0.89999084444715716"/>
  </sheetPr>
  <dimension ref="A1:A47"/>
  <sheetViews>
    <sheetView topLeftCell="A22" workbookViewId="0">
      <selection activeCell="K56" sqref="K56"/>
    </sheetView>
  </sheetViews>
  <sheetFormatPr defaultRowHeight="14.4" outlineLevelRow="1" x14ac:dyDescent="0.3"/>
  <sheetData>
    <row r="1" spans="1:1" hidden="1" outlineLevel="1" x14ac:dyDescent="0.3"/>
    <row r="2" spans="1:1" hidden="1" outlineLevel="1" x14ac:dyDescent="0.3">
      <c r="A2" t="s">
        <v>2355</v>
      </c>
    </row>
    <row r="3" spans="1:1" hidden="1" outlineLevel="1" x14ac:dyDescent="0.3"/>
    <row r="4" spans="1:1" hidden="1" outlineLevel="1" x14ac:dyDescent="0.3"/>
    <row r="5" spans="1:1" hidden="1" outlineLevel="1" x14ac:dyDescent="0.3"/>
    <row r="6" spans="1:1" hidden="1" outlineLevel="1" x14ac:dyDescent="0.3"/>
    <row r="7" spans="1:1" hidden="1" outlineLevel="1" x14ac:dyDescent="0.3"/>
    <row r="8" spans="1:1" hidden="1" outlineLevel="1" x14ac:dyDescent="0.3"/>
    <row r="9" spans="1:1" hidden="1" outlineLevel="1" x14ac:dyDescent="0.3"/>
    <row r="10" spans="1:1" hidden="1" outlineLevel="1" x14ac:dyDescent="0.3"/>
    <row r="11" spans="1:1" hidden="1" outlineLevel="1" x14ac:dyDescent="0.3"/>
    <row r="12" spans="1:1" hidden="1" outlineLevel="1" x14ac:dyDescent="0.3"/>
    <row r="13" spans="1:1" hidden="1" outlineLevel="1" x14ac:dyDescent="0.3"/>
    <row r="14" spans="1:1" hidden="1" outlineLevel="1" x14ac:dyDescent="0.3"/>
    <row r="15" spans="1:1" hidden="1" outlineLevel="1" x14ac:dyDescent="0.3"/>
    <row r="16" spans="1:1" hidden="1" outlineLevel="1" x14ac:dyDescent="0.3"/>
    <row r="17" spans="1:1" hidden="1" outlineLevel="1" x14ac:dyDescent="0.3"/>
    <row r="18" spans="1:1" hidden="1" outlineLevel="1" x14ac:dyDescent="0.3"/>
    <row r="19" spans="1:1" hidden="1" outlineLevel="1" x14ac:dyDescent="0.3"/>
    <row r="20" spans="1:1" hidden="1" outlineLevel="1" x14ac:dyDescent="0.3"/>
    <row r="21" spans="1:1" hidden="1" outlineLevel="1" x14ac:dyDescent="0.3"/>
    <row r="22" spans="1:1" collapsed="1" x14ac:dyDescent="0.3"/>
    <row r="24" spans="1:1" hidden="1" outlineLevel="1" x14ac:dyDescent="0.3"/>
    <row r="25" spans="1:1" hidden="1" outlineLevel="1" x14ac:dyDescent="0.3">
      <c r="A25" t="s">
        <v>2356</v>
      </c>
    </row>
    <row r="26" spans="1:1" hidden="1" outlineLevel="1" x14ac:dyDescent="0.3"/>
    <row r="27" spans="1:1" hidden="1" outlineLevel="1" x14ac:dyDescent="0.3"/>
    <row r="28" spans="1:1" hidden="1" outlineLevel="1" x14ac:dyDescent="0.3"/>
    <row r="29" spans="1:1" hidden="1" outlineLevel="1" x14ac:dyDescent="0.3"/>
    <row r="30" spans="1:1" hidden="1" outlineLevel="1" x14ac:dyDescent="0.3"/>
    <row r="31" spans="1:1" hidden="1" outlineLevel="1" x14ac:dyDescent="0.3"/>
    <row r="32" spans="1:1" hidden="1" outlineLevel="1" x14ac:dyDescent="0.3"/>
    <row r="33" hidden="1" outlineLevel="1" x14ac:dyDescent="0.3"/>
    <row r="34" hidden="1" outlineLevel="1" x14ac:dyDescent="0.3"/>
    <row r="35" hidden="1" outlineLevel="1" x14ac:dyDescent="0.3"/>
    <row r="36" hidden="1" outlineLevel="1" x14ac:dyDescent="0.3"/>
    <row r="37" hidden="1" outlineLevel="1" x14ac:dyDescent="0.3"/>
    <row r="38" hidden="1" outlineLevel="1" x14ac:dyDescent="0.3"/>
    <row r="39" hidden="1" outlineLevel="1" x14ac:dyDescent="0.3"/>
    <row r="40" hidden="1" outlineLevel="1" x14ac:dyDescent="0.3"/>
    <row r="41" hidden="1" outlineLevel="1" x14ac:dyDescent="0.3"/>
    <row r="42" hidden="1" outlineLevel="1" x14ac:dyDescent="0.3"/>
    <row r="43" hidden="1" outlineLevel="1" x14ac:dyDescent="0.3"/>
    <row r="44" hidden="1" outlineLevel="1" x14ac:dyDescent="0.3"/>
    <row r="45" hidden="1" outlineLevel="1" x14ac:dyDescent="0.3"/>
    <row r="46" hidden="1" outlineLevel="1" x14ac:dyDescent="0.3"/>
    <row r="47" collapsed="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tabColor theme="3" tint="0.89999084444715716"/>
  </sheetPr>
  <dimension ref="B2:H80"/>
  <sheetViews>
    <sheetView showGridLines="0" zoomScale="75" zoomScaleNormal="75" workbookViewId="0">
      <selection activeCell="B11" sqref="B11:E13"/>
    </sheetView>
  </sheetViews>
  <sheetFormatPr defaultRowHeight="14.4" x14ac:dyDescent="0.3"/>
  <cols>
    <col min="1" max="1" width="6.109375" customWidth="1"/>
    <col min="2" max="2" width="35" bestFit="1" customWidth="1"/>
    <col min="3" max="3" width="34" customWidth="1"/>
    <col min="4" max="4" width="23.109375" bestFit="1" customWidth="1"/>
    <col min="5" max="5" width="24.6640625" bestFit="1" customWidth="1"/>
    <col min="6" max="6" width="15.77734375" customWidth="1"/>
    <col min="7" max="7" width="24.77734375" bestFit="1" customWidth="1"/>
    <col min="8" max="8" width="20.5546875" bestFit="1" customWidth="1"/>
    <col min="9" max="9" width="9" bestFit="1" customWidth="1"/>
  </cols>
  <sheetData>
    <row r="2" spans="2:8" ht="22.2" x14ac:dyDescent="0.3">
      <c r="B2" s="1525" t="s">
        <v>2365</v>
      </c>
      <c r="C2" s="1526"/>
      <c r="D2" s="1526"/>
      <c r="E2" s="1526"/>
      <c r="F2" s="1526"/>
      <c r="G2" s="1526"/>
      <c r="H2" s="1526"/>
    </row>
    <row r="4" spans="2:8" ht="15.45" customHeight="1" x14ac:dyDescent="0.3">
      <c r="B4" s="1679" t="s">
        <v>2366</v>
      </c>
      <c r="C4" s="1679"/>
      <c r="D4" s="1679"/>
    </row>
    <row r="5" spans="2:8" ht="14.55" customHeight="1" x14ac:dyDescent="0.3">
      <c r="B5" s="1679"/>
      <c r="C5" s="1679"/>
      <c r="D5" s="1679"/>
    </row>
    <row r="6" spans="2:8" x14ac:dyDescent="0.3">
      <c r="B6" s="1679"/>
      <c r="C6" s="1679"/>
      <c r="D6" s="1679"/>
    </row>
    <row r="9" spans="2:8" ht="17.399999999999999" x14ac:dyDescent="0.3">
      <c r="B9" s="1528" t="s">
        <v>2369</v>
      </c>
      <c r="C9" s="935"/>
      <c r="D9" s="935"/>
      <c r="E9" s="935"/>
      <c r="F9" s="935"/>
      <c r="G9" s="935"/>
      <c r="H9" s="935"/>
    </row>
    <row r="10" spans="2:8" ht="9" customHeight="1" x14ac:dyDescent="0.3">
      <c r="B10" s="1507"/>
    </row>
    <row r="11" spans="2:8" ht="28.95" customHeight="1" x14ac:dyDescent="0.3">
      <c r="B11" s="1678" t="s">
        <v>2368</v>
      </c>
      <c r="C11" s="1678"/>
      <c r="D11" s="1678"/>
      <c r="E11" s="1678"/>
    </row>
    <row r="12" spans="2:8" ht="15" customHeight="1" x14ac:dyDescent="0.3">
      <c r="B12" s="1678"/>
      <c r="C12" s="1678"/>
      <c r="D12" s="1678"/>
      <c r="E12" s="1678"/>
    </row>
    <row r="13" spans="2:8" ht="15" customHeight="1" x14ac:dyDescent="0.3">
      <c r="B13" s="1678"/>
      <c r="C13" s="1678"/>
      <c r="D13" s="1678"/>
      <c r="E13" s="1678"/>
    </row>
    <row r="14" spans="2:8" ht="15" thickBot="1" x14ac:dyDescent="0.35">
      <c r="B14" s="138"/>
      <c r="C14" s="138"/>
      <c r="D14" s="138"/>
      <c r="E14" s="138"/>
    </row>
    <row r="15" spans="2:8" ht="15" thickBot="1" x14ac:dyDescent="0.35">
      <c r="B15" s="1680" t="s">
        <v>365</v>
      </c>
      <c r="C15" s="1681"/>
      <c r="D15" s="1681"/>
      <c r="E15" s="1681"/>
      <c r="F15" s="1682"/>
      <c r="G15" s="22"/>
      <c r="H15" s="22"/>
    </row>
    <row r="16" spans="2:8" ht="25.8" thickTop="1" thickBot="1" x14ac:dyDescent="0.35">
      <c r="B16" s="446" t="s">
        <v>323</v>
      </c>
      <c r="C16" s="447" t="s">
        <v>366</v>
      </c>
      <c r="D16" s="641" t="s">
        <v>2367</v>
      </c>
      <c r="E16" s="448" t="s">
        <v>367</v>
      </c>
      <c r="F16" s="449" t="s">
        <v>221</v>
      </c>
      <c r="G16" s="215"/>
      <c r="H16" s="584"/>
    </row>
    <row r="17" spans="2:8" ht="31.05" customHeight="1" thickBot="1" x14ac:dyDescent="0.35">
      <c r="B17" s="1510">
        <f>('2. Pricing &amp; Import'!CH152-'2. Pricing &amp; Import'!CI152)/'2. Pricing &amp; Import'!CH152</f>
        <v>0.45782122905027933</v>
      </c>
      <c r="C17" s="1508" t="s">
        <v>10</v>
      </c>
      <c r="D17" s="1511">
        <v>0.5</v>
      </c>
      <c r="E17" s="487">
        <f>IFERROR(IF(D17&lt;&gt;"Manual Entry",(B17-D17),(C17-D17)),"")</f>
        <v>-4.2178770949720668E-2</v>
      </c>
      <c r="F17" s="1509">
        <f>'2. Pricing &amp; Import'!CH152/'2. Pricing &amp; Import'!Y49</f>
        <v>159.82142857142858</v>
      </c>
      <c r="G17" s="215"/>
      <c r="H17" s="585"/>
    </row>
    <row r="18" spans="2:8" ht="15" thickBot="1" x14ac:dyDescent="0.35">
      <c r="B18" s="1683"/>
      <c r="C18" s="1683"/>
      <c r="D18" s="1683"/>
      <c r="E18" s="1683"/>
      <c r="F18" s="1683"/>
      <c r="G18" s="274"/>
      <c r="H18" s="274"/>
    </row>
    <row r="19" spans="2:8" ht="15" thickBot="1" x14ac:dyDescent="0.35">
      <c r="B19" s="1684" t="s">
        <v>369</v>
      </c>
      <c r="C19" s="1685"/>
      <c r="D19" s="1685"/>
      <c r="E19" s="1685"/>
      <c r="F19" s="1685"/>
      <c r="G19" s="1685"/>
      <c r="H19" s="1686"/>
    </row>
    <row r="20" spans="2:8" ht="15" thickTop="1" x14ac:dyDescent="0.3">
      <c r="B20" s="451" t="s">
        <v>323</v>
      </c>
      <c r="C20" s="1107" t="s">
        <v>1847</v>
      </c>
      <c r="D20" s="1107" t="s">
        <v>1847</v>
      </c>
      <c r="E20" s="1107">
        <v>0.43</v>
      </c>
      <c r="F20" s="1107">
        <v>0.45</v>
      </c>
      <c r="G20" s="1107">
        <v>0.5</v>
      </c>
      <c r="H20" s="1108">
        <v>0.55000000000000004</v>
      </c>
    </row>
    <row r="21" spans="2:8" x14ac:dyDescent="0.3">
      <c r="B21" s="452" t="s">
        <v>370</v>
      </c>
      <c r="C21" s="628" t="str">
        <f>IFERROR(($F$11)/(1-C20)+$F$13,"")</f>
        <v/>
      </c>
      <c r="D21" s="628" t="str">
        <f>IFERROR(($F$11)/(1-D20)+$F$13,"")</f>
        <v/>
      </c>
      <c r="E21" s="628">
        <f>('4. Financial Summary &amp; Totals'!$C$44)/(1-E20)+'4. Financial Summary &amp; Totals'!$C$46</f>
        <v>340526.31578947365</v>
      </c>
      <c r="F21" s="628">
        <f>('4. Financial Summary &amp; Totals'!$C$44)/(1-F20)+'4. Financial Summary &amp; Totals'!$C$46</f>
        <v>352909.09090909088</v>
      </c>
      <c r="G21" s="628">
        <f>('4. Financial Summary &amp; Totals'!$C$44)/(1-G20)+'4. Financial Summary &amp; Totals'!$C$46</f>
        <v>388200</v>
      </c>
      <c r="H21" s="628">
        <f>('4. Financial Summary &amp; Totals'!$C$44)/(1-H20)+'4. Financial Summary &amp; Totals'!$C$46</f>
        <v>431333.33333333337</v>
      </c>
    </row>
    <row r="22" spans="2:8" x14ac:dyDescent="0.3">
      <c r="B22" s="452" t="s">
        <v>371</v>
      </c>
      <c r="C22" s="629" t="str">
        <f>C21</f>
        <v/>
      </c>
      <c r="D22" s="629" t="str">
        <f>D21</f>
        <v/>
      </c>
      <c r="E22" s="629">
        <f>E21</f>
        <v>340526.31578947365</v>
      </c>
      <c r="F22" s="629">
        <f t="shared" ref="F22:H22" si="0">F21</f>
        <v>352909.09090909088</v>
      </c>
      <c r="G22" s="629">
        <f t="shared" si="0"/>
        <v>388200</v>
      </c>
      <c r="H22" s="630">
        <f t="shared" si="0"/>
        <v>431333.33333333337</v>
      </c>
    </row>
    <row r="23" spans="2:8" ht="15" thickBot="1" x14ac:dyDescent="0.35">
      <c r="B23" s="453" t="s">
        <v>372</v>
      </c>
      <c r="C23" s="631">
        <f t="shared" ref="C23:H23" si="1">ROUNDUP(IFERROR((C21-$F$13)/$I$16, 0), 0)</f>
        <v>0</v>
      </c>
      <c r="D23" s="631">
        <f t="shared" si="1"/>
        <v>0</v>
      </c>
      <c r="E23" s="631">
        <f t="shared" si="1"/>
        <v>0</v>
      </c>
      <c r="F23" s="631">
        <f t="shared" si="1"/>
        <v>0</v>
      </c>
      <c r="G23" s="631">
        <f t="shared" si="1"/>
        <v>0</v>
      </c>
      <c r="H23" s="632">
        <f t="shared" si="1"/>
        <v>0</v>
      </c>
    </row>
    <row r="25" spans="2:8" ht="14.55" customHeight="1" x14ac:dyDescent="0.3">
      <c r="B25" s="1678" t="s">
        <v>2388</v>
      </c>
      <c r="C25" s="1678"/>
      <c r="D25" s="1678"/>
      <c r="E25" s="1678"/>
      <c r="F25" s="1678"/>
      <c r="G25" s="1556"/>
      <c r="H25" s="1556"/>
    </row>
    <row r="26" spans="2:8" ht="14.55" customHeight="1" x14ac:dyDescent="0.3">
      <c r="B26" s="1678"/>
      <c r="C26" s="1678"/>
      <c r="D26" s="1678"/>
      <c r="E26" s="1678"/>
      <c r="F26" s="1678"/>
      <c r="G26" s="1556"/>
      <c r="H26" s="1556"/>
    </row>
    <row r="27" spans="2:8" ht="19.05" customHeight="1" x14ac:dyDescent="0.3">
      <c r="B27" s="1678"/>
      <c r="C27" s="1678"/>
      <c r="D27" s="1678"/>
      <c r="E27" s="1678"/>
      <c r="F27" s="1678"/>
      <c r="G27" s="1527"/>
      <c r="H27" s="1527"/>
    </row>
    <row r="29" spans="2:8" ht="17.399999999999999" x14ac:dyDescent="0.3">
      <c r="B29" s="1528" t="s">
        <v>2335</v>
      </c>
      <c r="C29" s="935"/>
      <c r="D29" s="935"/>
      <c r="E29" s="935"/>
      <c r="F29" s="935"/>
      <c r="G29" s="935"/>
      <c r="H29" s="935"/>
    </row>
    <row r="30" spans="2:8" x14ac:dyDescent="0.3">
      <c r="B30" s="1489"/>
      <c r="C30" s="1489"/>
      <c r="D30" s="1489"/>
      <c r="E30" s="1489"/>
      <c r="F30" s="1489"/>
      <c r="G30" s="1489"/>
    </row>
    <row r="31" spans="2:8" x14ac:dyDescent="0.3">
      <c r="B31" s="1671" t="s">
        <v>2337</v>
      </c>
      <c r="C31" s="1671"/>
      <c r="D31" s="1489"/>
      <c r="E31" s="1671" t="s">
        <v>2338</v>
      </c>
      <c r="F31" s="1671"/>
      <c r="G31" s="1489"/>
    </row>
    <row r="32" spans="2:8" x14ac:dyDescent="0.3">
      <c r="B32" s="1489" t="s">
        <v>2339</v>
      </c>
      <c r="C32" s="1538">
        <f>'2. Pricing &amp; Import'!D25</f>
        <v>358000</v>
      </c>
      <c r="D32" s="1489"/>
      <c r="E32" s="1489" t="s">
        <v>2339</v>
      </c>
      <c r="F32" s="1538">
        <f>'2. Pricing &amp; Import'!D25</f>
        <v>358000</v>
      </c>
      <c r="G32" s="1489"/>
    </row>
    <row r="33" spans="2:8" x14ac:dyDescent="0.3">
      <c r="B33" s="1489" t="s">
        <v>2340</v>
      </c>
      <c r="C33" s="1539" t="s">
        <v>10</v>
      </c>
      <c r="D33" s="1489"/>
      <c r="E33" s="1489" t="s">
        <v>2341</v>
      </c>
      <c r="F33" s="1540" t="s">
        <v>10</v>
      </c>
      <c r="G33" s="1489"/>
    </row>
    <row r="34" spans="2:8" x14ac:dyDescent="0.3">
      <c r="B34" s="1489" t="s">
        <v>2341</v>
      </c>
      <c r="C34" s="1541" t="str">
        <f>IFERROR(C32*(1+C33),"")</f>
        <v/>
      </c>
      <c r="D34" s="1489"/>
      <c r="E34" s="1489" t="s">
        <v>2104</v>
      </c>
      <c r="F34" s="1542" t="str">
        <f>IFERROR((F33/F32)-1,"")</f>
        <v/>
      </c>
      <c r="G34" s="1489"/>
    </row>
    <row r="35" spans="2:8" x14ac:dyDescent="0.3">
      <c r="B35" s="1489"/>
      <c r="C35" s="1489"/>
      <c r="D35" s="1489"/>
      <c r="E35" s="1489"/>
      <c r="F35" s="1489"/>
      <c r="G35" s="1489"/>
    </row>
    <row r="36" spans="2:8" x14ac:dyDescent="0.3">
      <c r="B36" s="1489"/>
      <c r="C36" s="1489"/>
      <c r="D36" s="1489"/>
      <c r="E36" s="1489"/>
      <c r="F36" s="1489"/>
      <c r="G36" s="1489"/>
    </row>
    <row r="37" spans="2:8" x14ac:dyDescent="0.3">
      <c r="B37" s="1489" t="s">
        <v>2387</v>
      </c>
      <c r="C37" s="1489">
        <v>0</v>
      </c>
      <c r="D37" s="1489"/>
      <c r="E37" s="1489"/>
      <c r="F37" s="1489"/>
      <c r="G37" s="1489"/>
    </row>
    <row r="38" spans="2:8" x14ac:dyDescent="0.3">
      <c r="B38" s="1489"/>
      <c r="C38" s="1489"/>
      <c r="D38" s="1489"/>
      <c r="E38" s="1489"/>
      <c r="F38" s="1489"/>
      <c r="G38" s="1489"/>
    </row>
    <row r="39" spans="2:8" x14ac:dyDescent="0.3">
      <c r="B39" s="1489"/>
      <c r="C39" s="1489"/>
      <c r="D39" s="1489"/>
      <c r="E39" s="1489"/>
      <c r="F39" s="1489"/>
      <c r="G39" s="1489"/>
    </row>
    <row r="42" spans="2:8" ht="17.399999999999999" x14ac:dyDescent="0.3">
      <c r="B42" s="1528" t="s">
        <v>2336</v>
      </c>
      <c r="C42" s="935"/>
      <c r="D42" s="935"/>
      <c r="E42" s="935"/>
      <c r="F42" s="935"/>
      <c r="G42" s="935"/>
      <c r="H42" s="935"/>
    </row>
    <row r="43" spans="2:8" ht="15" thickBot="1" x14ac:dyDescent="0.35"/>
    <row r="44" spans="2:8" x14ac:dyDescent="0.3">
      <c r="B44" s="1676" t="s">
        <v>1630</v>
      </c>
      <c r="C44" s="1677"/>
    </row>
    <row r="45" spans="2:8" x14ac:dyDescent="0.3">
      <c r="B45" s="1063" t="s">
        <v>219</v>
      </c>
      <c r="C45" s="1062">
        <f>D38</f>
        <v>0</v>
      </c>
    </row>
    <row r="46" spans="2:8" x14ac:dyDescent="0.3">
      <c r="B46" s="1064" t="s">
        <v>1626</v>
      </c>
      <c r="C46" s="1094">
        <v>0.1</v>
      </c>
    </row>
    <row r="47" spans="2:8" x14ac:dyDescent="0.3">
      <c r="B47" s="1064" t="s">
        <v>1627</v>
      </c>
      <c r="C47" s="1092" t="s">
        <v>10</v>
      </c>
    </row>
    <row r="48" spans="2:8" ht="15" thickBot="1" x14ac:dyDescent="0.35">
      <c r="B48" s="1065" t="s">
        <v>1628</v>
      </c>
      <c r="C48" s="1069">
        <f>IFERROR(IF(C46="Manual Entry",C47,(C45*C46)),"")</f>
        <v>0</v>
      </c>
    </row>
    <row r="52" spans="2:8" ht="17.399999999999999" x14ac:dyDescent="0.3">
      <c r="B52" s="1528" t="s">
        <v>2370</v>
      </c>
      <c r="C52" s="1033"/>
      <c r="D52" s="1033"/>
      <c r="E52" s="1031"/>
      <c r="F52" s="1031"/>
      <c r="G52" s="1031"/>
      <c r="H52" s="306"/>
    </row>
    <row r="53" spans="2:8" ht="15" thickBot="1" x14ac:dyDescent="0.35">
      <c r="B53" s="260"/>
      <c r="C53" s="256"/>
      <c r="D53" s="256"/>
      <c r="E53" s="295"/>
    </row>
    <row r="54" spans="2:8" x14ac:dyDescent="0.3">
      <c r="B54" s="1674" t="s">
        <v>1838</v>
      </c>
      <c r="C54" s="1675"/>
      <c r="D54" s="530" t="s">
        <v>356</v>
      </c>
    </row>
    <row r="55" spans="2:8" x14ac:dyDescent="0.3">
      <c r="B55" s="301" t="s">
        <v>357</v>
      </c>
      <c r="C55" s="1074">
        <f>F9</f>
        <v>0</v>
      </c>
      <c r="D55" s="1073"/>
    </row>
    <row r="56" spans="2:8" x14ac:dyDescent="0.3">
      <c r="B56" s="239" t="s">
        <v>359</v>
      </c>
      <c r="C56" s="1072" t="s">
        <v>10</v>
      </c>
      <c r="D56" s="1036" t="s">
        <v>358</v>
      </c>
    </row>
    <row r="57" spans="2:8" x14ac:dyDescent="0.3">
      <c r="B57" s="239" t="s">
        <v>360</v>
      </c>
      <c r="C57" s="1072" t="s">
        <v>10</v>
      </c>
      <c r="D57" s="1036" t="s">
        <v>358</v>
      </c>
    </row>
    <row r="58" spans="2:8" x14ac:dyDescent="0.3">
      <c r="B58" s="239" t="s">
        <v>361</v>
      </c>
      <c r="C58" s="1072" t="s">
        <v>10</v>
      </c>
      <c r="D58" s="1036" t="s">
        <v>358</v>
      </c>
    </row>
    <row r="59" spans="2:8" ht="15" thickBot="1" x14ac:dyDescent="0.35">
      <c r="B59" s="1535" t="s">
        <v>362</v>
      </c>
      <c r="C59" s="1536" t="s">
        <v>10</v>
      </c>
      <c r="D59" s="1537" t="s">
        <v>358</v>
      </c>
    </row>
    <row r="60" spans="2:8" x14ac:dyDescent="0.3">
      <c r="B60" s="1529"/>
      <c r="C60" s="1530"/>
      <c r="D60" s="1531"/>
    </row>
    <row r="61" spans="2:8" ht="17.399999999999999" x14ac:dyDescent="0.3">
      <c r="B61" s="1528" t="s">
        <v>2371</v>
      </c>
      <c r="C61" s="1033"/>
      <c r="D61" s="1033"/>
      <c r="E61" s="1031"/>
      <c r="F61" s="1031"/>
      <c r="G61" s="1031"/>
    </row>
    <row r="62" spans="2:8" ht="15" thickBot="1" x14ac:dyDescent="0.35"/>
    <row r="63" spans="2:8" x14ac:dyDescent="0.3">
      <c r="B63" s="1532" t="s">
        <v>363</v>
      </c>
      <c r="C63" s="1533"/>
      <c r="D63" s="1534"/>
    </row>
    <row r="64" spans="2:8" x14ac:dyDescent="0.3">
      <c r="B64" s="450" t="s">
        <v>10</v>
      </c>
      <c r="C64" s="746" t="s">
        <v>10</v>
      </c>
      <c r="D64" s="1036" t="s">
        <v>358</v>
      </c>
    </row>
    <row r="65" spans="2:7" x14ac:dyDescent="0.3">
      <c r="B65" s="299" t="s">
        <v>10</v>
      </c>
      <c r="C65" s="745" t="s">
        <v>10</v>
      </c>
      <c r="D65" s="1036" t="s">
        <v>358</v>
      </c>
    </row>
    <row r="66" spans="2:7" x14ac:dyDescent="0.3">
      <c r="B66" s="300" t="s">
        <v>10</v>
      </c>
      <c r="C66" s="745" t="s">
        <v>10</v>
      </c>
      <c r="D66" s="1036" t="s">
        <v>358</v>
      </c>
    </row>
    <row r="67" spans="2:7" ht="15" thickBot="1" x14ac:dyDescent="0.35">
      <c r="B67" s="531" t="s">
        <v>364</v>
      </c>
      <c r="C67" s="1071">
        <f>SUM(C64:C66,C55:C59)</f>
        <v>0</v>
      </c>
      <c r="D67" s="747"/>
    </row>
    <row r="70" spans="2:7" ht="17.399999999999999" x14ac:dyDescent="0.3">
      <c r="B70" s="1528" t="s">
        <v>2372</v>
      </c>
      <c r="C70" s="1033"/>
      <c r="D70" s="1033"/>
      <c r="E70" s="1031"/>
      <c r="F70" s="1031"/>
      <c r="G70" s="1031"/>
    </row>
    <row r="71" spans="2:7" ht="15" thickBot="1" x14ac:dyDescent="0.35"/>
    <row r="72" spans="2:7" x14ac:dyDescent="0.3">
      <c r="B72" s="1672" t="s">
        <v>355</v>
      </c>
      <c r="C72" s="1673"/>
    </row>
    <row r="73" spans="2:7" x14ac:dyDescent="0.3">
      <c r="B73" s="1669" t="s">
        <v>330</v>
      </c>
      <c r="C73" s="1670"/>
    </row>
    <row r="74" spans="2:7" x14ac:dyDescent="0.3">
      <c r="B74" s="1669"/>
      <c r="C74" s="1670"/>
    </row>
    <row r="75" spans="2:7" x14ac:dyDescent="0.3">
      <c r="B75" s="1669"/>
      <c r="C75" s="1670"/>
    </row>
    <row r="76" spans="2:7" x14ac:dyDescent="0.3">
      <c r="B76" s="1669"/>
      <c r="C76" s="1670"/>
    </row>
    <row r="77" spans="2:7" x14ac:dyDescent="0.3">
      <c r="B77" s="1669"/>
      <c r="C77" s="1670"/>
    </row>
    <row r="78" spans="2:7" x14ac:dyDescent="0.3">
      <c r="B78" s="1669"/>
      <c r="C78" s="1670"/>
    </row>
    <row r="79" spans="2:7" x14ac:dyDescent="0.3">
      <c r="B79" s="1669"/>
      <c r="C79" s="1670"/>
    </row>
    <row r="80" spans="2:7" x14ac:dyDescent="0.3">
      <c r="B80" s="1669"/>
      <c r="C80" s="1670"/>
    </row>
  </sheetData>
  <mergeCells count="19">
    <mergeCell ref="B25:F27"/>
    <mergeCell ref="B4:D6"/>
    <mergeCell ref="B11:E13"/>
    <mergeCell ref="B15:F15"/>
    <mergeCell ref="B18:F18"/>
    <mergeCell ref="B19:H19"/>
    <mergeCell ref="B78:C78"/>
    <mergeCell ref="B79:C79"/>
    <mergeCell ref="B80:C80"/>
    <mergeCell ref="B31:C31"/>
    <mergeCell ref="E31:F31"/>
    <mergeCell ref="B73:C73"/>
    <mergeCell ref="B74:C74"/>
    <mergeCell ref="B75:C75"/>
    <mergeCell ref="B76:C76"/>
    <mergeCell ref="B77:C77"/>
    <mergeCell ref="B72:C72"/>
    <mergeCell ref="B54:C54"/>
    <mergeCell ref="B44:C44"/>
  </mergeCells>
  <conditionalFormatting sqref="C17 B63:D63 B64:B66">
    <cfRule type="expression" dxfId="96" priority="15">
      <formula>$O$1="Canada"</formula>
    </cfRule>
    <cfRule type="expression" dxfId="95" priority="16">
      <formula>$O$1="India"</formula>
    </cfRule>
    <cfRule type="expression" dxfId="94" priority="17">
      <formula>$O$1="US"</formula>
    </cfRule>
    <cfRule type="expression" dxfId="93" priority="18">
      <formula>$O$1="UK"</formula>
    </cfRule>
  </conditionalFormatting>
  <conditionalFormatting sqref="C55:C60">
    <cfRule type="expression" dxfId="92" priority="5">
      <formula>$O$1="Canada"</formula>
    </cfRule>
    <cfRule type="expression" dxfId="91" priority="6">
      <formula>$O$1="India"</formula>
    </cfRule>
    <cfRule type="expression" dxfId="90" priority="7">
      <formula>$O$1="US"</formula>
    </cfRule>
    <cfRule type="expression" dxfId="89" priority="8">
      <formula>$O$1="UK"</formula>
    </cfRule>
  </conditionalFormatting>
  <conditionalFormatting sqref="C64:C67">
    <cfRule type="expression" dxfId="88" priority="1">
      <formula>$O$1="Canada"</formula>
    </cfRule>
    <cfRule type="expression" dxfId="87" priority="2">
      <formula>$O$1="India"</formula>
    </cfRule>
    <cfRule type="expression" dxfId="86" priority="3">
      <formula>$O$1="US"</formula>
    </cfRule>
    <cfRule type="expression" dxfId="85" priority="4">
      <formula>$O$1="UK"</formula>
    </cfRule>
  </conditionalFormatting>
  <conditionalFormatting sqref="E17">
    <cfRule type="cellIs" dxfId="84" priority="9" operator="lessThan">
      <formula>-0.05</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'Standard Rate Cards'!$P$8:$P$10</xm:f>
          </x14:formula1>
          <xm:sqref>D64:D66 D55:D59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0"/>
    <pageSetUpPr autoPageBreaks="0"/>
  </sheetPr>
  <dimension ref="B1:T116"/>
  <sheetViews>
    <sheetView showGridLines="0" zoomScale="98" workbookViewId="0">
      <selection activeCell="E42" sqref="E42"/>
    </sheetView>
  </sheetViews>
  <sheetFormatPr defaultColWidth="11.44140625" defaultRowHeight="14.4" x14ac:dyDescent="0.3"/>
  <cols>
    <col min="1" max="1" width="4.44140625" customWidth="1"/>
    <col min="2" max="2" width="29.21875" customWidth="1"/>
    <col min="3" max="3" width="46.5546875" bestFit="1" customWidth="1"/>
    <col min="4" max="4" width="42.6640625" bestFit="1" customWidth="1"/>
    <col min="5" max="5" width="35" bestFit="1" customWidth="1"/>
    <col min="6" max="6" width="25.21875" customWidth="1"/>
    <col min="7" max="7" width="22.5546875" customWidth="1"/>
    <col min="8" max="8" width="23.44140625" customWidth="1"/>
    <col min="9" max="9" width="14.21875" customWidth="1"/>
    <col min="10" max="10" width="28.21875" customWidth="1"/>
    <col min="11" max="11" width="17" customWidth="1"/>
    <col min="12" max="12" width="27.109375" bestFit="1" customWidth="1"/>
    <col min="13" max="13" width="19.44140625" bestFit="1" customWidth="1"/>
    <col min="14" max="14" width="17.21875" customWidth="1"/>
    <col min="15" max="15" width="27.21875" customWidth="1"/>
    <col min="16" max="16" width="16.44140625" customWidth="1"/>
  </cols>
  <sheetData>
    <row r="1" spans="2:20" x14ac:dyDescent="0.3">
      <c r="B1" s="94"/>
      <c r="C1" s="94"/>
      <c r="D1" s="94"/>
      <c r="E1" s="94"/>
      <c r="F1" s="94"/>
      <c r="G1" s="211"/>
      <c r="H1" s="211"/>
      <c r="I1" s="211"/>
      <c r="J1" s="1704"/>
      <c r="K1" s="1704"/>
      <c r="L1" s="1704"/>
    </row>
    <row r="2" spans="2:20" ht="37.5" customHeight="1" x14ac:dyDescent="0.3">
      <c r="B2" s="1705" t="s">
        <v>347</v>
      </c>
      <c r="C2" s="1705"/>
      <c r="D2" s="274" t="s">
        <v>63</v>
      </c>
      <c r="E2" s="1485" t="str">
        <f>'2. Pricing &amp; Import'!G7</f>
        <v>RPE INCOMPLETE -- WILL NOT UPLOAD</v>
      </c>
      <c r="F2" s="94"/>
      <c r="G2" s="1706"/>
      <c r="H2" s="1706"/>
      <c r="I2" s="903"/>
      <c r="J2" s="1521"/>
      <c r="K2" s="1522"/>
      <c r="L2" s="1522"/>
    </row>
    <row r="3" spans="2:20" ht="20.399999999999999" x14ac:dyDescent="0.3">
      <c r="B3" s="904"/>
      <c r="C3" s="904"/>
      <c r="D3" s="94"/>
      <c r="E3" s="1486"/>
      <c r="F3" s="94"/>
      <c r="G3" s="1706"/>
      <c r="H3" s="1706"/>
      <c r="I3" s="430"/>
      <c r="J3" s="1521"/>
      <c r="K3" s="1522"/>
    </row>
    <row r="4" spans="2:20" ht="20.399999999999999" x14ac:dyDescent="0.3">
      <c r="B4" s="1034" t="s">
        <v>348</v>
      </c>
      <c r="C4" s="904"/>
      <c r="D4" s="94"/>
      <c r="E4" s="94"/>
      <c r="F4" s="94"/>
      <c r="G4" s="1706"/>
      <c r="H4" s="1706"/>
      <c r="I4" s="430"/>
      <c r="J4" s="1521"/>
      <c r="K4" s="1522"/>
    </row>
    <row r="5" spans="2:20" ht="20.399999999999999" x14ac:dyDescent="0.3">
      <c r="B5" s="1035" t="s">
        <v>349</v>
      </c>
      <c r="C5" s="904"/>
      <c r="D5" s="94"/>
      <c r="E5" s="94"/>
      <c r="F5" s="94"/>
      <c r="G5" s="1706"/>
      <c r="H5" s="1706"/>
      <c r="I5" s="430"/>
      <c r="J5" s="1523"/>
      <c r="K5" s="1522"/>
    </row>
    <row r="6" spans="2:20" ht="20.399999999999999" x14ac:dyDescent="0.3">
      <c r="B6" s="94"/>
      <c r="C6" s="905"/>
      <c r="D6" s="94"/>
      <c r="E6" s="94"/>
      <c r="F6" s="94"/>
      <c r="G6" s="94"/>
      <c r="H6" s="94"/>
      <c r="I6" s="94"/>
      <c r="J6" s="1524"/>
      <c r="K6" s="1522"/>
    </row>
    <row r="7" spans="2:20" ht="20.399999999999999" x14ac:dyDescent="0.3">
      <c r="B7" s="1029" t="s">
        <v>350</v>
      </c>
      <c r="C7" s="1030"/>
      <c r="D7" s="306"/>
      <c r="E7" s="1029" t="s">
        <v>2376</v>
      </c>
      <c r="F7" s="1030"/>
      <c r="G7" s="1029"/>
      <c r="H7" s="1519"/>
      <c r="I7" s="1520"/>
    </row>
    <row r="8" spans="2:20" ht="15" thickBot="1" x14ac:dyDescent="0.35">
      <c r="B8" s="257"/>
      <c r="D8" s="94"/>
      <c r="H8" s="257"/>
    </row>
    <row r="9" spans="2:20" ht="16.95" customHeight="1" x14ac:dyDescent="0.3">
      <c r="B9" s="1707" t="s">
        <v>134</v>
      </c>
      <c r="C9" s="1708"/>
      <c r="D9" s="906"/>
      <c r="E9" s="1707" t="s">
        <v>2377</v>
      </c>
      <c r="F9" s="1708"/>
      <c r="G9" s="94"/>
      <c r="J9" s="891"/>
      <c r="K9" s="89"/>
      <c r="S9" s="228"/>
      <c r="T9" s="228"/>
    </row>
    <row r="10" spans="2:20" ht="15.6" x14ac:dyDescent="0.3">
      <c r="B10" s="231" t="s">
        <v>67</v>
      </c>
      <c r="C10" s="622">
        <f>'2. Pricing &amp; Import'!D8</f>
        <v>0</v>
      </c>
      <c r="D10" s="884"/>
      <c r="E10" s="1550" t="s">
        <v>2341</v>
      </c>
      <c r="F10" s="1551">
        <f>D37</f>
        <v>375900</v>
      </c>
      <c r="G10" s="94"/>
      <c r="K10" s="892"/>
      <c r="S10" s="234"/>
      <c r="T10" s="138"/>
    </row>
    <row r="11" spans="2:20" ht="16.2" thickBot="1" x14ac:dyDescent="0.35">
      <c r="B11" s="114" t="s">
        <v>69</v>
      </c>
      <c r="C11" s="296" t="str">
        <f>IF(ISBLANK('2. Pricing &amp; Import'!D9)," ",'2. Pricing &amp; Import'!D9)</f>
        <v>McDonald's</v>
      </c>
      <c r="D11" s="907"/>
      <c r="E11" s="1552" t="s">
        <v>1844</v>
      </c>
      <c r="F11" s="1553">
        <f>D30</f>
        <v>0.45782122905027933</v>
      </c>
      <c r="G11" s="94"/>
      <c r="K11" s="892"/>
      <c r="S11" s="233"/>
      <c r="T11" s="138"/>
    </row>
    <row r="12" spans="2:20" ht="15" thickBot="1" x14ac:dyDescent="0.35">
      <c r="B12" s="114" t="s">
        <v>2066</v>
      </c>
      <c r="C12" s="296" t="str">
        <f>'2. Pricing &amp; Import'!D10</f>
        <v>Credera US</v>
      </c>
      <c r="D12" s="907"/>
      <c r="G12" s="94"/>
      <c r="K12" s="892"/>
      <c r="S12" s="233"/>
      <c r="T12" s="138"/>
    </row>
    <row r="13" spans="2:20" x14ac:dyDescent="0.3">
      <c r="B13" s="114" t="s">
        <v>140</v>
      </c>
      <c r="C13" s="296" t="str">
        <f>'2. Pricing &amp; Import'!D11</f>
        <v>Credera US</v>
      </c>
      <c r="D13" s="884"/>
      <c r="E13" s="1707" t="s">
        <v>2378</v>
      </c>
      <c r="F13" s="1708"/>
      <c r="G13" s="94"/>
      <c r="K13" s="893"/>
      <c r="S13" s="233"/>
      <c r="T13" s="138"/>
    </row>
    <row r="14" spans="2:20" x14ac:dyDescent="0.3">
      <c r="B14" s="114" t="s">
        <v>141</v>
      </c>
      <c r="C14" s="296">
        <f>'2. Pricing &amp; Import'!D12</f>
        <v>0</v>
      </c>
      <c r="D14" s="884"/>
      <c r="E14" s="114" t="s">
        <v>2379</v>
      </c>
      <c r="F14" s="1547">
        <f>IF(OR(C21="T&amp;M",C21="T&amp;M NTE"),D36,D37)</f>
        <v>375900</v>
      </c>
      <c r="G14" s="94"/>
      <c r="K14" s="894"/>
      <c r="S14" s="233"/>
      <c r="T14" s="138"/>
    </row>
    <row r="15" spans="2:20" x14ac:dyDescent="0.3">
      <c r="B15" s="259" t="s">
        <v>75</v>
      </c>
      <c r="C15" s="296" t="str">
        <f>'2. Pricing &amp; Import'!D13</f>
        <v>Manual Entry</v>
      </c>
      <c r="D15" s="884"/>
      <c r="E15" s="114" t="s">
        <v>2380</v>
      </c>
      <c r="F15" s="1548">
        <f>COUNTA('2. Pricing &amp; Import'!K50:K149)</f>
        <v>4</v>
      </c>
      <c r="G15" s="94"/>
      <c r="K15" s="895"/>
      <c r="S15" s="258"/>
      <c r="T15" s="50"/>
    </row>
    <row r="16" spans="2:20" x14ac:dyDescent="0.3">
      <c r="B16" s="259" t="s">
        <v>76</v>
      </c>
      <c r="C16" s="296" t="str">
        <f>'2. Pricing &amp; Import'!D14</f>
        <v>AEM Implementation Soyum Foods</v>
      </c>
      <c r="D16" s="908"/>
      <c r="E16" s="114" t="s">
        <v>2381</v>
      </c>
      <c r="F16" s="1548">
        <f>J74</f>
        <v>0</v>
      </c>
      <c r="G16" s="94"/>
      <c r="K16" s="895"/>
      <c r="S16" s="258"/>
      <c r="T16" s="50"/>
    </row>
    <row r="17" spans="2:20" x14ac:dyDescent="0.3">
      <c r="B17" s="259" t="s">
        <v>77</v>
      </c>
      <c r="C17" s="622" t="str">
        <f>'2. Pricing &amp; Import'!D15</f>
        <v>Consulting</v>
      </c>
      <c r="D17" s="909"/>
      <c r="E17" s="114" t="s">
        <v>2393</v>
      </c>
      <c r="F17" s="1548">
        <f>SUM('2. Pricing &amp; Import'!AG41:CF41)</f>
        <v>33</v>
      </c>
      <c r="G17" s="94"/>
      <c r="K17" s="895"/>
      <c r="S17" s="258"/>
      <c r="T17" s="50"/>
    </row>
    <row r="18" spans="2:20" ht="15" thickBot="1" x14ac:dyDescent="0.35">
      <c r="B18" s="259" t="s">
        <v>142</v>
      </c>
      <c r="C18" s="622" t="str">
        <f>'2. Pricing &amp; Import'!D16</f>
        <v>Standard Rates</v>
      </c>
      <c r="D18" s="884"/>
      <c r="E18" s="232" t="s">
        <v>2456</v>
      </c>
      <c r="F18" s="1549"/>
      <c r="G18" s="94"/>
      <c r="S18" s="258"/>
      <c r="T18" s="50"/>
    </row>
    <row r="19" spans="2:20" x14ac:dyDescent="0.3">
      <c r="B19" s="114" t="s">
        <v>80</v>
      </c>
      <c r="C19" s="297">
        <f>'2. Pricing &amp; Import'!D18</f>
        <v>45776</v>
      </c>
      <c r="D19" s="884"/>
      <c r="G19" s="94"/>
      <c r="S19" s="258"/>
      <c r="T19" s="50"/>
    </row>
    <row r="20" spans="2:20" ht="14.55" customHeight="1" x14ac:dyDescent="0.3">
      <c r="B20" s="114" t="s">
        <v>143</v>
      </c>
      <c r="C20" s="298">
        <f>'2. Pricing &amp; Import'!D19</f>
        <v>20</v>
      </c>
      <c r="D20" s="907"/>
      <c r="E20" s="1687" t="s">
        <v>2394</v>
      </c>
      <c r="F20" s="1687"/>
      <c r="G20" s="94"/>
      <c r="S20" s="233"/>
      <c r="T20" s="229"/>
    </row>
    <row r="21" spans="2:20" x14ac:dyDescent="0.3">
      <c r="B21" s="114" t="s">
        <v>81</v>
      </c>
      <c r="C21" s="622" t="str">
        <f>'2. Pricing &amp; Import'!D20</f>
        <v>Fixed Fee</v>
      </c>
      <c r="D21" s="94"/>
      <c r="E21" s="1687"/>
      <c r="F21" s="1687"/>
      <c r="G21" s="94"/>
      <c r="S21" s="233"/>
      <c r="T21" s="230"/>
    </row>
    <row r="22" spans="2:20" x14ac:dyDescent="0.3">
      <c r="B22" s="114" t="s">
        <v>80</v>
      </c>
      <c r="C22" s="297">
        <f>'1. Project Inputs'!C21</f>
        <v>45776</v>
      </c>
      <c r="D22" s="94"/>
      <c r="E22" s="1687"/>
      <c r="F22" s="1687"/>
      <c r="G22" s="94"/>
      <c r="S22" s="233"/>
      <c r="T22" s="230"/>
    </row>
    <row r="23" spans="2:20" x14ac:dyDescent="0.3">
      <c r="B23" s="114" t="s">
        <v>2375</v>
      </c>
      <c r="C23" s="298"/>
      <c r="D23" s="94"/>
      <c r="E23" s="1687"/>
      <c r="F23" s="1687"/>
      <c r="G23" s="94"/>
      <c r="S23" s="233"/>
      <c r="T23" s="230"/>
    </row>
    <row r="24" spans="2:20" ht="15" thickBot="1" x14ac:dyDescent="0.35">
      <c r="B24" s="232" t="s">
        <v>2374</v>
      </c>
      <c r="C24" s="943" t="str">
        <f>IF(C12="Credera US","Projector","Dynamics")</f>
        <v>Projector</v>
      </c>
      <c r="D24" s="94"/>
      <c r="E24" s="1687"/>
      <c r="F24" s="1687"/>
      <c r="G24" s="94"/>
      <c r="S24" s="233"/>
      <c r="T24" s="230"/>
    </row>
    <row r="25" spans="2:20" x14ac:dyDescent="0.3">
      <c r="B25" s="1219"/>
      <c r="C25" s="1546"/>
      <c r="D25" s="94"/>
      <c r="E25" s="1687"/>
      <c r="F25" s="1687"/>
      <c r="G25" s="94"/>
      <c r="S25" s="233"/>
      <c r="T25" s="230"/>
    </row>
    <row r="26" spans="2:20" x14ac:dyDescent="0.3">
      <c r="E26" s="1687"/>
      <c r="F26" s="1687"/>
      <c r="S26" s="233"/>
      <c r="T26" s="138"/>
    </row>
    <row r="27" spans="2:20" ht="21" customHeight="1" x14ac:dyDescent="0.3">
      <c r="B27" s="1029" t="s">
        <v>352</v>
      </c>
      <c r="C27" s="1031"/>
      <c r="D27" s="935"/>
      <c r="E27" s="935"/>
      <c r="F27" s="935"/>
      <c r="G27" s="935"/>
      <c r="H27" s="935"/>
      <c r="I27" s="935"/>
      <c r="J27" s="935"/>
      <c r="K27" s="935"/>
      <c r="L27" s="935"/>
    </row>
    <row r="28" spans="2:20" ht="15" thickBot="1" x14ac:dyDescent="0.35">
      <c r="B28" s="1703"/>
      <c r="C28" s="1703"/>
    </row>
    <row r="29" spans="2:20" ht="31.05" customHeight="1" thickBot="1" x14ac:dyDescent="0.35">
      <c r="B29" s="1696" t="s">
        <v>317</v>
      </c>
      <c r="C29" s="1697"/>
      <c r="D29" s="1698"/>
      <c r="E29" s="94"/>
      <c r="J29" s="465"/>
      <c r="K29" s="640"/>
      <c r="L29" s="465"/>
    </row>
    <row r="30" spans="2:20" x14ac:dyDescent="0.3">
      <c r="B30" s="1699" t="s">
        <v>1844</v>
      </c>
      <c r="C30" s="1700"/>
      <c r="D30" s="1518">
        <f>IFERROR(('2. Pricing &amp; Import'!$CH$152-'2. Pricing &amp; Import'!$CI$152)/'2. Pricing &amp; Import'!$CH$152,"")</f>
        <v>0.45782122905027933</v>
      </c>
      <c r="E30" s="94"/>
      <c r="J30" s="213"/>
      <c r="K30" s="896"/>
      <c r="L30" s="897"/>
    </row>
    <row r="31" spans="2:20" x14ac:dyDescent="0.3">
      <c r="B31" s="1693" t="s">
        <v>221</v>
      </c>
      <c r="C31" s="1694"/>
      <c r="D31" s="623">
        <f>IFERROR('2. Pricing &amp; Import'!$CH$152/'2. Pricing &amp; Import'!$Y$49,"")</f>
        <v>159.82142857142858</v>
      </c>
      <c r="E31" s="94"/>
      <c r="J31" s="213"/>
      <c r="K31" s="896"/>
      <c r="L31" s="897"/>
    </row>
    <row r="32" spans="2:20" ht="17.25" customHeight="1" x14ac:dyDescent="0.3">
      <c r="B32" s="1693" t="s">
        <v>1848</v>
      </c>
      <c r="C32" s="1695"/>
      <c r="D32" s="1111">
        <f>'3. Summary Inputs'!C37</f>
        <v>0</v>
      </c>
      <c r="E32" s="910"/>
      <c r="J32" s="213"/>
      <c r="K32" s="896"/>
      <c r="L32" s="897"/>
    </row>
    <row r="33" spans="2:20" ht="17.25" customHeight="1" x14ac:dyDescent="0.3">
      <c r="B33" s="1693" t="s">
        <v>2386</v>
      </c>
      <c r="C33" s="1694"/>
      <c r="D33" s="1110">
        <f>IFERROR($C$47+$C$43+'2. Pricing &amp; Import'!$D$27,"Enter Contingency % on Summary Inputs")</f>
        <v>375900</v>
      </c>
      <c r="E33" s="911"/>
      <c r="J33" s="213"/>
      <c r="K33" s="896"/>
      <c r="L33" s="897"/>
      <c r="T33" s="237"/>
    </row>
    <row r="34" spans="2:20" ht="17.25" customHeight="1" x14ac:dyDescent="0.3">
      <c r="B34" s="301" t="s">
        <v>1846</v>
      </c>
      <c r="C34" s="261"/>
      <c r="D34" s="1093">
        <f>'3. Summary Inputs'!C48</f>
        <v>0</v>
      </c>
      <c r="E34" s="910"/>
      <c r="J34" s="213"/>
      <c r="K34" s="896"/>
      <c r="L34" s="897"/>
      <c r="T34" s="238"/>
    </row>
    <row r="35" spans="2:20" ht="17.25" customHeight="1" thickBot="1" x14ac:dyDescent="0.35">
      <c r="B35" s="599" t="s">
        <v>1845</v>
      </c>
      <c r="C35" s="600"/>
      <c r="D35" s="1109">
        <f>SUM('3. Summary Inputs'!C64:C66)</f>
        <v>0</v>
      </c>
      <c r="E35" s="94"/>
      <c r="J35" s="213"/>
      <c r="K35" s="896"/>
      <c r="L35" s="897"/>
      <c r="T35" s="237"/>
    </row>
    <row r="36" spans="2:20" ht="15" thickTop="1" x14ac:dyDescent="0.3">
      <c r="B36" s="1514" t="s">
        <v>2361</v>
      </c>
      <c r="C36" s="233"/>
      <c r="D36" s="1515">
        <f>IFERROR(D33-D34,"Incomplete Project Information")</f>
        <v>375900</v>
      </c>
      <c r="E36" s="696"/>
      <c r="J36" s="213"/>
      <c r="K36" s="896"/>
      <c r="L36" s="897"/>
      <c r="T36" s="235"/>
    </row>
    <row r="37" spans="2:20" ht="16.2" thickBot="1" x14ac:dyDescent="0.35">
      <c r="B37" s="1095" t="s">
        <v>2342</v>
      </c>
      <c r="C37" s="302"/>
      <c r="D37" s="1516">
        <f>IFERROR(D36*(1+D32),"Incomplete Project Information")</f>
        <v>375900</v>
      </c>
      <c r="E37" s="94"/>
      <c r="J37" s="213"/>
      <c r="K37" s="896"/>
      <c r="L37" s="897"/>
      <c r="T37" s="237"/>
    </row>
    <row r="38" spans="2:20" ht="18" customHeight="1" x14ac:dyDescent="0.3">
      <c r="B38" s="549" t="s">
        <v>2363</v>
      </c>
      <c r="E38" s="94"/>
      <c r="J38" s="213"/>
      <c r="K38" s="896"/>
      <c r="L38" s="897"/>
      <c r="T38" s="235"/>
    </row>
    <row r="39" spans="2:20" ht="18" customHeight="1" x14ac:dyDescent="0.3">
      <c r="B39" s="94"/>
      <c r="C39" s="94"/>
      <c r="D39" s="94"/>
      <c r="E39" s="94"/>
      <c r="J39" s="213"/>
      <c r="K39" s="896"/>
      <c r="L39" s="897"/>
      <c r="T39" s="235"/>
    </row>
    <row r="40" spans="2:20" ht="18" customHeight="1" x14ac:dyDescent="0.3">
      <c r="B40" s="1029" t="s">
        <v>2364</v>
      </c>
      <c r="C40" s="1030"/>
      <c r="D40" s="94"/>
      <c r="E40" s="94"/>
      <c r="J40" s="213"/>
      <c r="K40" s="896"/>
      <c r="L40" s="897"/>
      <c r="T40" s="235"/>
    </row>
    <row r="41" spans="2:20" ht="18" customHeight="1" thickBot="1" x14ac:dyDescent="0.35">
      <c r="B41" s="257"/>
      <c r="D41" s="94"/>
      <c r="E41" s="94"/>
      <c r="J41" s="213"/>
      <c r="K41" s="896"/>
      <c r="L41" s="897"/>
      <c r="T41" s="235"/>
    </row>
    <row r="42" spans="2:20" ht="18" customHeight="1" thickBot="1" x14ac:dyDescent="0.35">
      <c r="B42" s="1691" t="s">
        <v>351</v>
      </c>
      <c r="C42" s="1692"/>
      <c r="D42" s="94"/>
      <c r="E42" s="94"/>
      <c r="J42" s="213"/>
      <c r="K42" s="896"/>
      <c r="L42" s="897"/>
      <c r="T42" s="235"/>
    </row>
    <row r="43" spans="2:20" ht="18" customHeight="1" thickBot="1" x14ac:dyDescent="0.35">
      <c r="B43" s="1070" t="s">
        <v>1837</v>
      </c>
      <c r="C43" s="1104">
        <f>IFERROR('2. Pricing &amp; Import'!CH152,0)</f>
        <v>358000</v>
      </c>
      <c r="D43" s="94"/>
      <c r="E43" s="94"/>
      <c r="J43" s="213"/>
      <c r="K43" s="896"/>
      <c r="L43" s="897"/>
      <c r="T43" s="235"/>
    </row>
    <row r="44" spans="2:20" ht="18" customHeight="1" thickTop="1" x14ac:dyDescent="0.3">
      <c r="B44" s="147" t="s">
        <v>387</v>
      </c>
      <c r="C44" s="1555">
        <f>SUM('2. Pricing &amp; Import'!$CI$50:$CI$149)</f>
        <v>194100</v>
      </c>
      <c r="D44" s="94"/>
      <c r="E44" s="94"/>
      <c r="J44" s="213"/>
      <c r="K44" s="896"/>
      <c r="L44" s="897"/>
      <c r="T44" s="235"/>
    </row>
    <row r="45" spans="2:20" ht="18" customHeight="1" x14ac:dyDescent="0.3">
      <c r="B45" s="146" t="s">
        <v>2382</v>
      </c>
      <c r="C45" s="1554">
        <f>SUMIFS('3. Summary Inputs'!$C$56:$C$59,'3. Summary Inputs'!$D$56:$D$59,"No")</f>
        <v>0</v>
      </c>
      <c r="D45" s="94"/>
      <c r="E45" s="94"/>
      <c r="J45" s="213"/>
      <c r="K45" s="896"/>
      <c r="L45" s="897"/>
      <c r="T45" s="235"/>
    </row>
    <row r="46" spans="2:20" ht="18" customHeight="1" x14ac:dyDescent="0.3">
      <c r="B46" s="146" t="s">
        <v>2383</v>
      </c>
      <c r="C46" s="1105">
        <f>SUMIFS('3. Summary Inputs'!$C$56:$C$59,'3. Summary Inputs'!$D$56:$D$59,"Yes")</f>
        <v>0</v>
      </c>
      <c r="D46" s="94"/>
      <c r="E46" s="94"/>
      <c r="J46" s="213"/>
      <c r="K46" s="896"/>
      <c r="L46" s="897"/>
      <c r="T46" s="235"/>
    </row>
    <row r="47" spans="2:20" ht="15" thickBot="1" x14ac:dyDescent="0.35">
      <c r="B47" s="1112" t="s">
        <v>2384</v>
      </c>
      <c r="C47" s="1106">
        <f>SUM(C45:C46)</f>
        <v>0</v>
      </c>
      <c r="D47" s="94"/>
      <c r="E47" s="94"/>
      <c r="J47" s="213"/>
      <c r="K47" s="896"/>
      <c r="L47" s="897"/>
    </row>
    <row r="48" spans="2:20" ht="15.6" thickTop="1" thickBot="1" x14ac:dyDescent="0.35">
      <c r="B48" s="1113" t="s">
        <v>2385</v>
      </c>
      <c r="C48" s="1103">
        <f>SUM(C44:C47)</f>
        <v>194100</v>
      </c>
      <c r="D48" s="94"/>
      <c r="E48" s="94"/>
      <c r="J48" s="213"/>
      <c r="K48" s="896"/>
      <c r="L48" s="897"/>
    </row>
    <row r="49" spans="2:12" x14ac:dyDescent="0.3">
      <c r="B49" s="94"/>
      <c r="C49" s="94"/>
      <c r="D49" s="94"/>
      <c r="E49" s="94"/>
      <c r="J49" s="432"/>
      <c r="K49" s="898"/>
      <c r="L49" s="899"/>
    </row>
    <row r="50" spans="2:12" x14ac:dyDescent="0.3">
      <c r="B50" s="94"/>
      <c r="C50" s="94"/>
      <c r="D50" s="94"/>
      <c r="E50" s="94"/>
      <c r="F50" s="1512"/>
      <c r="G50" s="899"/>
      <c r="H50" s="1513"/>
      <c r="I50" s="1513"/>
    </row>
    <row r="51" spans="2:12" ht="15" x14ac:dyDescent="0.3">
      <c r="B51" s="1032" t="s">
        <v>373</v>
      </c>
      <c r="C51" s="935"/>
      <c r="D51" s="935"/>
      <c r="E51" s="935"/>
      <c r="F51" s="935"/>
      <c r="G51" s="935"/>
      <c r="H51" s="935"/>
      <c r="I51" s="935"/>
      <c r="J51" s="935"/>
    </row>
    <row r="52" spans="2:12" ht="15" thickBot="1" x14ac:dyDescent="0.35">
      <c r="E52" s="179"/>
      <c r="L52" s="49"/>
    </row>
    <row r="53" spans="2:12" ht="15" thickBot="1" x14ac:dyDescent="0.35">
      <c r="B53" s="1701" t="s">
        <v>322</v>
      </c>
      <c r="C53" s="1702"/>
      <c r="E53" s="179"/>
      <c r="L53" s="49"/>
    </row>
    <row r="54" spans="2:12" x14ac:dyDescent="0.3">
      <c r="B54" s="526" t="s">
        <v>324</v>
      </c>
      <c r="C54" s="624">
        <f>IFERROR((SUMIF('2. Pricing &amp; Import'!P50:P149,"Offshore",'2. Pricing &amp; Import'!CH50:CH149))/SUMIF('2. Pricing &amp; Import'!P50:P149,"Offshore",'2. Pricing &amp; Import'!Y50:Y149),"")</f>
        <v>75</v>
      </c>
      <c r="E54" s="179"/>
      <c r="L54" s="49"/>
    </row>
    <row r="55" spans="2:12" x14ac:dyDescent="0.3">
      <c r="B55" s="527" t="s">
        <v>325</v>
      </c>
      <c r="C55" s="625">
        <f>IFERROR((SUMIF('2. Pricing &amp; Import'!P50:P149,"Onshore",'2. Pricing &amp; Import'!CH50:CH149))/SUMIF('2. Pricing &amp; Import'!P50:P149,"Onshore",'2. Pricing &amp; Import'!Y50:Y149),"")</f>
        <v>186.25</v>
      </c>
      <c r="E55" s="179"/>
      <c r="L55" s="49"/>
    </row>
    <row r="56" spans="2:12" x14ac:dyDescent="0.3">
      <c r="B56" s="527" t="s">
        <v>326</v>
      </c>
      <c r="C56" s="486">
        <f>IFERROR((COUNTIF('2. Pricing &amp; Import'!P50:P149,"Offshore")/SUM(COUNTIF('2. Pricing &amp; Import'!P50:P149,"Onshore"),COUNTIF('2. Pricing &amp; Import'!P50:P149,"Offshore"))),"")</f>
        <v>0.25</v>
      </c>
      <c r="E56" s="179"/>
      <c r="L56" s="49"/>
    </row>
    <row r="57" spans="2:12" x14ac:dyDescent="0.3">
      <c r="B57" s="527" t="s">
        <v>221</v>
      </c>
      <c r="C57" s="625">
        <f>IFERROR('2. Pricing &amp; Import'!CH152/'2. Pricing &amp; Import'!Y49,"")</f>
        <v>159.82142857142858</v>
      </c>
      <c r="E57" s="179"/>
      <c r="L57" s="49"/>
    </row>
    <row r="58" spans="2:12" x14ac:dyDescent="0.3">
      <c r="B58" s="527" t="s">
        <v>328</v>
      </c>
      <c r="C58" s="626">
        <f>COUNTIF('2. Pricing &amp; Import'!AA50:AA149,"&gt;=21")</f>
        <v>0</v>
      </c>
      <c r="E58" s="179"/>
      <c r="L58" s="49"/>
    </row>
    <row r="59" spans="2:12" x14ac:dyDescent="0.3">
      <c r="B59" s="527" t="s">
        <v>329</v>
      </c>
      <c r="C59" s="626">
        <f>COUNTIFS('2. Pricing &amp; Import'!AA50:AA149,"&lt;=20")</f>
        <v>0</v>
      </c>
      <c r="E59" s="179"/>
      <c r="L59" s="49"/>
    </row>
    <row r="60" spans="2:12" x14ac:dyDescent="0.3">
      <c r="B60" s="527" t="s">
        <v>331</v>
      </c>
      <c r="C60" s="488">
        <f>'2. Pricing &amp; Import'!Y49</f>
        <v>2240</v>
      </c>
      <c r="E60" s="179"/>
      <c r="L60" s="49"/>
    </row>
    <row r="61" spans="2:12" ht="15" thickBot="1" x14ac:dyDescent="0.35">
      <c r="B61" s="528" t="s">
        <v>332</v>
      </c>
      <c r="C61" s="1075">
        <f>IFERROR(SUM(SUMIFS('2. Pricing &amp; Import'!Y50:Y149,'2. Pricing &amp; Import'!O50:O149,"7"),SUMIFS('2. Pricing &amp; Import'!Y50:Y149,'2. Pricing &amp; Import'!O50:O149,"6"))/('2. Pricing &amp; Import'!Y49),"")</f>
        <v>0</v>
      </c>
      <c r="E61" s="179"/>
      <c r="L61" s="49"/>
    </row>
    <row r="62" spans="2:12" ht="15" thickBot="1" x14ac:dyDescent="0.35">
      <c r="B62" s="529" t="s">
        <v>333</v>
      </c>
      <c r="C62" s="627">
        <f>COUNTA('2. Pricing &amp; Import'!K50:K149)</f>
        <v>4</v>
      </c>
      <c r="E62" s="179"/>
      <c r="L62" s="49"/>
    </row>
    <row r="63" spans="2:12" x14ac:dyDescent="0.3">
      <c r="E63" s="179"/>
      <c r="L63" s="49"/>
    </row>
    <row r="64" spans="2:12" ht="15" thickBot="1" x14ac:dyDescent="0.35">
      <c r="E64" s="179"/>
      <c r="L64" s="49"/>
    </row>
    <row r="65" spans="2:16" ht="15" thickBot="1" x14ac:dyDescent="0.35">
      <c r="B65" s="1680" t="s">
        <v>334</v>
      </c>
      <c r="C65" s="1681"/>
      <c r="D65" s="1681"/>
      <c r="E65" s="1681"/>
      <c r="F65" s="1682"/>
      <c r="H65" s="1688" t="s">
        <v>374</v>
      </c>
      <c r="I65" s="1689"/>
      <c r="J65" s="1690"/>
    </row>
    <row r="66" spans="2:16" ht="15" thickTop="1" x14ac:dyDescent="0.3">
      <c r="B66" s="532" t="s">
        <v>335</v>
      </c>
      <c r="C66" s="533" t="s">
        <v>212</v>
      </c>
      <c r="D66" s="535" t="s">
        <v>336</v>
      </c>
      <c r="E66" s="534" t="s">
        <v>337</v>
      </c>
      <c r="F66" s="536" t="s">
        <v>375</v>
      </c>
      <c r="H66" s="454" t="s">
        <v>376</v>
      </c>
      <c r="I66" s="455" t="s">
        <v>212</v>
      </c>
      <c r="J66" s="456" t="s">
        <v>336</v>
      </c>
    </row>
    <row r="67" spans="2:16" x14ac:dyDescent="0.3">
      <c r="B67" s="303" t="s">
        <v>338</v>
      </c>
      <c r="C67" s="463">
        <f>SUMIF('2. Pricing &amp; Import'!$D$50:$D$149,"CrederaUS",'2. Pricing &amp; Import'!$Y$50:$Y$149)</f>
        <v>1600</v>
      </c>
      <c r="D67" s="458">
        <f>IFERROR(C67/'2. Pricing &amp; Import'!$Y$49,"")</f>
        <v>0.7142857142857143</v>
      </c>
      <c r="E67" s="635">
        <f>SUMIF('2. Pricing &amp; Import'!$D$50:$D$149,"CrederaUS",'2. Pricing &amp; Import'!$CH$50:$CH$149)</f>
        <v>298000</v>
      </c>
      <c r="F67" s="607">
        <f>IFERROR(E67/'2. Pricing &amp; Import'!$CH$152,"No Entity Revenue")</f>
        <v>0.83240223463687146</v>
      </c>
      <c r="H67" s="236" t="s">
        <v>1915</v>
      </c>
      <c r="I67" s="550">
        <f>IFERROR(SUMIF('2. Pricing &amp; Import'!$O$50:$O$149,0,'2. Pricing &amp; Import'!$Y$50:$Y$149),"")</f>
        <v>0</v>
      </c>
      <c r="J67" s="81">
        <f>IFERROR(I67/SUM($I$67:$I$73),"")</f>
        <v>0</v>
      </c>
    </row>
    <row r="68" spans="2:16" x14ac:dyDescent="0.3">
      <c r="B68" s="303" t="s">
        <v>339</v>
      </c>
      <c r="C68" s="463">
        <f>SUMIFS('2. Pricing &amp; Import'!$Y$50:$Y$149,'2. Pricing &amp; Import'!$D$50:$D$149,"TADIndia")+SUMIFS('2. Pricing &amp; Import'!$Y$50:$Y$149,'2. Pricing &amp; Import'!$D$50:$D$149,"TADNorthAmerica")</f>
        <v>800</v>
      </c>
      <c r="D68" s="458">
        <f>IFERROR(C68/'2. Pricing &amp; Import'!$Y$49,"")</f>
        <v>0.35714285714285715</v>
      </c>
      <c r="E68" s="635">
        <f>SUMIF('2. Pricing &amp; Import'!$D$50:$D$149,"TADIndia",'2. Pricing &amp; Import'!$CH$50:$CH$149)+SUMIF('2. Pricing &amp; Import'!$D$50:$D$149,"TADNorthAmerica",'2. Pricing &amp; Import'!$CH$50:$CH$149)</f>
        <v>60000</v>
      </c>
      <c r="F68" s="607">
        <f>IFERROR(E68/'2. Pricing &amp; Import'!$CH$152,"No Entity Revenue")</f>
        <v>0.16759776536312848</v>
      </c>
      <c r="H68" s="236" t="s">
        <v>377</v>
      </c>
      <c r="I68" s="550">
        <f>IFERROR(SUMIF('2. Pricing &amp; Import'!$O$50:$O$149,1,'2. Pricing &amp; Import'!$Y$50:$Y$149),"")</f>
        <v>0</v>
      </c>
      <c r="J68" s="81">
        <f>IFERROR(I68/SUM($I$67:$I$73),"")</f>
        <v>0</v>
      </c>
    </row>
    <row r="69" spans="2:16" x14ac:dyDescent="0.3">
      <c r="B69" s="303" t="s">
        <v>340</v>
      </c>
      <c r="C69" s="463">
        <f>SUMIF('2. Pricing &amp; Import'!$D$50:$D$149,"BrightGen",'2. Pricing &amp; Import'!$Y$50:$Y$149)</f>
        <v>0</v>
      </c>
      <c r="D69" s="458">
        <f>IFERROR(C69/'2. Pricing &amp; Import'!$Y$49,"")</f>
        <v>0</v>
      </c>
      <c r="E69" s="635">
        <f>SUMIF('2. Pricing &amp; Import'!$D$50:$D$149,"BrightGen",'2. Pricing &amp; Import'!$CH$50:$CH$149)</f>
        <v>0</v>
      </c>
      <c r="F69" s="607">
        <f>IFERROR(E69/'2. Pricing &amp; Import'!$CH$152,"No Entity Revenue")</f>
        <v>0</v>
      </c>
      <c r="H69" s="236" t="s">
        <v>226</v>
      </c>
      <c r="I69" s="550">
        <f>IFERROR(SUMIF('2. Pricing &amp; Import'!$O$50:$O$149,2,'2. Pricing &amp; Import'!$Y$50:$Y$149),"")</f>
        <v>1600</v>
      </c>
      <c r="J69" s="81">
        <f t="shared" ref="J69:J74" si="0">IFERROR(I69/SUM($I$67:$I$73),"")</f>
        <v>0.66666666666666663</v>
      </c>
    </row>
    <row r="70" spans="2:16" x14ac:dyDescent="0.3">
      <c r="B70" s="304" t="s">
        <v>341</v>
      </c>
      <c r="C70" s="463">
        <f>SUMIF('2. Pricing &amp; Import'!$D$50:$D$149,"CrederaUK",'2. Pricing &amp; Import'!$Y$50:$Y$149)</f>
        <v>0</v>
      </c>
      <c r="D70" s="458">
        <f>IFERROR(C70/'2. Pricing &amp; Import'!$Y$49,"")</f>
        <v>0</v>
      </c>
      <c r="E70" s="635">
        <f>SUMIF('2. Pricing &amp; Import'!$D$50:$D$149,"CrederaUK",'2. Pricing &amp; Import'!$CH$50:$CH$149)</f>
        <v>0</v>
      </c>
      <c r="F70" s="607">
        <f>IFERROR(E70/'2. Pricing &amp; Import'!$CH$152,"No Entity Revenue")</f>
        <v>0</v>
      </c>
      <c r="H70" s="236" t="s">
        <v>227</v>
      </c>
      <c r="I70" s="550">
        <f>IFERROR(SUMIF('2. Pricing &amp; Import'!$O$50:$O$149,3,'2. Pricing &amp; Import'!$Y$50:$Y$149),"")</f>
        <v>0</v>
      </c>
      <c r="J70" s="81">
        <f t="shared" si="0"/>
        <v>0</v>
      </c>
    </row>
    <row r="71" spans="2:16" x14ac:dyDescent="0.3">
      <c r="B71" s="304" t="s">
        <v>342</v>
      </c>
      <c r="C71" s="463">
        <f>SUMIF('2. Pricing &amp; Import'!$D$50:$D$149,"SmartDigital",'2. Pricing &amp; Import'!$Y$50:$Y$149)</f>
        <v>0</v>
      </c>
      <c r="D71" s="458">
        <f>IFERROR(C71/'2. Pricing &amp; Import'!$Y$49,"")</f>
        <v>0</v>
      </c>
      <c r="E71" s="635">
        <f>SUMIF('2. Pricing &amp; Import'!$D$50:$D$149,"SmartDigital",'2. Pricing &amp; Import'!$CH$50:$CH$149)</f>
        <v>0</v>
      </c>
      <c r="F71" s="607">
        <f>IFERROR(E71/'2. Pricing &amp; Import'!$CH$152,"No Entity Revenue")</f>
        <v>0</v>
      </c>
      <c r="H71" s="236" t="s">
        <v>228</v>
      </c>
      <c r="I71" s="550">
        <f>IFERROR(SUMIF('2. Pricing &amp; Import'!$O$50:$O$149,4,'2. Pricing &amp; Import'!$Y$50:$Y$149),"")</f>
        <v>800</v>
      </c>
      <c r="J71" s="81">
        <f t="shared" si="0"/>
        <v>0.33333333333333331</v>
      </c>
    </row>
    <row r="72" spans="2:16" x14ac:dyDescent="0.3">
      <c r="B72" s="457" t="s">
        <v>343</v>
      </c>
      <c r="C72" s="602">
        <f>SUMIFS('2. Pricing &amp; Import'!$Y$50:$Y$149,'2. Pricing &amp; Import'!$D$50:$D$149,"CrederaIndia")+SUMIFS('2. Pricing &amp; Import'!$Y$50:$Y$149,'2. Pricing &amp; Import'!$D$50:$D$149,"CrederaLATAM")</f>
        <v>0</v>
      </c>
      <c r="D72" s="458">
        <f>IFERROR(C72/'2. Pricing &amp; Import'!$Y$49,"")</f>
        <v>0</v>
      </c>
      <c r="E72" s="635">
        <f>SUMIF('2. Pricing &amp; Import'!$D$50:$D$149,"CrederaLATAM",'2. Pricing &amp; Import'!$CH$50:$CH$149)+SUMIF('2. Pricing &amp; Import'!$D$50:$D$149,"CrederaIndia",'2. Pricing &amp; Import'!$CH$50:$CH$149)</f>
        <v>0</v>
      </c>
      <c r="F72" s="607">
        <f>IFERROR(E72/'2. Pricing &amp; Import'!$CH$152,"No Entity Revenue")</f>
        <v>0</v>
      </c>
      <c r="H72" s="236" t="s">
        <v>229</v>
      </c>
      <c r="I72" s="550">
        <f>IFERROR(SUMIF('2. Pricing &amp; Import'!$O$50:$O$149,5,'2. Pricing &amp; Import'!$Y$50:$Y$149),"")</f>
        <v>0</v>
      </c>
      <c r="J72" s="81">
        <f t="shared" si="0"/>
        <v>0</v>
      </c>
    </row>
    <row r="73" spans="2:16" x14ac:dyDescent="0.3">
      <c r="B73" s="304" t="s">
        <v>344</v>
      </c>
      <c r="C73" s="603" t="s">
        <v>345</v>
      </c>
      <c r="D73" s="604" t="s">
        <v>345</v>
      </c>
      <c r="E73" s="605" t="s">
        <v>345</v>
      </c>
      <c r="F73" s="606" t="s">
        <v>345</v>
      </c>
      <c r="H73" s="236" t="s">
        <v>231</v>
      </c>
      <c r="I73" s="550">
        <f>IFERROR(SUMIF('2. Pricing &amp; Import'!$O$50:$O$149,6,'2. Pricing &amp; Import'!$Y$50:$Y$149),"")</f>
        <v>0</v>
      </c>
      <c r="J73" s="81">
        <f t="shared" si="0"/>
        <v>0</v>
      </c>
    </row>
    <row r="74" spans="2:16" ht="15" thickBot="1" x14ac:dyDescent="0.35">
      <c r="B74" s="305" t="s">
        <v>346</v>
      </c>
      <c r="C74" s="633">
        <f>SUMIF('2. Pricing &amp; Import'!$D$50:$D$149,"Areteans",'2. Pricing &amp; Import'!$Y$50:$Y$149)</f>
        <v>0</v>
      </c>
      <c r="D74" s="459">
        <f>IFERROR(C74/'2. Pricing &amp; Import'!$Y$49,"")</f>
        <v>0</v>
      </c>
      <c r="E74" s="634">
        <f>SUMIF('2. Pricing &amp; Import'!$D$50:$D$149,"Areteans",'2. Pricing &amp; Import'!$CH$50:$CH$149)</f>
        <v>0</v>
      </c>
      <c r="F74" s="608">
        <f>IFERROR(E74/'2. Pricing &amp; Import'!$CH$152,"")</f>
        <v>0</v>
      </c>
      <c r="H74" s="586" t="s">
        <v>378</v>
      </c>
      <c r="I74" s="636">
        <f>IFERROR(SUMIF('2. Pricing &amp; Import'!$O$50:$O$149,7,'2. Pricing &amp; Import'!$Y$50:$Y$149),"")</f>
        <v>0</v>
      </c>
      <c r="J74" s="537">
        <f t="shared" si="0"/>
        <v>0</v>
      </c>
    </row>
    <row r="75" spans="2:16" x14ac:dyDescent="0.3">
      <c r="K75" s="94"/>
      <c r="L75" s="94"/>
      <c r="M75" s="94"/>
      <c r="N75" s="94"/>
      <c r="O75" s="94"/>
      <c r="P75" s="94"/>
    </row>
    <row r="76" spans="2:16" x14ac:dyDescent="0.3">
      <c r="B76" s="94"/>
      <c r="C76" s="94"/>
      <c r="D76" s="94"/>
      <c r="E76" s="94"/>
      <c r="F76" s="94"/>
      <c r="G76" s="94"/>
      <c r="H76" s="94"/>
      <c r="I76" s="94"/>
      <c r="J76" s="94"/>
      <c r="K76" s="94"/>
      <c r="L76" s="94"/>
      <c r="M76" s="94"/>
      <c r="N76" s="94"/>
      <c r="O76" s="94"/>
      <c r="P76" s="94"/>
    </row>
    <row r="77" spans="2:16" ht="15" x14ac:dyDescent="0.3">
      <c r="B77" s="1032" t="s">
        <v>2373</v>
      </c>
      <c r="C77" s="935"/>
      <c r="D77" s="935"/>
      <c r="E77" s="935"/>
      <c r="F77" s="935"/>
      <c r="G77" s="935"/>
      <c r="H77" s="935"/>
      <c r="I77" s="935"/>
      <c r="J77" s="935"/>
      <c r="K77" s="94"/>
      <c r="L77" s="94"/>
      <c r="M77" s="94"/>
      <c r="N77" s="94"/>
      <c r="O77" s="94"/>
      <c r="P77" s="94"/>
    </row>
    <row r="78" spans="2:16" ht="15" thickBot="1" x14ac:dyDescent="0.35">
      <c r="B78" s="94"/>
      <c r="C78" s="94"/>
      <c r="D78" s="94"/>
      <c r="E78" s="94"/>
      <c r="F78" s="94"/>
      <c r="G78" s="94"/>
      <c r="H78" s="94"/>
      <c r="I78" s="94"/>
      <c r="J78" s="94"/>
      <c r="K78" s="94"/>
      <c r="L78" s="94"/>
      <c r="M78" s="94"/>
      <c r="N78" s="94"/>
      <c r="O78" s="94"/>
      <c r="P78" s="94"/>
    </row>
    <row r="79" spans="2:16" ht="20.25" customHeight="1" thickBot="1" x14ac:dyDescent="0.35">
      <c r="B79" s="1096" t="str">
        <f>'2. Pricing &amp; Import'!M8</f>
        <v>No Approach Options Used</v>
      </c>
      <c r="C79" s="295"/>
      <c r="F79" s="94"/>
      <c r="G79" s="94"/>
      <c r="H79" s="94"/>
      <c r="I79" s="94"/>
      <c r="J79" s="94"/>
      <c r="K79" s="94"/>
      <c r="L79" s="94"/>
      <c r="M79" s="94"/>
      <c r="N79" s="94"/>
      <c r="O79" s="94"/>
      <c r="P79" s="94"/>
    </row>
    <row r="80" spans="2:16" x14ac:dyDescent="0.3">
      <c r="B80" s="1097" t="s">
        <v>353</v>
      </c>
      <c r="C80" s="1098" t="s">
        <v>354</v>
      </c>
      <c r="D80" s="1099" t="s">
        <v>217</v>
      </c>
      <c r="E80" s="1100" t="s">
        <v>218</v>
      </c>
      <c r="F80" s="94"/>
      <c r="G80" s="94"/>
      <c r="H80" s="94"/>
      <c r="I80" s="94"/>
      <c r="J80" s="94"/>
      <c r="K80" s="94"/>
      <c r="L80" s="94"/>
      <c r="M80" s="94"/>
      <c r="N80" s="94"/>
      <c r="O80" s="94"/>
      <c r="P80" s="94"/>
    </row>
    <row r="81" spans="2:16" ht="21" customHeight="1" x14ac:dyDescent="0.3">
      <c r="B81" s="1101" t="str">
        <f>'2. Pricing &amp; Import'!M11</f>
        <v>UX Design</v>
      </c>
      <c r="C81" s="550">
        <f>'2. Pricing &amp; Import'!N11</f>
        <v>54</v>
      </c>
      <c r="D81" s="642">
        <f>SUMIF('2. Pricing &amp; Import'!$S$50:$S$149,'4. Financial Summary &amp; Totals'!B81,'2. Pricing &amp; Import'!$CI$50:$CI$149)</f>
        <v>7700</v>
      </c>
      <c r="E81" s="1102">
        <f>SUMIF('2. Pricing &amp; Import'!$S$50:$S$149,'4. Financial Summary &amp; Totals'!B81,'2. Pricing &amp; Import'!$CH$50:$CH$149)</f>
        <v>50000</v>
      </c>
      <c r="F81" s="94"/>
      <c r="G81" s="94"/>
      <c r="H81" s="94"/>
      <c r="I81" s="94"/>
      <c r="J81" s="94"/>
      <c r="K81" s="94"/>
      <c r="L81" s="94"/>
      <c r="M81" s="94"/>
      <c r="N81" s="94"/>
      <c r="O81" s="94"/>
      <c r="P81" s="94"/>
    </row>
    <row r="82" spans="2:16" x14ac:dyDescent="0.3">
      <c r="B82" s="1101" t="str">
        <f>'2. Pricing &amp; Import'!M12</f>
        <v>Coding</v>
      </c>
      <c r="C82" s="550">
        <f>'2. Pricing &amp; Import'!N12</f>
        <v>53</v>
      </c>
      <c r="D82" s="642">
        <f>SUMIF('2. Pricing &amp; Import'!$S$50:$S$149,'4. Financial Summary &amp; Totals'!B82,'2. Pricing &amp; Import'!$CI$50:$CI$149)</f>
        <v>0</v>
      </c>
      <c r="E82" s="1102">
        <f>SUMIF('2. Pricing &amp; Import'!$S$50:$S$149,'4. Financial Summary &amp; Totals'!B82,'2. Pricing &amp; Import'!$CH$50:$CH$149)</f>
        <v>0</v>
      </c>
      <c r="F82" s="94"/>
      <c r="G82" s="94"/>
      <c r="H82" s="94"/>
      <c r="I82" s="94"/>
      <c r="J82" s="94"/>
      <c r="K82" s="94"/>
      <c r="L82" s="94"/>
      <c r="M82" s="94"/>
      <c r="N82" s="94"/>
      <c r="O82" s="94"/>
      <c r="P82" s="94"/>
    </row>
    <row r="83" spans="2:16" x14ac:dyDescent="0.3">
      <c r="B83" s="1101" t="str">
        <f>'2. Pricing &amp; Import'!M13</f>
        <v>delivery stuff</v>
      </c>
      <c r="C83" s="550">
        <f>'2. Pricing &amp; Import'!N13</f>
        <v>3</v>
      </c>
      <c r="D83" s="642">
        <f>SUMIF('2. Pricing &amp; Import'!$S$50:$S$149,'4. Financial Summary &amp; Totals'!B83,'2. Pricing &amp; Import'!$CI$50:$CI$149)</f>
        <v>0</v>
      </c>
      <c r="E83" s="1102">
        <f>SUMIF('2. Pricing &amp; Import'!$S$50:$S$149,'4. Financial Summary &amp; Totals'!B83,'2. Pricing &amp; Import'!$CH$50:$CH$149)</f>
        <v>0</v>
      </c>
      <c r="F83" s="94"/>
      <c r="G83" s="94"/>
      <c r="H83" s="94"/>
      <c r="I83" s="94"/>
      <c r="J83" s="94"/>
      <c r="K83" s="94"/>
      <c r="L83" s="94"/>
      <c r="M83" s="94"/>
      <c r="N83" s="94"/>
      <c r="O83" s="94"/>
      <c r="P83" s="94"/>
    </row>
    <row r="84" spans="2:16" x14ac:dyDescent="0.3">
      <c r="B84" s="1101" t="str">
        <f>'2. Pricing &amp; Import'!M14</f>
        <v>other bucket</v>
      </c>
      <c r="C84" s="550">
        <f>'2. Pricing &amp; Import'!N14</f>
        <v>0</v>
      </c>
      <c r="D84" s="642">
        <f>SUMIF('2. Pricing &amp; Import'!$S$50:$S$149,'4. Financial Summary &amp; Totals'!B84,'2. Pricing &amp; Import'!$CI$50:$CI$149)</f>
        <v>0</v>
      </c>
      <c r="E84" s="1102">
        <f>SUMIF('2. Pricing &amp; Import'!$S$50:$S$149,'4. Financial Summary &amp; Totals'!B84,'2. Pricing &amp; Import'!$CH$50:$CH$149)</f>
        <v>0</v>
      </c>
      <c r="F84" s="94"/>
      <c r="G84" s="94"/>
      <c r="H84" s="94"/>
      <c r="I84" s="94"/>
      <c r="J84" s="94"/>
      <c r="K84" s="94"/>
      <c r="L84" s="94"/>
      <c r="M84" s="94"/>
      <c r="N84" s="94"/>
      <c r="O84" s="94"/>
      <c r="P84" s="94"/>
    </row>
    <row r="85" spans="2:16" x14ac:dyDescent="0.3">
      <c r="B85" s="1101" t="str">
        <f>'2. Pricing &amp; Import'!M15</f>
        <v>qa work</v>
      </c>
      <c r="C85" s="550">
        <f>'2. Pricing &amp; Import'!N15</f>
        <v>4</v>
      </c>
      <c r="D85" s="642">
        <f>SUMIF('2. Pricing &amp; Import'!$S$50:$S$149,'4. Financial Summary &amp; Totals'!B85,'2. Pricing &amp; Import'!$CI$50:$CI$149)</f>
        <v>67200</v>
      </c>
      <c r="E85" s="1102">
        <f>SUMIF('2. Pricing &amp; Import'!$S$50:$S$149,'4. Financial Summary &amp; Totals'!B85,'2. Pricing &amp; Import'!$CH$50:$CH$149)</f>
        <v>168000</v>
      </c>
      <c r="F85" s="94"/>
      <c r="G85" s="94"/>
      <c r="H85" s="94"/>
      <c r="I85" s="94"/>
      <c r="J85" s="94"/>
      <c r="K85" s="94"/>
      <c r="L85" s="94"/>
      <c r="M85" s="94"/>
      <c r="N85" s="94"/>
      <c r="O85" s="94"/>
      <c r="P85" s="94"/>
    </row>
    <row r="86" spans="2:16" x14ac:dyDescent="0.3">
      <c r="B86" s="1101" t="str">
        <f>'2. Pricing &amp; Import'!M16</f>
        <v>finishing touches</v>
      </c>
      <c r="C86" s="550">
        <f>'2. Pricing &amp; Import'!N16</f>
        <v>0</v>
      </c>
      <c r="D86" s="642">
        <f>SUMIF('2. Pricing &amp; Import'!$S$50:$S$149,'4. Financial Summary &amp; Totals'!B86,'2. Pricing &amp; Import'!$CI$50:$CI$149)</f>
        <v>0</v>
      </c>
      <c r="E86" s="1102">
        <f>SUMIF('2. Pricing &amp; Import'!$S$50:$S$149,'4. Financial Summary &amp; Totals'!B86,'2. Pricing &amp; Import'!$CH$50:$CH$149)</f>
        <v>0</v>
      </c>
      <c r="F86" s="94"/>
      <c r="G86" s="94"/>
      <c r="H86" s="94"/>
      <c r="I86" s="94"/>
      <c r="J86" s="94"/>
      <c r="K86" s="94"/>
      <c r="L86" s="94"/>
      <c r="M86" s="94"/>
      <c r="N86" s="94"/>
      <c r="O86" s="94"/>
      <c r="P86" s="94"/>
    </row>
    <row r="87" spans="2:16" ht="20.25" customHeight="1" x14ac:dyDescent="0.3">
      <c r="B87" s="1101" t="str">
        <f>'2. Pricing &amp; Import'!M17</f>
        <v>[Estimated Bucket 7]</v>
      </c>
      <c r="C87" s="550">
        <f>'2. Pricing &amp; Import'!N17</f>
        <v>0</v>
      </c>
      <c r="D87" s="642">
        <f>SUMIF('2. Pricing &amp; Import'!$S$50:$S$149,'4. Financial Summary &amp; Totals'!B87,'2. Pricing &amp; Import'!$CI$50:$CI$149)</f>
        <v>0</v>
      </c>
      <c r="E87" s="1102">
        <f>SUMIF('2. Pricing &amp; Import'!$S$50:$S$149,'4. Financial Summary &amp; Totals'!B87,'2. Pricing &amp; Import'!$CH$50:$CH$149)</f>
        <v>0</v>
      </c>
      <c r="F87" s="94"/>
      <c r="G87" s="94"/>
      <c r="H87" s="94"/>
      <c r="I87" s="94"/>
      <c r="J87" s="94"/>
      <c r="K87" s="94"/>
      <c r="L87" s="94"/>
      <c r="M87" s="94"/>
      <c r="N87" s="94"/>
      <c r="O87" s="94"/>
      <c r="P87" s="94"/>
    </row>
    <row r="88" spans="2:16" ht="13.05" customHeight="1" x14ac:dyDescent="0.3">
      <c r="B88" s="1101" t="str">
        <f>'2. Pricing &amp; Import'!M18</f>
        <v>[Estimated Bucket 8]</v>
      </c>
      <c r="C88" s="550">
        <f>'2. Pricing &amp; Import'!N18</f>
        <v>0</v>
      </c>
      <c r="D88" s="642">
        <f>SUMIF('2. Pricing &amp; Import'!$S$50:$S$149,'4. Financial Summary &amp; Totals'!B88,'2. Pricing &amp; Import'!$CI$50:$CI$149)</f>
        <v>0</v>
      </c>
      <c r="E88" s="1102">
        <f>SUMIF('2. Pricing &amp; Import'!$S$50:$S$149,'4. Financial Summary &amp; Totals'!B88,'2. Pricing &amp; Import'!$CH$50:$CH$149)</f>
        <v>0</v>
      </c>
      <c r="F88" s="94"/>
      <c r="G88" s="94"/>
      <c r="H88" s="94"/>
      <c r="I88" s="94"/>
      <c r="J88" s="94"/>
      <c r="K88" s="94"/>
      <c r="L88" s="94"/>
      <c r="M88" s="94"/>
      <c r="N88" s="94"/>
      <c r="O88" s="94"/>
      <c r="P88" s="94"/>
    </row>
    <row r="89" spans="2:16" ht="15" customHeight="1" x14ac:dyDescent="0.3">
      <c r="B89" s="1101" t="str">
        <f>'2. Pricing &amp; Import'!M19</f>
        <v>[Estimated Bucket 9]</v>
      </c>
      <c r="C89" s="550">
        <f>'2. Pricing &amp; Import'!N19</f>
        <v>0</v>
      </c>
      <c r="D89" s="642">
        <f>SUMIF('2. Pricing &amp; Import'!$S$50:$S$149,'4. Financial Summary &amp; Totals'!B89,'2. Pricing &amp; Import'!$CI$50:$CI$149)</f>
        <v>0</v>
      </c>
      <c r="E89" s="1102">
        <f>SUMIF('2. Pricing &amp; Import'!$S$50:$S$149,'4. Financial Summary &amp; Totals'!B89,'2. Pricing &amp; Import'!$CH$50:$CH$149)</f>
        <v>0</v>
      </c>
      <c r="F89" s="94"/>
      <c r="G89" s="94"/>
      <c r="H89" s="94"/>
      <c r="I89" s="94"/>
      <c r="J89" s="94"/>
      <c r="K89" s="94"/>
      <c r="L89" s="94"/>
      <c r="M89" s="94"/>
      <c r="N89" s="94"/>
      <c r="O89" s="94"/>
      <c r="P89" s="94"/>
    </row>
    <row r="90" spans="2:16" ht="18" customHeight="1" x14ac:dyDescent="0.3">
      <c r="B90" s="1101" t="str">
        <f>'2. Pricing &amp; Import'!M20</f>
        <v>[Estimated Bucket 10]</v>
      </c>
      <c r="C90" s="550">
        <f>'2. Pricing &amp; Import'!N20</f>
        <v>0</v>
      </c>
      <c r="D90" s="642">
        <f>SUMIF('2. Pricing &amp; Import'!$S$50:$S$149,'4. Financial Summary &amp; Totals'!B90,'2. Pricing &amp; Import'!$CI$50:$CI$149)</f>
        <v>0</v>
      </c>
      <c r="E90" s="1102">
        <f>SUMIF('2. Pricing &amp; Import'!$S$50:$S$149,'4. Financial Summary &amp; Totals'!B90,'2. Pricing &amp; Import'!$CH$50:$CH$149)</f>
        <v>0</v>
      </c>
      <c r="F90" s="94"/>
      <c r="G90" s="94"/>
      <c r="H90" s="94"/>
      <c r="I90" s="94"/>
      <c r="J90" s="94"/>
      <c r="K90" s="94"/>
      <c r="L90" s="94"/>
      <c r="M90" s="94"/>
      <c r="N90" s="94"/>
      <c r="O90" s="94"/>
      <c r="P90" s="94"/>
    </row>
    <row r="91" spans="2:16" ht="17.25" customHeight="1" x14ac:dyDescent="0.3">
      <c r="B91" s="1101" t="str">
        <f>'2. Pricing &amp; Import'!M21</f>
        <v>[Estimated Bucket 11]</v>
      </c>
      <c r="C91" s="550">
        <f>'2. Pricing &amp; Import'!N21</f>
        <v>0</v>
      </c>
      <c r="D91" s="642">
        <f>SUMIF('2. Pricing &amp; Import'!$S$50:$S$149,'4. Financial Summary &amp; Totals'!B91,'2. Pricing &amp; Import'!$CI$50:$CI$149)</f>
        <v>0</v>
      </c>
      <c r="E91" s="1102">
        <f>SUMIF('2. Pricing &amp; Import'!$S$50:$S$149,'4. Financial Summary &amp; Totals'!B91,'2. Pricing &amp; Import'!$CH$50:$CH$149)</f>
        <v>0</v>
      </c>
      <c r="F91" s="94"/>
      <c r="G91" s="94"/>
      <c r="H91" s="94"/>
      <c r="I91" s="94"/>
      <c r="J91" s="94"/>
      <c r="K91" s="94"/>
      <c r="L91" s="94"/>
      <c r="M91" s="94"/>
      <c r="N91" s="94"/>
      <c r="O91" s="94"/>
      <c r="P91" s="94"/>
    </row>
    <row r="92" spans="2:16" ht="17.25" customHeight="1" x14ac:dyDescent="0.3">
      <c r="B92" s="1101" t="str">
        <f>'2. Pricing &amp; Import'!M22</f>
        <v>[Estimated Bucket 12]</v>
      </c>
      <c r="C92" s="550">
        <f>'2. Pricing &amp; Import'!N22</f>
        <v>0</v>
      </c>
      <c r="D92" s="642">
        <f>SUMIF('2. Pricing &amp; Import'!$S$50:$S$149,'4. Financial Summary &amp; Totals'!B92,'2. Pricing &amp; Import'!$CI$50:$CI$149)</f>
        <v>0</v>
      </c>
      <c r="E92" s="1102">
        <f>SUMIF('2. Pricing &amp; Import'!$S$50:$S$149,'4. Financial Summary &amp; Totals'!B92,'2. Pricing &amp; Import'!$CH$50:$CH$149)</f>
        <v>0</v>
      </c>
      <c r="F92" s="94"/>
      <c r="G92" s="94"/>
      <c r="H92" s="94"/>
      <c r="I92" s="94"/>
      <c r="J92" s="94"/>
      <c r="K92" s="94"/>
      <c r="L92" s="94"/>
      <c r="M92" s="94"/>
      <c r="N92" s="94"/>
      <c r="O92" s="94"/>
      <c r="P92" s="94"/>
    </row>
    <row r="93" spans="2:16" x14ac:dyDescent="0.3">
      <c r="B93" s="1101" t="str">
        <f>'2. Pricing &amp; Import'!M23</f>
        <v>[Estimated Bucket 13]</v>
      </c>
      <c r="C93" s="550">
        <f>'2. Pricing &amp; Import'!N23</f>
        <v>0</v>
      </c>
      <c r="D93" s="642">
        <f>SUMIF('2. Pricing &amp; Import'!$S$50:$S$149,'4. Financial Summary &amp; Totals'!B93,'2. Pricing &amp; Import'!$CI$50:$CI$149)</f>
        <v>0</v>
      </c>
      <c r="E93" s="1102">
        <f>SUMIF('2. Pricing &amp; Import'!$S$50:$S$149,'4. Financial Summary &amp; Totals'!B93,'2. Pricing &amp; Import'!$CH$50:$CH$149)</f>
        <v>0</v>
      </c>
      <c r="F93" s="94"/>
      <c r="G93" s="94"/>
      <c r="H93" s="94"/>
      <c r="I93" s="94"/>
      <c r="J93" s="94"/>
      <c r="K93" s="94"/>
      <c r="L93" s="94"/>
      <c r="M93" s="94"/>
      <c r="N93" s="94"/>
      <c r="O93" s="94"/>
      <c r="P93" s="94"/>
    </row>
    <row r="94" spans="2:16" x14ac:dyDescent="0.3">
      <c r="B94" s="1101" t="str">
        <f>'2. Pricing &amp; Import'!M24</f>
        <v>[Estimated Bucket 14]</v>
      </c>
      <c r="C94" s="550">
        <f>'2. Pricing &amp; Import'!N24</f>
        <v>0</v>
      </c>
      <c r="D94" s="642">
        <f>SUMIF('2. Pricing &amp; Import'!$S$50:$S$149,'4. Financial Summary &amp; Totals'!B94,'2. Pricing &amp; Import'!$CI$50:$CI$149)</f>
        <v>0</v>
      </c>
      <c r="E94" s="1102">
        <f>SUMIF('2. Pricing &amp; Import'!$S$50:$S$149,'4. Financial Summary &amp; Totals'!B94,'2. Pricing &amp; Import'!$CH$50:$CH$149)</f>
        <v>0</v>
      </c>
      <c r="F94" s="94"/>
      <c r="G94" s="94"/>
      <c r="H94" s="94"/>
      <c r="I94" s="94"/>
      <c r="J94" s="94"/>
      <c r="K94" s="94"/>
      <c r="L94" s="94"/>
      <c r="M94" s="94"/>
      <c r="N94" s="94"/>
      <c r="O94" s="94"/>
      <c r="P94" s="94"/>
    </row>
    <row r="95" spans="2:16" x14ac:dyDescent="0.3">
      <c r="B95" s="1101" t="str">
        <f>'2. Pricing &amp; Import'!M25</f>
        <v>[Estimated Bucket 15]</v>
      </c>
      <c r="C95" s="550">
        <f>'2. Pricing &amp; Import'!N25</f>
        <v>0</v>
      </c>
      <c r="D95" s="642">
        <f>SUMIF('2. Pricing &amp; Import'!$S$50:$S$149,'4. Financial Summary &amp; Totals'!B95,'2. Pricing &amp; Import'!$CI$50:$CI$149)</f>
        <v>0</v>
      </c>
      <c r="E95" s="1102">
        <f>SUMIF('2. Pricing &amp; Import'!$S$50:$S$149,'4. Financial Summary &amp; Totals'!B95,'2. Pricing &amp; Import'!$CH$50:$CH$149)</f>
        <v>0</v>
      </c>
      <c r="F95" s="94"/>
      <c r="G95" s="94"/>
      <c r="H95" s="94"/>
      <c r="I95" s="94"/>
      <c r="J95" s="94"/>
      <c r="K95" s="94"/>
      <c r="L95" s="94"/>
      <c r="M95" s="94"/>
      <c r="N95" s="94"/>
      <c r="O95" s="94"/>
      <c r="P95" s="94"/>
    </row>
    <row r="96" spans="2:16" x14ac:dyDescent="0.3">
      <c r="B96" s="1101" t="str">
        <f>'2. Pricing &amp; Import'!M26</f>
        <v>[Estimated Bucket 16]</v>
      </c>
      <c r="C96" s="550">
        <f>'2. Pricing &amp; Import'!N26</f>
        <v>0</v>
      </c>
      <c r="D96" s="642">
        <f>SUMIF('2. Pricing &amp; Import'!$S$50:$S$149,'4. Financial Summary &amp; Totals'!B96,'2. Pricing &amp; Import'!$CI$50:$CI$149)</f>
        <v>0</v>
      </c>
      <c r="E96" s="1102">
        <f>SUMIF('2. Pricing &amp; Import'!$S$50:$S$149,'4. Financial Summary &amp; Totals'!B96,'2. Pricing &amp; Import'!$CH$50:$CH$149)</f>
        <v>0</v>
      </c>
      <c r="F96" s="94"/>
      <c r="G96" s="94"/>
      <c r="H96" s="94"/>
      <c r="I96" s="94"/>
      <c r="J96" s="94"/>
      <c r="K96" s="94"/>
      <c r="L96" s="94"/>
      <c r="M96" s="94"/>
      <c r="N96" s="94"/>
      <c r="O96" s="94"/>
      <c r="P96" s="94"/>
    </row>
    <row r="97" spans="2:16" x14ac:dyDescent="0.3">
      <c r="B97" s="1101" t="str">
        <f>'2. Pricing &amp; Import'!M27</f>
        <v>[Estimated Bucket 17]</v>
      </c>
      <c r="C97" s="550">
        <f>'2. Pricing &amp; Import'!N27</f>
        <v>0</v>
      </c>
      <c r="D97" s="642">
        <f>SUMIF('2. Pricing &amp; Import'!$S$50:$S$149,'4. Financial Summary &amp; Totals'!B97,'2. Pricing &amp; Import'!$CI$50:$CI$149)</f>
        <v>0</v>
      </c>
      <c r="E97" s="1102">
        <f>SUMIF('2. Pricing &amp; Import'!$S$50:$S$149,'4. Financial Summary &amp; Totals'!B97,'2. Pricing &amp; Import'!$CH$50:$CH$149)</f>
        <v>0</v>
      </c>
      <c r="F97" s="94"/>
      <c r="G97" s="94"/>
      <c r="H97" s="94"/>
      <c r="I97" s="94"/>
      <c r="J97" s="94"/>
      <c r="K97" s="94"/>
      <c r="L97" s="94"/>
      <c r="M97" s="94"/>
      <c r="N97" s="94"/>
      <c r="O97" s="94"/>
      <c r="P97" s="94"/>
    </row>
    <row r="98" spans="2:16" x14ac:dyDescent="0.3">
      <c r="B98" s="1101" t="str">
        <f>'2. Pricing &amp; Import'!M28</f>
        <v>[Estimated Bucket 18]</v>
      </c>
      <c r="C98" s="550">
        <f>'2. Pricing &amp; Import'!N28</f>
        <v>0</v>
      </c>
      <c r="D98" s="642">
        <f>SUMIF('2. Pricing &amp; Import'!$S$50:$S$149,'4. Financial Summary &amp; Totals'!B98,'2. Pricing &amp; Import'!$CI$50:$CI$149)</f>
        <v>0</v>
      </c>
      <c r="E98" s="1102">
        <f>SUMIF('2. Pricing &amp; Import'!$S$50:$S$149,'4. Financial Summary &amp; Totals'!B98,'2. Pricing &amp; Import'!$CH$50:$CH$149)</f>
        <v>0</v>
      </c>
      <c r="F98" s="94"/>
      <c r="G98" s="94"/>
      <c r="H98" s="94"/>
      <c r="I98" s="94"/>
      <c r="J98" s="94"/>
      <c r="K98" s="94"/>
      <c r="L98" s="94"/>
      <c r="M98" s="94"/>
      <c r="N98" s="94"/>
      <c r="O98" s="94"/>
      <c r="P98" s="94"/>
    </row>
    <row r="99" spans="2:16" x14ac:dyDescent="0.3">
      <c r="B99" s="1101" t="str">
        <f>'2. Pricing &amp; Import'!M29</f>
        <v>[Estimated Bucket 19]</v>
      </c>
      <c r="C99" s="550">
        <f>'2. Pricing &amp; Import'!N29</f>
        <v>0</v>
      </c>
      <c r="D99" s="642">
        <f>SUMIF('2. Pricing &amp; Import'!$S$50:$S$149,'4. Financial Summary &amp; Totals'!B99,'2. Pricing &amp; Import'!$CI$50:$CI$149)</f>
        <v>0</v>
      </c>
      <c r="E99" s="1102">
        <f>SUMIF('2. Pricing &amp; Import'!$S$50:$S$149,'4. Financial Summary &amp; Totals'!B99,'2. Pricing &amp; Import'!$CH$50:$CH$149)</f>
        <v>0</v>
      </c>
      <c r="F99" s="94"/>
      <c r="G99" s="94"/>
      <c r="H99" s="94"/>
      <c r="I99" s="94"/>
      <c r="J99" s="94"/>
      <c r="K99" s="94"/>
      <c r="L99" s="94"/>
      <c r="M99" s="94"/>
      <c r="N99" s="94"/>
      <c r="O99" s="94"/>
      <c r="P99" s="94"/>
    </row>
    <row r="100" spans="2:16" ht="15" thickBot="1" x14ac:dyDescent="0.35">
      <c r="B100" s="1543" t="str">
        <f>'2. Pricing &amp; Import'!M30</f>
        <v>[Estimated Bucket 20]</v>
      </c>
      <c r="C100" s="636">
        <f>'2. Pricing &amp; Import'!N30</f>
        <v>0</v>
      </c>
      <c r="D100" s="1544">
        <f>SUMIF('2. Pricing &amp; Import'!$S$50:$S$149,'4. Financial Summary &amp; Totals'!B100,'2. Pricing &amp; Import'!$CI$50:$CI$149)</f>
        <v>0</v>
      </c>
      <c r="E100" s="1545">
        <f>SUMIF('2. Pricing &amp; Import'!$S$50:$S$149,'4. Financial Summary &amp; Totals'!B100,'2. Pricing &amp; Import'!$CH$50:$CH$149)</f>
        <v>0</v>
      </c>
      <c r="F100" s="94"/>
      <c r="G100" s="94"/>
      <c r="H100" s="94"/>
      <c r="I100" s="94"/>
      <c r="J100" s="94"/>
      <c r="K100" s="94"/>
      <c r="L100" s="94"/>
      <c r="M100" s="94"/>
      <c r="N100" s="94"/>
      <c r="O100" s="94"/>
      <c r="P100" s="94"/>
    </row>
    <row r="101" spans="2:16" x14ac:dyDescent="0.3">
      <c r="B101" s="94"/>
      <c r="C101" s="94"/>
      <c r="D101" s="94"/>
      <c r="E101" s="94"/>
      <c r="F101" s="94"/>
      <c r="G101" s="94"/>
      <c r="H101" s="94"/>
      <c r="I101" s="94"/>
      <c r="J101" s="94"/>
      <c r="K101" s="94"/>
      <c r="L101" s="94"/>
      <c r="M101" s="94"/>
      <c r="N101" s="94"/>
      <c r="O101" s="94"/>
      <c r="P101" s="94"/>
    </row>
    <row r="102" spans="2:16" x14ac:dyDescent="0.3">
      <c r="B102" s="94"/>
      <c r="C102" s="94"/>
      <c r="D102" s="94"/>
      <c r="E102" s="94"/>
      <c r="F102" s="94"/>
      <c r="G102" s="94"/>
      <c r="H102" s="94"/>
      <c r="I102" s="94"/>
      <c r="J102" s="94"/>
      <c r="K102" s="94"/>
      <c r="L102" s="94"/>
      <c r="M102" s="94"/>
      <c r="N102" s="94"/>
      <c r="O102" s="94"/>
      <c r="P102" s="94"/>
    </row>
    <row r="103" spans="2:16" x14ac:dyDescent="0.3">
      <c r="B103" s="94"/>
      <c r="C103" s="94"/>
      <c r="D103" s="94"/>
      <c r="E103" s="94"/>
      <c r="F103" s="94"/>
      <c r="G103" s="94"/>
      <c r="H103" s="94"/>
      <c r="I103" s="94"/>
      <c r="J103" s="94"/>
      <c r="K103" s="94"/>
      <c r="L103" s="94"/>
      <c r="M103" s="94"/>
      <c r="N103" s="94"/>
      <c r="O103" s="94"/>
      <c r="P103" s="94"/>
    </row>
    <row r="104" spans="2:16" x14ac:dyDescent="0.3">
      <c r="B104" s="94"/>
      <c r="C104" s="94"/>
      <c r="D104" s="94"/>
      <c r="E104" s="94"/>
      <c r="F104" s="94"/>
      <c r="G104" s="94"/>
      <c r="H104" s="94"/>
      <c r="I104" s="94"/>
      <c r="J104" s="94"/>
      <c r="K104" s="94"/>
      <c r="L104" s="94"/>
      <c r="M104" s="94"/>
      <c r="N104" s="94"/>
      <c r="O104" s="94"/>
      <c r="P104" s="94"/>
    </row>
    <row r="105" spans="2:16" x14ac:dyDescent="0.3">
      <c r="B105" s="94"/>
      <c r="C105" s="94"/>
      <c r="D105" s="94"/>
      <c r="E105" s="94"/>
      <c r="F105" s="94"/>
      <c r="G105" s="94"/>
      <c r="H105" s="94"/>
      <c r="I105" s="94"/>
      <c r="J105" s="94"/>
      <c r="K105" s="94"/>
      <c r="L105" s="94"/>
      <c r="M105" s="94"/>
      <c r="N105" s="94"/>
      <c r="O105" s="94"/>
      <c r="P105" s="94"/>
    </row>
    <row r="106" spans="2:16" x14ac:dyDescent="0.3">
      <c r="B106" s="94"/>
      <c r="C106" s="94"/>
      <c r="D106" s="94"/>
      <c r="E106" s="94"/>
      <c r="F106" s="94"/>
      <c r="G106" s="94"/>
      <c r="H106" s="94"/>
      <c r="I106" s="94"/>
      <c r="J106" s="94"/>
      <c r="K106" s="94"/>
      <c r="L106" s="94"/>
      <c r="M106" s="94"/>
      <c r="N106" s="94"/>
      <c r="O106" s="94"/>
      <c r="P106" s="94"/>
    </row>
    <row r="107" spans="2:16" x14ac:dyDescent="0.3">
      <c r="B107" s="900"/>
      <c r="C107" s="900"/>
      <c r="D107" s="900"/>
      <c r="E107" s="211"/>
      <c r="F107" s="94"/>
      <c r="G107" s="94"/>
      <c r="H107" s="94"/>
      <c r="I107" s="94"/>
      <c r="J107" s="94"/>
      <c r="K107" s="94"/>
      <c r="L107" s="94"/>
      <c r="M107" s="94"/>
      <c r="N107" s="94"/>
      <c r="O107" s="94"/>
      <c r="P107" s="94"/>
    </row>
    <row r="108" spans="2:16" x14ac:dyDescent="0.3">
      <c r="B108" s="822"/>
      <c r="C108" s="901"/>
      <c r="D108" s="901"/>
      <c r="E108" s="901"/>
      <c r="F108" s="94"/>
      <c r="G108" s="94"/>
      <c r="H108" s="94"/>
      <c r="I108" s="94"/>
      <c r="J108" s="94"/>
      <c r="K108" s="94"/>
      <c r="L108" s="94"/>
      <c r="M108" s="94"/>
      <c r="N108" s="94"/>
      <c r="O108" s="94"/>
      <c r="P108" s="94"/>
    </row>
    <row r="109" spans="2:16" x14ac:dyDescent="0.3">
      <c r="B109" s="901"/>
      <c r="C109" s="902"/>
      <c r="D109" s="902"/>
      <c r="E109" s="902"/>
      <c r="F109" s="94"/>
      <c r="G109" s="94"/>
      <c r="H109" s="94"/>
      <c r="I109" s="94"/>
      <c r="J109" s="94"/>
      <c r="K109" s="94"/>
      <c r="L109" s="94"/>
      <c r="M109" s="94"/>
      <c r="N109" s="94"/>
      <c r="O109" s="94"/>
      <c r="P109" s="94"/>
    </row>
    <row r="110" spans="2:16" x14ac:dyDescent="0.3">
      <c r="B110" s="901"/>
      <c r="C110" s="902"/>
      <c r="D110" s="902"/>
      <c r="E110" s="902"/>
      <c r="F110" s="94"/>
      <c r="G110" s="94"/>
      <c r="H110" s="94"/>
      <c r="I110" s="94"/>
      <c r="J110" s="94"/>
      <c r="K110" s="94"/>
      <c r="L110" s="94"/>
      <c r="M110" s="94"/>
      <c r="N110" s="94"/>
      <c r="O110" s="94"/>
      <c r="P110" s="94"/>
    </row>
    <row r="111" spans="2:16" x14ac:dyDescent="0.3">
      <c r="B111" s="901"/>
      <c r="C111" s="902"/>
      <c r="D111" s="902"/>
      <c r="E111" s="902"/>
      <c r="F111" s="94"/>
      <c r="G111" s="94"/>
      <c r="H111" s="94"/>
      <c r="I111" s="94"/>
      <c r="J111" s="94"/>
    </row>
    <row r="112" spans="2:16" x14ac:dyDescent="0.3">
      <c r="B112" s="356"/>
      <c r="C112" s="365"/>
      <c r="D112" s="365"/>
      <c r="E112" s="365"/>
    </row>
    <row r="113" spans="2:5" x14ac:dyDescent="0.3">
      <c r="B113" s="356"/>
      <c r="C113" s="365"/>
      <c r="D113" s="365"/>
      <c r="E113" s="365"/>
    </row>
    <row r="114" spans="2:5" x14ac:dyDescent="0.3">
      <c r="B114" s="356"/>
      <c r="C114" s="365"/>
      <c r="D114" s="365"/>
      <c r="E114" s="365"/>
    </row>
    <row r="115" spans="2:5" x14ac:dyDescent="0.3">
      <c r="B115" s="356"/>
      <c r="C115" s="365"/>
      <c r="D115" s="365"/>
      <c r="E115" s="365"/>
    </row>
    <row r="116" spans="2:5" x14ac:dyDescent="0.3">
      <c r="B116" s="215"/>
      <c r="C116" s="215"/>
      <c r="D116" s="215"/>
      <c r="E116" s="215"/>
    </row>
  </sheetData>
  <sheetProtection sort="0" autoFilter="0" pivotTables="0"/>
  <mergeCells count="17">
    <mergeCell ref="J1:L1"/>
    <mergeCell ref="B2:C2"/>
    <mergeCell ref="G2:H5"/>
    <mergeCell ref="E9:F9"/>
    <mergeCell ref="E13:F13"/>
    <mergeCell ref="B9:C9"/>
    <mergeCell ref="E20:F26"/>
    <mergeCell ref="H65:J65"/>
    <mergeCell ref="B42:C42"/>
    <mergeCell ref="B31:C31"/>
    <mergeCell ref="B32:C32"/>
    <mergeCell ref="B65:F65"/>
    <mergeCell ref="B29:D29"/>
    <mergeCell ref="B30:C30"/>
    <mergeCell ref="B53:C53"/>
    <mergeCell ref="B33:C33"/>
    <mergeCell ref="B28:C28"/>
  </mergeCells>
  <conditionalFormatting sqref="B29:B37 D31:D32 D34:D36 F50 B53">
    <cfRule type="cellIs" dxfId="83" priority="59" operator="equal">
      <formula>"Onshore"</formula>
    </cfRule>
    <cfRule type="cellIs" dxfId="82" priority="60" operator="equal">
      <formula>"Onsite"</formula>
    </cfRule>
    <cfRule type="cellIs" dxfId="81" priority="61" operator="equal">
      <formula>"Onsite"</formula>
    </cfRule>
    <cfRule type="cellIs" dxfId="80" priority="62" operator="equal">
      <formula>"Onshore"</formula>
    </cfRule>
  </conditionalFormatting>
  <conditionalFormatting sqref="E2">
    <cfRule type="cellIs" dxfId="79" priority="5" operator="notEqual">
      <formula>""</formula>
    </cfRule>
  </conditionalFormatting>
  <conditionalFormatting sqref="J30:J48">
    <cfRule type="beginsWith" dxfId="78" priority="40" operator="beginsWith" text="[">
      <formula>LEFT(J30,LEN("["))="["</formula>
    </cfRule>
  </conditionalFormatting>
  <conditionalFormatting sqref="K30:K46">
    <cfRule type="expression" dxfId="77" priority="171">
      <formula>#REF!="%"</formula>
    </cfRule>
  </conditionalFormatting>
  <conditionalFormatting sqref="K47:K48">
    <cfRule type="expression" dxfId="76" priority="42">
      <formula>$I20="%"</formula>
    </cfRule>
  </conditionalFormatting>
  <conditionalFormatting sqref="L30:L46">
    <cfRule type="expression" dxfId="75" priority="173">
      <formula>#REF!="Hrs"</formula>
    </cfRule>
  </conditionalFormatting>
  <conditionalFormatting sqref="L47:L48">
    <cfRule type="expression" dxfId="74" priority="41">
      <formula>$I20="Hrs"</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0"/>
  </sheetPr>
  <dimension ref="B2:E21"/>
  <sheetViews>
    <sheetView showGridLines="0" zoomScale="70" workbookViewId="0">
      <selection activeCell="E12" sqref="E12"/>
    </sheetView>
  </sheetViews>
  <sheetFormatPr defaultColWidth="8.77734375" defaultRowHeight="13.8" x14ac:dyDescent="0.25"/>
  <cols>
    <col min="1" max="1" width="8.77734375" style="1489"/>
    <col min="2" max="2" width="22.88671875" style="1489" hidden="1" customWidth="1"/>
    <col min="3" max="3" width="29.77734375" style="1489" customWidth="1"/>
    <col min="4" max="4" width="98.21875" style="1489" bestFit="1" customWidth="1"/>
    <col min="5" max="5" width="69.109375" style="1489" customWidth="1"/>
    <col min="6" max="6" width="8.77734375" style="1489"/>
    <col min="7" max="7" width="17.44140625" style="1489" bestFit="1" customWidth="1"/>
    <col min="8" max="16384" width="8.77734375" style="1489"/>
  </cols>
  <sheetData>
    <row r="2" spans="2:5" ht="22.5" customHeight="1" x14ac:dyDescent="0.25"/>
    <row r="3" spans="2:5" ht="24.45" customHeight="1" x14ac:dyDescent="0.25">
      <c r="C3" s="1709" t="str">
        <f>IF(COUNTIF(B8:B18,"FAIL")&gt;0,"RPE Not Ready for Upload","RPE Ready for Upload")</f>
        <v>RPE Not Ready for Upload</v>
      </c>
      <c r="D3" s="1710" t="str">
        <f>IF(C3="RPE Not Ready for Upload","Please see below list to determine what inputs are needed for your RPE to upload successfully","")</f>
        <v>Please see below list to determine what inputs are needed for your RPE to upload successfully</v>
      </c>
    </row>
    <row r="4" spans="2:5" ht="30.45" customHeight="1" x14ac:dyDescent="0.25">
      <c r="C4" s="1709"/>
      <c r="D4" s="1710"/>
    </row>
    <row r="7" spans="2:5" ht="22.8" thickBot="1" x14ac:dyDescent="0.4">
      <c r="B7" s="1491" t="s">
        <v>2323</v>
      </c>
      <c r="C7" s="1495" t="s">
        <v>2330</v>
      </c>
      <c r="D7" s="1496" t="s">
        <v>2063</v>
      </c>
      <c r="E7" s="1497" t="s">
        <v>2329</v>
      </c>
    </row>
    <row r="8" spans="2:5" ht="27" customHeight="1" x14ac:dyDescent="0.25">
      <c r="B8" s="1490" t="str">
        <f>IF('1. Project Inputs'!C13="Select Entity","FAIL","PASS")</f>
        <v>PASS</v>
      </c>
      <c r="C8" s="1498" t="s">
        <v>2066</v>
      </c>
      <c r="D8" s="1499" t="s">
        <v>2310</v>
      </c>
      <c r="E8" s="1500" t="s">
        <v>2312</v>
      </c>
    </row>
    <row r="9" spans="2:5" ht="30" customHeight="1" x14ac:dyDescent="0.25">
      <c r="B9" s="1490" t="str">
        <f>IF('1. Project Inputs'!C16="Manual Entry","FAIL","PASS")</f>
        <v>FAIL</v>
      </c>
      <c r="C9" s="1501" t="s">
        <v>2303</v>
      </c>
      <c r="D9" s="1502" t="s">
        <v>2311</v>
      </c>
      <c r="E9" s="1503" t="s">
        <v>2313</v>
      </c>
    </row>
    <row r="10" spans="2:5" ht="37.950000000000003" customHeight="1" x14ac:dyDescent="0.25">
      <c r="B10" s="1490" t="str">
        <f>IF('1. Project Inputs'!C18="Select","FAIL","PASS")</f>
        <v>PASS</v>
      </c>
      <c r="C10" s="1501" t="s">
        <v>77</v>
      </c>
      <c r="D10" s="1504" t="s">
        <v>2314</v>
      </c>
      <c r="E10" s="1505" t="s">
        <v>2326</v>
      </c>
    </row>
    <row r="11" spans="2:5" ht="55.5" customHeight="1" x14ac:dyDescent="0.25">
      <c r="B11" s="1490" t="str">
        <f>IF('1. Project Inputs'!C19="Select Type","FAIL","PASS")</f>
        <v>PASS</v>
      </c>
      <c r="C11" s="1501" t="s">
        <v>2304</v>
      </c>
      <c r="D11" s="1504" t="s">
        <v>2315</v>
      </c>
      <c r="E11" s="1505" t="s">
        <v>2324</v>
      </c>
    </row>
    <row r="12" spans="2:5" ht="55.05" customHeight="1" x14ac:dyDescent="0.25">
      <c r="B12" s="1490" t="str">
        <f>IF('1. Project Inputs'!C21="Manual Entry","FAIL","PASS")</f>
        <v>PASS</v>
      </c>
      <c r="C12" s="1501" t="s">
        <v>2089</v>
      </c>
      <c r="D12" s="1502" t="s">
        <v>2316</v>
      </c>
      <c r="E12" s="1505" t="s">
        <v>2325</v>
      </c>
    </row>
    <row r="13" spans="2:5" ht="75" customHeight="1" x14ac:dyDescent="0.25">
      <c r="B13" s="1490" t="str">
        <f>IF('1. Project Inputs'!C22="Select Type","FAIL","PASS")</f>
        <v>PASS</v>
      </c>
      <c r="C13" s="1501" t="s">
        <v>81</v>
      </c>
      <c r="D13" s="1502" t="s">
        <v>2317</v>
      </c>
      <c r="E13" s="1505" t="s">
        <v>2327</v>
      </c>
    </row>
    <row r="14" spans="2:5" ht="59.55" customHeight="1" x14ac:dyDescent="0.25">
      <c r="B14" s="1490" t="str">
        <f>IF('2. Pricing &amp; Import'!D19="WEEKS","FAIL","PASS")</f>
        <v>PASS</v>
      </c>
      <c r="C14" s="1501" t="s">
        <v>2305</v>
      </c>
      <c r="D14" s="1504" t="s">
        <v>2318</v>
      </c>
      <c r="E14" s="1505" t="s">
        <v>2328</v>
      </c>
    </row>
    <row r="15" spans="2:5" ht="105" x14ac:dyDescent="0.25">
      <c r="B15" s="1490" t="str">
        <f>IF(AND('1. Project Inputs'!C19="Client Custom Rates",ISBLANK('1. Project Inputs'!C20)),"FAIL","PASS")</f>
        <v>PASS</v>
      </c>
      <c r="C15" s="1501" t="s">
        <v>2306</v>
      </c>
      <c r="D15" s="1504" t="s">
        <v>2319</v>
      </c>
      <c r="E15" s="1505" t="s">
        <v>2334</v>
      </c>
    </row>
    <row r="16" spans="2:5" ht="60" x14ac:dyDescent="0.25">
      <c r="B16" s="1490"/>
      <c r="C16" s="1501" t="s">
        <v>2307</v>
      </c>
      <c r="D16" s="1502" t="s">
        <v>2320</v>
      </c>
      <c r="E16" s="1505" t="s">
        <v>2331</v>
      </c>
    </row>
    <row r="17" spans="2:5" ht="45" x14ac:dyDescent="0.25">
      <c r="B17" s="1490" t="str">
        <f>IF(COUNTA('2. Pricing &amp; Import'!K50:K150)&lt;1,"FAIL","PASS")</f>
        <v>PASS</v>
      </c>
      <c r="C17" s="1501" t="s">
        <v>2308</v>
      </c>
      <c r="D17" s="1502" t="s">
        <v>2321</v>
      </c>
      <c r="E17" s="1505" t="s">
        <v>2332</v>
      </c>
    </row>
    <row r="18" spans="2:5" ht="45" x14ac:dyDescent="0.25">
      <c r="B18" s="1490" t="str">
        <f>IF('2. Pricing &amp; Import'!Y49&lt;1,"FAIL","PASS")</f>
        <v>PASS</v>
      </c>
      <c r="C18" s="1501" t="s">
        <v>2309</v>
      </c>
      <c r="D18" s="1502" t="s">
        <v>2322</v>
      </c>
      <c r="E18" s="1505" t="s">
        <v>2333</v>
      </c>
    </row>
    <row r="19" spans="2:5" ht="15" x14ac:dyDescent="0.25">
      <c r="C19" s="1493"/>
      <c r="D19" s="1493"/>
      <c r="E19" s="1494"/>
    </row>
    <row r="20" spans="2:5" ht="15" x14ac:dyDescent="0.25">
      <c r="C20" s="1492"/>
      <c r="D20" s="1492"/>
      <c r="E20" s="1492"/>
    </row>
    <row r="21" spans="2:5" ht="15" x14ac:dyDescent="0.25">
      <c r="C21" s="1492"/>
      <c r="D21" s="1492"/>
      <c r="E21" s="1492"/>
    </row>
  </sheetData>
  <mergeCells count="2">
    <mergeCell ref="C3:C4"/>
    <mergeCell ref="D3:D4"/>
  </mergeCells>
  <conditionalFormatting sqref="C3">
    <cfRule type="cellIs" dxfId="73" priority="1" operator="equal">
      <formula>"RPE Ready for Upload"</formula>
    </cfRule>
    <cfRule type="cellIs" dxfId="72" priority="2" operator="equal">
      <formula>"RPE Not Ready for Upload"</formula>
    </cfRule>
  </conditionalFormatting>
  <conditionalFormatting sqref="C8:C18">
    <cfRule type="expression" dxfId="71" priority="3">
      <formula>$B8="FAIL"</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5" tint="0.79998168889431442"/>
  </sheetPr>
  <dimension ref="B1:P131"/>
  <sheetViews>
    <sheetView showGridLines="0" topLeftCell="A47" zoomScale="70" workbookViewId="0">
      <selection activeCell="B42" sqref="B42:F51"/>
    </sheetView>
  </sheetViews>
  <sheetFormatPr defaultColWidth="9.21875" defaultRowHeight="13.8" outlineLevelCol="1" x14ac:dyDescent="0.25"/>
  <cols>
    <col min="1" max="1" width="5" style="1207" customWidth="1"/>
    <col min="2" max="2" width="39.21875" style="1207" customWidth="1"/>
    <col min="3" max="4" width="13.5546875" style="1207" customWidth="1"/>
    <col min="5" max="5" width="19" style="1207" customWidth="1"/>
    <col min="6" max="6" width="32.21875" style="1207" customWidth="1"/>
    <col min="7" max="9" width="9.21875" style="1207"/>
    <col min="10" max="10" width="45.5546875" style="1207" bestFit="1" customWidth="1"/>
    <col min="11" max="11" width="9.21875" style="1207"/>
    <col min="12" max="13" width="36.21875" style="23" customWidth="1" outlineLevel="1"/>
    <col min="14" max="14" width="21.77734375" style="8" customWidth="1" outlineLevel="1"/>
    <col min="15" max="15" width="9.21875" style="8"/>
    <col min="16" max="16384" width="9.21875" style="1207"/>
  </cols>
  <sheetData>
    <row r="1" spans="2:15" x14ac:dyDescent="0.25">
      <c r="B1" s="50"/>
    </row>
    <row r="2" spans="2:15" ht="37.049999999999997" customHeight="1" x14ac:dyDescent="0.25">
      <c r="B2" s="1208" t="s">
        <v>2082</v>
      </c>
      <c r="F2" s="1485" t="str">
        <f>'2. Pricing &amp; Import'!G7</f>
        <v>RPE INCOMPLETE -- WILL NOT UPLOAD</v>
      </c>
    </row>
    <row r="3" spans="2:15" x14ac:dyDescent="0.25">
      <c r="B3" s="1209"/>
      <c r="F3" s="1485" t="str">
        <f>IF(B56="Commerical Review Required","Commerical Review Required",IF(B56="Commerical Validation Passed","",""))</f>
        <v/>
      </c>
    </row>
    <row r="4" spans="2:15" ht="24" customHeight="1" x14ac:dyDescent="0.25">
      <c r="B4" s="1210" t="s">
        <v>2083</v>
      </c>
      <c r="C4" s="1211"/>
      <c r="D4" s="1211"/>
      <c r="E4" s="1211"/>
      <c r="F4" s="1211"/>
    </row>
    <row r="5" spans="2:15" x14ac:dyDescent="0.25">
      <c r="B5" s="1212"/>
    </row>
    <row r="6" spans="2:15" s="50" customFormat="1" x14ac:dyDescent="0.25">
      <c r="B6" s="1213" t="s">
        <v>1456</v>
      </c>
      <c r="C6" s="1734" t="str">
        <f>'1. Project Inputs'!C12</f>
        <v>McDonald's</v>
      </c>
      <c r="D6" s="1734"/>
      <c r="E6" s="1734"/>
      <c r="F6" s="1734"/>
      <c r="I6" s="1743" t="s">
        <v>1</v>
      </c>
      <c r="J6" s="1743"/>
      <c r="L6" s="23"/>
      <c r="M6" s="23"/>
      <c r="N6" s="8"/>
      <c r="O6" s="8"/>
    </row>
    <row r="7" spans="2:15" s="50" customFormat="1" x14ac:dyDescent="0.25">
      <c r="B7" s="1213" t="s">
        <v>2084</v>
      </c>
      <c r="C7" s="1734" t="s">
        <v>10</v>
      </c>
      <c r="D7" s="1734"/>
      <c r="E7" s="1734"/>
      <c r="F7" s="1734"/>
      <c r="I7" s="1215"/>
      <c r="J7" s="1216" t="s">
        <v>2085</v>
      </c>
      <c r="K7" s="23"/>
      <c r="L7" s="8"/>
      <c r="M7" s="8"/>
    </row>
    <row r="8" spans="2:15" s="50" customFormat="1" x14ac:dyDescent="0.25">
      <c r="B8" s="1213" t="s">
        <v>2086</v>
      </c>
      <c r="C8" s="1734" t="s">
        <v>10</v>
      </c>
      <c r="D8" s="1734"/>
      <c r="E8" s="1734"/>
      <c r="F8" s="1734"/>
      <c r="I8" s="1217"/>
      <c r="J8" s="1216" t="s">
        <v>2087</v>
      </c>
      <c r="L8" s="23"/>
      <c r="M8" s="23"/>
      <c r="N8" s="8"/>
      <c r="O8" s="8"/>
    </row>
    <row r="9" spans="2:15" s="50" customFormat="1" x14ac:dyDescent="0.25">
      <c r="B9" s="1213" t="s">
        <v>76</v>
      </c>
      <c r="C9" s="1734" t="s">
        <v>10</v>
      </c>
      <c r="D9" s="1734"/>
      <c r="E9" s="1734"/>
      <c r="F9" s="1734"/>
      <c r="I9" s="1218"/>
      <c r="J9" s="1216" t="s">
        <v>2088</v>
      </c>
      <c r="L9" s="23"/>
      <c r="M9" s="23"/>
      <c r="N9" s="8"/>
      <c r="O9" s="8"/>
    </row>
    <row r="10" spans="2:15" s="50" customFormat="1" x14ac:dyDescent="0.25">
      <c r="B10" s="1213" t="s">
        <v>77</v>
      </c>
      <c r="C10" s="1734" t="str">
        <f>'1. Project Inputs'!C18</f>
        <v>Consulting</v>
      </c>
      <c r="D10" s="1734"/>
      <c r="E10" s="1734"/>
      <c r="F10" s="1734"/>
      <c r="L10" s="23"/>
      <c r="M10" s="23"/>
      <c r="N10" s="8"/>
      <c r="O10" s="8"/>
    </row>
    <row r="11" spans="2:15" s="50" customFormat="1" x14ac:dyDescent="0.25">
      <c r="B11" s="1213" t="s">
        <v>142</v>
      </c>
      <c r="C11" s="1734" t="str">
        <f>'1. Project Inputs'!C19</f>
        <v>Standard Rates</v>
      </c>
      <c r="D11" s="1734"/>
      <c r="E11" s="1734"/>
      <c r="F11" s="1734"/>
      <c r="L11" s="23"/>
      <c r="M11" s="23"/>
      <c r="N11" s="8"/>
      <c r="O11" s="8"/>
    </row>
    <row r="12" spans="2:15" s="50" customFormat="1" x14ac:dyDescent="0.25">
      <c r="B12" s="1213" t="s">
        <v>2089</v>
      </c>
      <c r="C12" s="1735">
        <f>'1. Project Inputs'!C21</f>
        <v>45776</v>
      </c>
      <c r="D12" s="1735"/>
      <c r="E12" s="1735"/>
      <c r="F12" s="1735"/>
      <c r="L12" s="23"/>
      <c r="M12" s="23"/>
      <c r="N12" s="8"/>
      <c r="O12" s="8"/>
    </row>
    <row r="13" spans="2:15" s="50" customFormat="1" x14ac:dyDescent="0.25">
      <c r="B13" s="1213" t="s">
        <v>143</v>
      </c>
      <c r="C13" s="1736">
        <f>'2. Pricing &amp; Import'!D19</f>
        <v>20</v>
      </c>
      <c r="D13" s="1737"/>
      <c r="E13" s="1737"/>
      <c r="F13" s="1737"/>
      <c r="L13" s="23"/>
      <c r="M13" s="23"/>
      <c r="N13" s="8"/>
      <c r="O13" s="8"/>
    </row>
    <row r="14" spans="2:15" x14ac:dyDescent="0.25">
      <c r="B14" s="1219"/>
      <c r="C14" s="1220"/>
    </row>
    <row r="15" spans="2:15" ht="24" customHeight="1" x14ac:dyDescent="0.25">
      <c r="B15" s="1210" t="s">
        <v>2090</v>
      </c>
      <c r="C15" s="1211"/>
      <c r="D15" s="1211"/>
      <c r="E15" s="1211"/>
      <c r="F15" s="1211"/>
    </row>
    <row r="16" spans="2:15" ht="30" customHeight="1" x14ac:dyDescent="0.25">
      <c r="B16" s="1738" t="s">
        <v>2091</v>
      </c>
      <c r="C16" s="1738"/>
      <c r="D16" s="1738"/>
      <c r="E16" s="1738"/>
      <c r="F16" s="1738"/>
    </row>
    <row r="17" spans="2:15" ht="14.4" thickBot="1" x14ac:dyDescent="0.3">
      <c r="B17" s="1221" t="s">
        <v>2092</v>
      </c>
      <c r="C17" s="1739" t="s">
        <v>2093</v>
      </c>
      <c r="D17" s="1739"/>
      <c r="E17" s="1221" t="s">
        <v>2094</v>
      </c>
      <c r="F17" s="1221" t="s">
        <v>2095</v>
      </c>
      <c r="O17" s="1222"/>
    </row>
    <row r="18" spans="2:15" ht="14.4" thickTop="1" x14ac:dyDescent="0.25">
      <c r="B18" s="1740" t="s">
        <v>2096</v>
      </c>
      <c r="C18" s="1740"/>
      <c r="D18" s="1740"/>
      <c r="E18" s="1740"/>
      <c r="F18" s="1740"/>
      <c r="O18" s="49"/>
    </row>
    <row r="19" spans="2:15" x14ac:dyDescent="0.25">
      <c r="B19" s="1223" t="s">
        <v>219</v>
      </c>
      <c r="C19" s="1741">
        <f>'2. Pricing &amp; Import'!D25</f>
        <v>358000</v>
      </c>
      <c r="D19" s="1741"/>
      <c r="E19" s="1224" t="str">
        <f>IF(C19="","MISSING INFO",IF(C19&gt;M58,"&gt;"&amp;TEXT(M58/1000000, "$#,##0.0") &amp; "M",""))</f>
        <v/>
      </c>
      <c r="F19" s="1225"/>
    </row>
    <row r="20" spans="2:15" x14ac:dyDescent="0.25">
      <c r="B20" s="1223" t="s">
        <v>222</v>
      </c>
      <c r="C20" s="1742">
        <f>'2. Pricing &amp; Import'!D30</f>
        <v>0.45782122905027933</v>
      </c>
      <c r="D20" s="1742"/>
      <c r="E20" s="1226" t="str">
        <f>IF(C20="","MISSING INFO",IF(C20&lt;M59,"&lt;"&amp;TEXT(M59,"0%"),""))</f>
        <v/>
      </c>
      <c r="F20" s="1227"/>
    </row>
    <row r="21" spans="2:15" x14ac:dyDescent="0.25">
      <c r="B21" s="1228"/>
      <c r="C21" s="1214" t="s">
        <v>2097</v>
      </c>
      <c r="D21" s="1214" t="s">
        <v>2098</v>
      </c>
      <c r="E21" s="1730"/>
      <c r="F21" s="1731"/>
    </row>
    <row r="22" spans="2:15" x14ac:dyDescent="0.25">
      <c r="B22" s="1223" t="s">
        <v>2099</v>
      </c>
      <c r="C22" s="1229">
        <f>'2. Pricing &amp; Import'!D29</f>
        <v>159.82142857142858</v>
      </c>
      <c r="D22" s="1229">
        <f>'2. Pricing &amp; Import'!CI152/'2. Pricing &amp; Import'!Y49</f>
        <v>86.651785714285708</v>
      </c>
      <c r="E22" s="1230" t="str">
        <f>IF(OR(C22="",D22=""),"MISSING INFO","")</f>
        <v/>
      </c>
      <c r="F22" s="1225"/>
    </row>
    <row r="23" spans="2:15" x14ac:dyDescent="0.25">
      <c r="B23" s="1223" t="s">
        <v>2100</v>
      </c>
      <c r="C23" s="1229">
        <f>'4. Financial Summary &amp; Totals'!C55</f>
        <v>186.25</v>
      </c>
      <c r="D23" s="1229">
        <f>IFERROR((SUMIF('2. Pricing &amp; Import'!P50:P149,"Onshore",'2. Pricing &amp; Import'!CI50:CI149))/SUMIF('2. Pricing &amp; Import'!P50:P149,"Onshore",'2. Pricing &amp; Import'!Y50:Y149),"")</f>
        <v>110.8125</v>
      </c>
      <c r="E23" s="1230" t="str">
        <f t="shared" ref="E23:E24" si="0">IF(OR(C23="",D23=""),"MISSING INFO","")</f>
        <v/>
      </c>
      <c r="F23" s="1231"/>
    </row>
    <row r="24" spans="2:15" x14ac:dyDescent="0.25">
      <c r="B24" s="1223" t="s">
        <v>2101</v>
      </c>
      <c r="C24" s="1229">
        <f>'4. Financial Summary &amp; Totals'!C54</f>
        <v>75</v>
      </c>
      <c r="D24" s="1229">
        <f>IFERROR((SUMIF('2. Pricing &amp; Import'!P50:P149,"Offshore",'2. Pricing &amp; Import'!CI50:CI149))/SUMIF('2. Pricing &amp; Import'!P50:P149,"Offshore",'2. Pricing &amp; Import'!Y50:Y149),"")</f>
        <v>21</v>
      </c>
      <c r="E24" s="1230" t="str">
        <f t="shared" si="0"/>
        <v/>
      </c>
      <c r="F24" s="1231"/>
    </row>
    <row r="25" spans="2:15" x14ac:dyDescent="0.25">
      <c r="B25" s="1232"/>
      <c r="C25" s="1233"/>
      <c r="D25" s="1234"/>
      <c r="E25" s="1234"/>
      <c r="F25" s="1234"/>
    </row>
    <row r="26" spans="2:15" x14ac:dyDescent="0.25">
      <c r="B26" s="1727" t="s">
        <v>2102</v>
      </c>
      <c r="C26" s="1727"/>
      <c r="D26" s="1727"/>
      <c r="E26" s="1727"/>
      <c r="F26" s="1727"/>
    </row>
    <row r="27" spans="2:15" ht="30" customHeight="1" x14ac:dyDescent="0.25">
      <c r="B27" s="1223" t="s">
        <v>2103</v>
      </c>
      <c r="C27" s="1729" t="str">
        <f>'1. Project Inputs'!C22</f>
        <v>Fixed Fee</v>
      </c>
      <c r="D27" s="1729"/>
      <c r="E27" s="1224" t="str">
        <f>IFERROR(IF(VLOOKUP(C27,L63:N66,3,0)=0,"",VLOOKUP(C27,L63:N66,3,0)),"MISSING INFO")</f>
        <v>MISSING INFO</v>
      </c>
      <c r="F27" s="1225"/>
    </row>
    <row r="28" spans="2:15" x14ac:dyDescent="0.25">
      <c r="B28" s="1223" t="s">
        <v>2104</v>
      </c>
      <c r="C28" s="1733">
        <f>'4. Financial Summary &amp; Totals'!D32</f>
        <v>0</v>
      </c>
      <c r="D28" s="1733"/>
      <c r="E28" s="1226" t="str">
        <f>IF(C28="","MISSING INFO",IFERROR(IF(C28&lt;VLOOKUP(C27,L63:M66,2,0),"&lt;"&amp;TEXT(VLOOKUP(C27,L63:M66,2,0),"0%"),""),"MISSING INFO"))</f>
        <v>MISSING INFO</v>
      </c>
      <c r="F28" s="1225"/>
    </row>
    <row r="29" spans="2:15" x14ac:dyDescent="0.25">
      <c r="B29" s="1232"/>
      <c r="C29" s="1233"/>
      <c r="D29" s="1234"/>
      <c r="E29" s="1234"/>
      <c r="F29" s="1234"/>
    </row>
    <row r="30" spans="2:15" x14ac:dyDescent="0.25">
      <c r="B30" s="1727" t="s">
        <v>2105</v>
      </c>
      <c r="C30" s="1727"/>
      <c r="D30" s="1727"/>
      <c r="E30" s="1727"/>
      <c r="F30" s="1727"/>
    </row>
    <row r="31" spans="2:15" x14ac:dyDescent="0.25">
      <c r="B31" s="1223" t="s">
        <v>2106</v>
      </c>
      <c r="C31" s="1728">
        <f>COUNTA('2. Pricing &amp; Import'!$K$50:$K$149)</f>
        <v>4</v>
      </c>
      <c r="D31" s="1728"/>
      <c r="E31" s="1236" t="str">
        <f>IF(C31="","MISSING INFO","")</f>
        <v/>
      </c>
      <c r="F31" s="1225"/>
    </row>
    <row r="32" spans="2:15" ht="30" customHeight="1" x14ac:dyDescent="0.25">
      <c r="B32" s="1237" t="s">
        <v>2107</v>
      </c>
      <c r="C32" s="1729" t="s">
        <v>2138</v>
      </c>
      <c r="D32" s="1729"/>
      <c r="E32" s="1224" t="str">
        <f>IFERROR(IF(VLOOKUP(C32,L70:N71,3,0)=0,"",VLOOKUP(C32,L70:N71,3,0)),"MISSING INFO")</f>
        <v/>
      </c>
      <c r="F32" s="1227"/>
    </row>
    <row r="33" spans="2:7" x14ac:dyDescent="0.25">
      <c r="B33" s="1228"/>
      <c r="C33" s="1214" t="s">
        <v>2108</v>
      </c>
      <c r="D33" s="1214" t="s">
        <v>2109</v>
      </c>
      <c r="E33" s="1730"/>
      <c r="F33" s="1731"/>
    </row>
    <row r="34" spans="2:7" x14ac:dyDescent="0.25">
      <c r="B34" s="1223" t="s">
        <v>2110</v>
      </c>
      <c r="C34" s="1238" t="str">
        <f>IF(SUM(C35:C39)&lt;&gt;0,SUM(C35:C39),"")</f>
        <v/>
      </c>
      <c r="D34" s="1235" t="str">
        <f>IF(C34="","",C34/'4. Financial Summary &amp; Totals'!C60)</f>
        <v/>
      </c>
      <c r="E34" s="1224" t="str">
        <f>IF(D34="","MISSING INFO",IF(D34&lt;M73,"&lt;"&amp;TEXT(M73,"0%"),""))</f>
        <v>MISSING INFO</v>
      </c>
      <c r="F34" s="1227"/>
      <c r="G34" s="1239"/>
    </row>
    <row r="35" spans="2:7" ht="55.2" x14ac:dyDescent="0.25">
      <c r="B35" s="1240" t="s">
        <v>2111</v>
      </c>
      <c r="C35" s="1238" t="s">
        <v>2174</v>
      </c>
      <c r="D35" s="1235"/>
      <c r="E35" s="1236" t="str">
        <f>IF(D35="","MISSING INFO","")</f>
        <v>MISSING INFO</v>
      </c>
      <c r="F35" s="1227"/>
    </row>
    <row r="36" spans="2:7" x14ac:dyDescent="0.25">
      <c r="B36" s="1240" t="s">
        <v>2112</v>
      </c>
      <c r="C36" s="1238"/>
      <c r="D36" s="1235"/>
      <c r="E36" s="1236" t="str">
        <f>IF(D36="","MISSING INFO","")</f>
        <v>MISSING INFO</v>
      </c>
      <c r="F36" s="1227"/>
    </row>
    <row r="37" spans="2:7" x14ac:dyDescent="0.25">
      <c r="B37" s="1240" t="s">
        <v>2113</v>
      </c>
      <c r="C37" s="1238"/>
      <c r="D37" s="1235"/>
      <c r="E37" s="1236" t="str">
        <f>IF(D37="","MISSING INFO","")</f>
        <v>MISSING INFO</v>
      </c>
      <c r="F37" s="1227"/>
    </row>
    <row r="38" spans="2:7" x14ac:dyDescent="0.25">
      <c r="B38" s="1240" t="s">
        <v>2114</v>
      </c>
      <c r="C38" s="1238"/>
      <c r="D38" s="1235"/>
      <c r="E38" s="1236" t="str">
        <f>IF(D38="","MISSING INFO","")</f>
        <v>MISSING INFO</v>
      </c>
      <c r="F38" s="1227"/>
    </row>
    <row r="39" spans="2:7" x14ac:dyDescent="0.25">
      <c r="B39" s="1240" t="s">
        <v>2115</v>
      </c>
      <c r="C39" s="1238"/>
      <c r="D39" s="1235"/>
      <c r="E39" s="1236" t="str">
        <f>IF(D39="","MISSING INFO","")</f>
        <v>MISSING INFO</v>
      </c>
      <c r="F39" s="1227"/>
    </row>
    <row r="40" spans="2:7" ht="45" customHeight="1" x14ac:dyDescent="0.25">
      <c r="B40" s="1223" t="s">
        <v>2116</v>
      </c>
      <c r="C40" s="1732">
        <f>'4. Financial Summary &amp; Totals'!J74</f>
        <v>0</v>
      </c>
      <c r="D40" s="1732"/>
      <c r="E40" s="1224" t="str">
        <f>IF(C40="","MISSING INFO",IF(C40&lt;M74,"&lt;"&amp;TEXT(M74,"0%"),""))</f>
        <v>&lt;5%</v>
      </c>
      <c r="F40" s="1227"/>
    </row>
    <row r="41" spans="2:7" x14ac:dyDescent="0.25">
      <c r="B41" s="50"/>
      <c r="C41" s="50"/>
      <c r="D41" s="50"/>
      <c r="E41" s="50"/>
      <c r="F41" s="50"/>
    </row>
    <row r="42" spans="2:7" x14ac:dyDescent="0.25">
      <c r="B42" s="1727" t="s">
        <v>2117</v>
      </c>
      <c r="C42" s="1727"/>
      <c r="D42" s="1727"/>
      <c r="E42" s="1727"/>
      <c r="F42" s="1727"/>
    </row>
    <row r="43" spans="2:7" ht="45" customHeight="1" x14ac:dyDescent="0.25">
      <c r="B43" s="1223" t="s">
        <v>2118</v>
      </c>
      <c r="C43" s="1712" t="s">
        <v>2143</v>
      </c>
      <c r="D43" s="1712"/>
      <c r="E43" s="1224" t="str">
        <f>IFERROR(IF(VLOOKUP(C43,L78:N81,3,0)=0,"",VLOOKUP(C43,L78:N81,3,0)),"MISSING INFO")</f>
        <v/>
      </c>
      <c r="F43" s="1241"/>
    </row>
    <row r="44" spans="2:7" ht="45" customHeight="1" x14ac:dyDescent="0.25">
      <c r="B44" s="1223" t="s">
        <v>2119</v>
      </c>
      <c r="C44" s="1712" t="s">
        <v>2150</v>
      </c>
      <c r="D44" s="1712"/>
      <c r="E44" s="1224" t="str">
        <f>IFERROR(IF(VLOOKUP(C44,L83:N86,3,0)=0,"",VLOOKUP(C44,L83:N86,3,0)),"MISSING INFO")</f>
        <v/>
      </c>
      <c r="F44" s="1241"/>
    </row>
    <row r="45" spans="2:7" ht="15" customHeight="1" x14ac:dyDescent="0.25">
      <c r="B45" s="1232"/>
      <c r="C45" s="1234"/>
      <c r="D45" s="50"/>
      <c r="E45" s="50"/>
      <c r="F45" s="1234"/>
    </row>
    <row r="46" spans="2:7" x14ac:dyDescent="0.25">
      <c r="B46" s="1727" t="s">
        <v>2120</v>
      </c>
      <c r="C46" s="1727"/>
      <c r="D46" s="1727"/>
      <c r="E46" s="1727"/>
      <c r="F46" s="1727"/>
    </row>
    <row r="47" spans="2:7" ht="30" customHeight="1" x14ac:dyDescent="0.25">
      <c r="B47" s="1223" t="s">
        <v>2121</v>
      </c>
      <c r="C47" s="1712"/>
      <c r="D47" s="1712"/>
      <c r="E47" s="1224" t="str">
        <f>IFERROR(IF(VLOOKUP(C47,L90:N91,3,0)=0,"",VLOOKUP(C47,L90:N91,3,0)),"MISSING INFO")</f>
        <v>MISSING INFO</v>
      </c>
      <c r="F47" s="1225"/>
    </row>
    <row r="48" spans="2:7" x14ac:dyDescent="0.25">
      <c r="B48" s="1237" t="s">
        <v>2122</v>
      </c>
      <c r="C48" s="1712"/>
      <c r="D48" s="1712"/>
      <c r="E48" s="1224" t="str">
        <f>IFERROR(IF(VLOOKUP(C48,L93:N95,3,0)=0,"",VLOOKUP(C48,L93:N95,3,0)),"MISSING INFO")</f>
        <v>MISSING INFO</v>
      </c>
      <c r="F48" s="1225"/>
    </row>
    <row r="49" spans="2:14" ht="24" customHeight="1" x14ac:dyDescent="0.25">
      <c r="B49" s="1223" t="s">
        <v>2123</v>
      </c>
      <c r="C49" s="1712"/>
      <c r="D49" s="1712"/>
      <c r="E49" s="1224" t="str">
        <f>IFERROR(IF(VLOOKUP(C49,L97:N99,3,0)=0,"",VLOOKUP(C49,L97:N99,3,0)),"MISSING INFO")</f>
        <v>MISSING INFO</v>
      </c>
      <c r="F49" s="1241"/>
    </row>
    <row r="50" spans="2:14" ht="27.6" x14ac:dyDescent="0.25">
      <c r="B50" s="1223" t="s">
        <v>71</v>
      </c>
      <c r="C50" s="1712"/>
      <c r="D50" s="1712"/>
      <c r="E50" s="1224" t="str">
        <f>IFERROR(IF(VLOOKUP(C50,L103:N109,3,0)=0,"",VLOOKUP(C50,L103:N109,3,0)),"MISSING INFO")</f>
        <v>MISSING INFO</v>
      </c>
      <c r="F50" s="1225"/>
    </row>
    <row r="51" spans="2:14" x14ac:dyDescent="0.25">
      <c r="B51" s="1223" t="s">
        <v>2124</v>
      </c>
      <c r="C51" s="1712"/>
      <c r="D51" s="1712"/>
      <c r="E51" s="1224" t="str">
        <f>IFERROR(IF(VLOOKUP(C51,L111:N112,3,0)=0,"",VLOOKUP(C51,L111:N112,3,0)),"MISSING INFO")</f>
        <v>MISSING INFO</v>
      </c>
      <c r="F51" s="1225"/>
    </row>
    <row r="53" spans="2:14" ht="17.399999999999999" x14ac:dyDescent="0.25">
      <c r="B53" s="1210" t="s">
        <v>2125</v>
      </c>
      <c r="C53" s="1211"/>
      <c r="D53" s="1211"/>
      <c r="E53" s="1211"/>
      <c r="F53" s="1211"/>
    </row>
    <row r="54" spans="2:14" x14ac:dyDescent="0.25">
      <c r="B54" s="1219"/>
      <c r="C54" s="1220"/>
    </row>
    <row r="55" spans="2:14" ht="14.4" thickBot="1" x14ac:dyDescent="0.3">
      <c r="B55" s="1221" t="s">
        <v>2126</v>
      </c>
      <c r="C55" s="1713" t="s">
        <v>2127</v>
      </c>
      <c r="D55" s="1714"/>
      <c r="E55" s="1714"/>
      <c r="F55" s="1715"/>
    </row>
    <row r="56" spans="2:14" ht="14.4" thickTop="1" x14ac:dyDescent="0.25">
      <c r="B56" s="1716" t="str" cm="1">
        <f t="array" ref="B56">IF(COUNTIF(E19:E51,"="&amp;"MISSING INFO")&gt;0,L131,IF(SUMPRODUCT(--(LEN(E19:E51)))&gt;0,L129,L130))</f>
        <v>Missing Information</v>
      </c>
      <c r="C56" s="1718" t="str">
        <f>VLOOKUP(B56,L129:M131,2,0)</f>
        <v>Complete all required fields above to clear all "MISSING INFO" error messages.</v>
      </c>
      <c r="D56" s="1719"/>
      <c r="E56" s="1719"/>
      <c r="F56" s="1720"/>
    </row>
    <row r="57" spans="2:14" s="8" customFormat="1" x14ac:dyDescent="0.25">
      <c r="B57" s="1717"/>
      <c r="C57" s="1721"/>
      <c r="D57" s="1722"/>
      <c r="E57" s="1722"/>
      <c r="F57" s="1723"/>
      <c r="L57" s="1242" t="s">
        <v>2128</v>
      </c>
      <c r="M57" s="1242" t="s">
        <v>2129</v>
      </c>
      <c r="N57" s="1243" t="s">
        <v>2130</v>
      </c>
    </row>
    <row r="58" spans="2:14" s="8" customFormat="1" x14ac:dyDescent="0.25">
      <c r="B58" s="1717"/>
      <c r="C58" s="1724"/>
      <c r="D58" s="1725"/>
      <c r="E58" s="1725"/>
      <c r="F58" s="1726"/>
      <c r="L58" s="1244" t="s">
        <v>219</v>
      </c>
      <c r="M58" s="1245">
        <v>2000000</v>
      </c>
      <c r="N58" s="1246"/>
    </row>
    <row r="59" spans="2:14" s="8" customFormat="1" x14ac:dyDescent="0.25">
      <c r="B59" s="1207"/>
      <c r="C59" s="1207"/>
      <c r="D59" s="1207"/>
      <c r="E59" s="1207"/>
      <c r="F59" s="1207"/>
      <c r="L59" s="1244" t="s">
        <v>222</v>
      </c>
      <c r="M59" s="1247">
        <v>0.45</v>
      </c>
      <c r="N59" s="1246"/>
    </row>
    <row r="61" spans="2:14" s="8" customFormat="1" x14ac:dyDescent="0.25">
      <c r="B61" s="1207"/>
      <c r="L61" s="1711" t="s">
        <v>2103</v>
      </c>
      <c r="M61" s="1711"/>
      <c r="N61" s="1249"/>
    </row>
    <row r="62" spans="2:14" s="8" customFormat="1" ht="27.6" x14ac:dyDescent="0.25">
      <c r="B62" s="1207"/>
      <c r="L62" s="1242" t="s">
        <v>2103</v>
      </c>
      <c r="M62" s="1242" t="s">
        <v>2131</v>
      </c>
      <c r="N62" s="1243"/>
    </row>
    <row r="63" spans="2:14" s="8" customFormat="1" x14ac:dyDescent="0.25">
      <c r="B63" s="1207"/>
      <c r="L63" s="1244" t="s">
        <v>2132</v>
      </c>
      <c r="M63" s="1250">
        <v>0.03</v>
      </c>
      <c r="N63" s="1246"/>
    </row>
    <row r="64" spans="2:14" s="8" customFormat="1" x14ac:dyDescent="0.25">
      <c r="B64" s="1207"/>
      <c r="C64" s="1207"/>
      <c r="D64" s="1207"/>
      <c r="E64" s="1207"/>
      <c r="F64" s="1207"/>
      <c r="L64" s="1244" t="s">
        <v>2133</v>
      </c>
      <c r="M64" s="1250">
        <v>0.05</v>
      </c>
      <c r="N64" s="1246" t="s">
        <v>2134</v>
      </c>
    </row>
    <row r="65" spans="2:14" s="8" customFormat="1" x14ac:dyDescent="0.25">
      <c r="L65" s="1244" t="s">
        <v>2135</v>
      </c>
      <c r="M65" s="1250">
        <v>0.05</v>
      </c>
      <c r="N65" s="1246"/>
    </row>
    <row r="66" spans="2:14" s="8" customFormat="1" x14ac:dyDescent="0.25">
      <c r="L66" s="1244" t="s">
        <v>2136</v>
      </c>
      <c r="M66" s="1250">
        <v>0.1</v>
      </c>
      <c r="N66" s="1246" t="s">
        <v>2134</v>
      </c>
    </row>
    <row r="67" spans="2:14" x14ac:dyDescent="0.25">
      <c r="B67" s="8"/>
      <c r="C67" s="8"/>
      <c r="D67" s="8"/>
      <c r="E67" s="8"/>
      <c r="F67" s="8"/>
    </row>
    <row r="68" spans="2:14" s="8" customFormat="1" x14ac:dyDescent="0.25">
      <c r="L68" s="1248" t="s">
        <v>2137</v>
      </c>
      <c r="M68" s="1251"/>
      <c r="N68" s="1252"/>
    </row>
    <row r="69" spans="2:14" s="8" customFormat="1" x14ac:dyDescent="0.25">
      <c r="L69" s="1242" t="s">
        <v>2107</v>
      </c>
      <c r="M69" s="1253"/>
      <c r="N69" s="1254"/>
    </row>
    <row r="70" spans="2:14" s="8" customFormat="1" x14ac:dyDescent="0.25">
      <c r="L70" s="1255" t="s">
        <v>2138</v>
      </c>
      <c r="M70" s="1255"/>
      <c r="N70" s="1246"/>
    </row>
    <row r="71" spans="2:14" s="8" customFormat="1" x14ac:dyDescent="0.25">
      <c r="B71" s="1207"/>
      <c r="C71" s="1207"/>
      <c r="D71" s="1207"/>
      <c r="E71" s="1207"/>
      <c r="F71" s="1207"/>
      <c r="L71" s="1255" t="s">
        <v>2139</v>
      </c>
      <c r="M71" s="1255"/>
      <c r="N71" s="1246" t="s">
        <v>2134</v>
      </c>
    </row>
    <row r="72" spans="2:14" s="8" customFormat="1" x14ac:dyDescent="0.25">
      <c r="L72" s="1242" t="s">
        <v>2140</v>
      </c>
      <c r="M72" s="1242" t="s">
        <v>2129</v>
      </c>
      <c r="N72" s="1254"/>
    </row>
    <row r="73" spans="2:14" s="8" customFormat="1" x14ac:dyDescent="0.25">
      <c r="L73" s="1255" t="s">
        <v>2109</v>
      </c>
      <c r="M73" s="1247">
        <v>0.3</v>
      </c>
      <c r="N73" s="1246"/>
    </row>
    <row r="74" spans="2:14" s="8" customFormat="1" x14ac:dyDescent="0.25">
      <c r="L74" s="1255" t="s">
        <v>2141</v>
      </c>
      <c r="M74" s="1247">
        <v>0.05</v>
      </c>
      <c r="N74" s="1246"/>
    </row>
    <row r="75" spans="2:14" x14ac:dyDescent="0.25">
      <c r="B75" s="8"/>
      <c r="C75" s="8"/>
      <c r="D75" s="8"/>
      <c r="E75" s="8"/>
      <c r="F75" s="8"/>
    </row>
    <row r="76" spans="2:14" s="8" customFormat="1" x14ac:dyDescent="0.25">
      <c r="L76" s="1711" t="s">
        <v>2117</v>
      </c>
      <c r="M76" s="1711"/>
      <c r="N76" s="1252"/>
    </row>
    <row r="77" spans="2:14" s="8" customFormat="1" x14ac:dyDescent="0.25">
      <c r="L77" s="1242" t="s">
        <v>2142</v>
      </c>
      <c r="M77" s="1242"/>
      <c r="N77" s="1254"/>
    </row>
    <row r="78" spans="2:14" s="8" customFormat="1" x14ac:dyDescent="0.25">
      <c r="L78" s="1244" t="s">
        <v>2143</v>
      </c>
      <c r="M78" s="1255"/>
      <c r="N78" s="1246"/>
    </row>
    <row r="79" spans="2:14" s="8" customFormat="1" x14ac:dyDescent="0.25">
      <c r="B79" s="1207"/>
      <c r="C79" s="1207"/>
      <c r="D79" s="1207"/>
      <c r="E79" s="1207"/>
      <c r="F79" s="1207"/>
      <c r="L79" s="1244" t="s">
        <v>2144</v>
      </c>
      <c r="M79" s="1255"/>
      <c r="N79" s="1246"/>
    </row>
    <row r="80" spans="2:14" s="8" customFormat="1" ht="26.4" x14ac:dyDescent="0.25">
      <c r="L80" s="1244" t="s">
        <v>2145</v>
      </c>
      <c r="M80" s="1255"/>
      <c r="N80" s="1246" t="s">
        <v>2134</v>
      </c>
    </row>
    <row r="81" spans="2:14" s="8" customFormat="1" x14ac:dyDescent="0.25">
      <c r="L81" s="1244" t="s">
        <v>2146</v>
      </c>
      <c r="M81" s="1255"/>
      <c r="N81" s="1246"/>
    </row>
    <row r="82" spans="2:14" s="8" customFormat="1" x14ac:dyDescent="0.25">
      <c r="L82" s="1242" t="s">
        <v>2147</v>
      </c>
      <c r="M82" s="1242"/>
      <c r="N82" s="1254"/>
    </row>
    <row r="83" spans="2:14" s="8" customFormat="1" ht="27.6" x14ac:dyDescent="0.25">
      <c r="L83" s="1255" t="s">
        <v>2148</v>
      </c>
      <c r="M83" s="1246"/>
      <c r="N83" s="1246"/>
    </row>
    <row r="84" spans="2:14" s="8" customFormat="1" ht="27.6" x14ac:dyDescent="0.25">
      <c r="L84" s="1255" t="s">
        <v>2149</v>
      </c>
      <c r="M84" s="1246"/>
      <c r="N84" s="1246"/>
    </row>
    <row r="85" spans="2:14" s="8" customFormat="1" x14ac:dyDescent="0.25">
      <c r="L85" s="1255" t="s">
        <v>2150</v>
      </c>
      <c r="M85" s="1246"/>
      <c r="N85" s="1246"/>
    </row>
    <row r="86" spans="2:14" s="8" customFormat="1" x14ac:dyDescent="0.25">
      <c r="L86" s="1255" t="s">
        <v>2151</v>
      </c>
      <c r="M86" s="1246"/>
      <c r="N86" s="1246" t="s">
        <v>2134</v>
      </c>
    </row>
    <row r="87" spans="2:14" x14ac:dyDescent="0.25">
      <c r="B87" s="8"/>
      <c r="C87" s="8"/>
      <c r="D87" s="8"/>
      <c r="E87" s="8"/>
      <c r="F87" s="8"/>
    </row>
    <row r="88" spans="2:14" s="8" customFormat="1" x14ac:dyDescent="0.25">
      <c r="L88" s="1256" t="s">
        <v>2152</v>
      </c>
      <c r="M88" s="1256"/>
      <c r="N88" s="1252"/>
    </row>
    <row r="89" spans="2:14" s="8" customFormat="1" x14ac:dyDescent="0.25">
      <c r="L89" s="1242" t="s">
        <v>2153</v>
      </c>
      <c r="M89" s="1242"/>
      <c r="N89" s="1254"/>
    </row>
    <row r="90" spans="2:14" s="8" customFormat="1" x14ac:dyDescent="0.25">
      <c r="L90" s="1255" t="s">
        <v>2154</v>
      </c>
      <c r="M90" s="1255"/>
      <c r="N90" s="1246"/>
    </row>
    <row r="91" spans="2:14" s="8" customFormat="1" x14ac:dyDescent="0.25">
      <c r="B91" s="1207"/>
      <c r="C91" s="1207"/>
      <c r="D91" s="1207"/>
      <c r="E91" s="1207"/>
      <c r="F91" s="1207"/>
      <c r="L91" s="1255" t="s">
        <v>2155</v>
      </c>
      <c r="M91" s="1255"/>
      <c r="N91" s="1246" t="s">
        <v>2134</v>
      </c>
    </row>
    <row r="92" spans="2:14" s="8" customFormat="1" x14ac:dyDescent="0.25">
      <c r="L92" s="1242" t="s">
        <v>2156</v>
      </c>
      <c r="M92" s="1242"/>
      <c r="N92" s="1254"/>
    </row>
    <row r="93" spans="2:14" s="8" customFormat="1" x14ac:dyDescent="0.25">
      <c r="L93" s="1255" t="s">
        <v>2157</v>
      </c>
      <c r="M93" s="1255"/>
      <c r="N93" s="1246"/>
    </row>
    <row r="94" spans="2:14" s="8" customFormat="1" x14ac:dyDescent="0.25">
      <c r="L94" s="1255" t="s">
        <v>2158</v>
      </c>
      <c r="M94" s="1255"/>
      <c r="N94" s="1246"/>
    </row>
    <row r="95" spans="2:14" s="8" customFormat="1" x14ac:dyDescent="0.25">
      <c r="L95" s="1255" t="s">
        <v>2159</v>
      </c>
      <c r="M95" s="1255"/>
      <c r="N95" s="1246" t="s">
        <v>2134</v>
      </c>
    </row>
    <row r="96" spans="2:14" s="8" customFormat="1" x14ac:dyDescent="0.25">
      <c r="L96" s="1243" t="s">
        <v>2160</v>
      </c>
      <c r="M96" s="1242"/>
      <c r="N96" s="1254"/>
    </row>
    <row r="97" spans="12:14" s="8" customFormat="1" x14ac:dyDescent="0.25">
      <c r="L97" s="1246" t="s">
        <v>2157</v>
      </c>
      <c r="M97" s="1255"/>
      <c r="N97" s="1246"/>
    </row>
    <row r="98" spans="12:14" s="8" customFormat="1" x14ac:dyDescent="0.25">
      <c r="L98" s="1246" t="s">
        <v>2161</v>
      </c>
      <c r="M98" s="1255"/>
      <c r="N98" s="1246" t="s">
        <v>2134</v>
      </c>
    </row>
    <row r="99" spans="12:14" s="8" customFormat="1" x14ac:dyDescent="0.25">
      <c r="L99" s="1246" t="s">
        <v>2162</v>
      </c>
      <c r="M99" s="1255"/>
      <c r="N99" s="1246"/>
    </row>
    <row r="100" spans="12:14" s="8" customFormat="1" x14ac:dyDescent="0.25">
      <c r="M100" s="23"/>
    </row>
    <row r="101" spans="12:14" s="8" customFormat="1" x14ac:dyDescent="0.25">
      <c r="L101" s="1248" t="s">
        <v>449</v>
      </c>
      <c r="M101" s="1251"/>
      <c r="N101" s="1252"/>
    </row>
    <row r="102" spans="12:14" s="8" customFormat="1" x14ac:dyDescent="0.25">
      <c r="L102" s="1242" t="s">
        <v>2163</v>
      </c>
      <c r="M102" s="1253"/>
      <c r="N102" s="1254"/>
    </row>
    <row r="103" spans="12:14" s="8" customFormat="1" x14ac:dyDescent="0.25">
      <c r="L103" s="1255" t="s">
        <v>424</v>
      </c>
      <c r="M103" s="1255"/>
      <c r="N103" s="1246"/>
    </row>
    <row r="104" spans="12:14" s="8" customFormat="1" x14ac:dyDescent="0.25">
      <c r="L104" s="1255" t="s">
        <v>441</v>
      </c>
      <c r="M104" s="1255"/>
      <c r="N104" s="1246" t="s">
        <v>2134</v>
      </c>
    </row>
    <row r="105" spans="12:14" s="8" customFormat="1" x14ac:dyDescent="0.25">
      <c r="L105" s="1255" t="s">
        <v>450</v>
      </c>
      <c r="M105" s="1255"/>
      <c r="N105" s="1246" t="s">
        <v>2134</v>
      </c>
    </row>
    <row r="106" spans="12:14" s="8" customFormat="1" x14ac:dyDescent="0.25">
      <c r="L106" s="1255" t="s">
        <v>457</v>
      </c>
      <c r="M106" s="1255"/>
      <c r="N106" s="1246" t="s">
        <v>2134</v>
      </c>
    </row>
    <row r="107" spans="12:14" s="8" customFormat="1" x14ac:dyDescent="0.25">
      <c r="L107" s="1255" t="s">
        <v>464</v>
      </c>
      <c r="M107" s="1255"/>
      <c r="N107" s="1246" t="s">
        <v>2134</v>
      </c>
    </row>
    <row r="108" spans="12:14" s="8" customFormat="1" x14ac:dyDescent="0.25">
      <c r="L108" s="1255" t="s">
        <v>470</v>
      </c>
      <c r="M108" s="1255"/>
      <c r="N108" s="1246" t="s">
        <v>2134</v>
      </c>
    </row>
    <row r="109" spans="12:14" s="8" customFormat="1" x14ac:dyDescent="0.25">
      <c r="L109" s="1255" t="s">
        <v>2164</v>
      </c>
      <c r="M109" s="1255"/>
      <c r="N109" s="1246" t="s">
        <v>2134</v>
      </c>
    </row>
    <row r="110" spans="12:14" s="8" customFormat="1" x14ac:dyDescent="0.25">
      <c r="L110" s="1242" t="s">
        <v>2124</v>
      </c>
      <c r="M110" s="1253"/>
      <c r="N110" s="1254"/>
    </row>
    <row r="111" spans="12:14" s="8" customFormat="1" x14ac:dyDescent="0.25">
      <c r="L111" s="1255" t="s">
        <v>2165</v>
      </c>
      <c r="M111" s="1255"/>
      <c r="N111" s="1246" t="s">
        <v>2134</v>
      </c>
    </row>
    <row r="112" spans="12:14" s="8" customFormat="1" x14ac:dyDescent="0.25">
      <c r="L112" s="1255" t="s">
        <v>2166</v>
      </c>
      <c r="M112" s="1255"/>
      <c r="N112" s="1246"/>
    </row>
    <row r="113" spans="2:15" x14ac:dyDescent="0.25">
      <c r="B113" s="8"/>
      <c r="C113" s="8"/>
      <c r="D113" s="8"/>
      <c r="E113" s="8"/>
      <c r="F113" s="8"/>
    </row>
    <row r="114" spans="2:15" x14ac:dyDescent="0.25">
      <c r="B114" s="8"/>
      <c r="C114" s="8"/>
      <c r="D114" s="8"/>
      <c r="E114" s="8"/>
      <c r="F114" s="8"/>
    </row>
    <row r="115" spans="2:15" s="8" customFormat="1" x14ac:dyDescent="0.25">
      <c r="L115" s="49" t="s">
        <v>77</v>
      </c>
      <c r="M115" s="23"/>
    </row>
    <row r="116" spans="2:15" s="8" customFormat="1" x14ac:dyDescent="0.25">
      <c r="L116" s="8" t="s">
        <v>412</v>
      </c>
      <c r="M116" s="23"/>
    </row>
    <row r="117" spans="2:15" s="23" customFormat="1" x14ac:dyDescent="0.25">
      <c r="B117" s="1207"/>
      <c r="C117" s="1207"/>
      <c r="D117" s="1207"/>
      <c r="E117" s="1207"/>
      <c r="F117" s="1207"/>
      <c r="L117" s="8" t="s">
        <v>426</v>
      </c>
      <c r="N117" s="8"/>
      <c r="O117" s="8"/>
    </row>
    <row r="118" spans="2:15" s="23" customFormat="1" x14ac:dyDescent="0.25">
      <c r="B118" s="1207"/>
      <c r="C118" s="1207"/>
      <c r="D118" s="1207"/>
      <c r="E118" s="1207"/>
      <c r="F118" s="1207"/>
      <c r="L118" s="8" t="s">
        <v>438</v>
      </c>
      <c r="N118" s="8"/>
      <c r="O118" s="8"/>
    </row>
    <row r="119" spans="2:15" s="23" customFormat="1" x14ac:dyDescent="0.25">
      <c r="B119" s="8"/>
      <c r="C119" s="8"/>
      <c r="D119" s="8"/>
      <c r="E119" s="8"/>
      <c r="F119" s="8"/>
      <c r="L119" s="8" t="s">
        <v>448</v>
      </c>
      <c r="N119" s="8"/>
      <c r="O119" s="8"/>
    </row>
    <row r="120" spans="2:15" s="23" customFormat="1" x14ac:dyDescent="0.25">
      <c r="B120" s="8"/>
      <c r="C120" s="8"/>
      <c r="D120" s="8"/>
      <c r="E120" s="8"/>
      <c r="F120" s="8"/>
      <c r="L120" s="8" t="s">
        <v>456</v>
      </c>
      <c r="N120" s="8"/>
      <c r="O120" s="8"/>
    </row>
    <row r="121" spans="2:15" s="23" customFormat="1" x14ac:dyDescent="0.25">
      <c r="L121" s="8" t="s">
        <v>463</v>
      </c>
      <c r="N121" s="8"/>
      <c r="O121" s="8"/>
    </row>
    <row r="122" spans="2:15" x14ac:dyDescent="0.25">
      <c r="B122" s="23"/>
      <c r="C122" s="23"/>
      <c r="D122" s="23"/>
      <c r="E122" s="23"/>
      <c r="F122" s="23"/>
    </row>
    <row r="123" spans="2:15" s="23" customFormat="1" x14ac:dyDescent="0.25">
      <c r="L123" s="49" t="s">
        <v>142</v>
      </c>
      <c r="N123" s="8"/>
      <c r="O123" s="8"/>
    </row>
    <row r="124" spans="2:15" s="23" customFormat="1" x14ac:dyDescent="0.25">
      <c r="L124" s="8" t="s">
        <v>415</v>
      </c>
      <c r="N124" s="8"/>
      <c r="O124" s="8"/>
    </row>
    <row r="125" spans="2:15" s="23" customFormat="1" x14ac:dyDescent="0.25">
      <c r="L125" s="8" t="s">
        <v>430</v>
      </c>
      <c r="N125" s="8"/>
      <c r="O125" s="8"/>
    </row>
    <row r="126" spans="2:15" s="23" customFormat="1" x14ac:dyDescent="0.25">
      <c r="B126" s="1207"/>
      <c r="C126" s="1207"/>
      <c r="D126" s="1207"/>
      <c r="E126" s="1207"/>
      <c r="F126" s="1207"/>
      <c r="L126" s="8" t="s">
        <v>440</v>
      </c>
      <c r="N126" s="8"/>
      <c r="O126" s="8"/>
    </row>
    <row r="127" spans="2:15" x14ac:dyDescent="0.25">
      <c r="B127" s="23"/>
      <c r="C127" s="23"/>
      <c r="D127" s="23"/>
      <c r="E127" s="23"/>
      <c r="F127" s="23"/>
    </row>
    <row r="128" spans="2:15" x14ac:dyDescent="0.25">
      <c r="B128" s="23"/>
      <c r="C128" s="23"/>
      <c r="D128" s="23"/>
      <c r="E128" s="23"/>
      <c r="F128" s="23"/>
      <c r="L128" s="1257" t="s">
        <v>2167</v>
      </c>
    </row>
    <row r="129" spans="2:16" ht="66" x14ac:dyDescent="0.25">
      <c r="B129" s="23"/>
      <c r="C129" s="23"/>
      <c r="D129" s="23"/>
      <c r="E129" s="23"/>
      <c r="F129" s="23"/>
      <c r="L129" s="1207" t="s">
        <v>2168</v>
      </c>
      <c r="M129" s="1258" t="s">
        <v>2169</v>
      </c>
      <c r="N129" s="1259"/>
      <c r="O129" s="1259"/>
      <c r="P129" s="1259"/>
    </row>
    <row r="130" spans="2:16" ht="66" x14ac:dyDescent="0.25">
      <c r="B130" s="23"/>
      <c r="C130" s="23"/>
      <c r="D130" s="23"/>
      <c r="E130" s="23"/>
      <c r="F130" s="23"/>
      <c r="L130" s="1207" t="s">
        <v>2170</v>
      </c>
      <c r="M130" s="1258" t="s">
        <v>2171</v>
      </c>
    </row>
    <row r="131" spans="2:16" ht="26.4" x14ac:dyDescent="0.25">
      <c r="L131" s="1207" t="s">
        <v>2172</v>
      </c>
      <c r="M131" s="1258" t="s">
        <v>2173</v>
      </c>
    </row>
  </sheetData>
  <mergeCells count="37">
    <mergeCell ref="C10:F10"/>
    <mergeCell ref="C6:F6"/>
    <mergeCell ref="I6:J6"/>
    <mergeCell ref="C7:F7"/>
    <mergeCell ref="C8:F8"/>
    <mergeCell ref="C9:F9"/>
    <mergeCell ref="C28:D28"/>
    <mergeCell ref="C11:F11"/>
    <mergeCell ref="C12:F12"/>
    <mergeCell ref="C13:F13"/>
    <mergeCell ref="B16:F16"/>
    <mergeCell ref="C17:D17"/>
    <mergeCell ref="B18:F18"/>
    <mergeCell ref="C19:D19"/>
    <mergeCell ref="C20:D20"/>
    <mergeCell ref="E21:F21"/>
    <mergeCell ref="B26:F26"/>
    <mergeCell ref="C27:D27"/>
    <mergeCell ref="C49:D49"/>
    <mergeCell ref="B30:F30"/>
    <mergeCell ref="C31:D31"/>
    <mergeCell ref="C32:D32"/>
    <mergeCell ref="E33:F33"/>
    <mergeCell ref="C40:D40"/>
    <mergeCell ref="B42:F42"/>
    <mergeCell ref="C43:D43"/>
    <mergeCell ref="C44:D44"/>
    <mergeCell ref="B46:F46"/>
    <mergeCell ref="C47:D47"/>
    <mergeCell ref="C48:D48"/>
    <mergeCell ref="L76:M76"/>
    <mergeCell ref="C50:D50"/>
    <mergeCell ref="C51:D51"/>
    <mergeCell ref="C55:F55"/>
    <mergeCell ref="B56:B58"/>
    <mergeCell ref="C56:F58"/>
    <mergeCell ref="L61:M61"/>
  </mergeCells>
  <conditionalFormatting sqref="B56">
    <cfRule type="cellIs" dxfId="70" priority="4" operator="equal">
      <formula>$L$130</formula>
    </cfRule>
    <cfRule type="cellIs" dxfId="69" priority="5" operator="equal">
      <formula>$L$131</formula>
    </cfRule>
    <cfRule type="cellIs" dxfId="68" priority="6" operator="equal">
      <formula>$L$129</formula>
    </cfRule>
  </conditionalFormatting>
  <conditionalFormatting sqref="C19:D24">
    <cfRule type="cellIs" dxfId="67" priority="7" operator="equal">
      <formula>""</formula>
    </cfRule>
  </conditionalFormatting>
  <conditionalFormatting sqref="C26:D28 C42:D44 C46:D51">
    <cfRule type="cellIs" dxfId="66" priority="8" operator="equal">
      <formula>""</formula>
    </cfRule>
  </conditionalFormatting>
  <conditionalFormatting sqref="C30:D33">
    <cfRule type="cellIs" dxfId="65" priority="3" operator="equal">
      <formula>""</formula>
    </cfRule>
  </conditionalFormatting>
  <conditionalFormatting sqref="C6:F7 C9:F13 D34:D39 C40:D40">
    <cfRule type="cellIs" dxfId="64" priority="9" operator="equal">
      <formula>""</formula>
    </cfRule>
  </conditionalFormatting>
  <conditionalFormatting sqref="E18:E52">
    <cfRule type="cellIs" dxfId="63" priority="11" stopIfTrue="1" operator="equal">
      <formula>"MISSING INFO"</formula>
    </cfRule>
    <cfRule type="cellIs" dxfId="62" priority="12" operator="notEqual">
      <formula>""</formula>
    </cfRule>
  </conditionalFormatting>
  <conditionalFormatting sqref="F2:F3">
    <cfRule type="cellIs" dxfId="61" priority="2" operator="notEqual">
      <formula>""</formula>
    </cfRule>
  </conditionalFormatting>
  <conditionalFormatting sqref="F3">
    <cfRule type="cellIs" dxfId="60" priority="1" operator="equal">
      <formula>"Commercial Review Required"</formula>
    </cfRule>
  </conditionalFormatting>
  <conditionalFormatting sqref="F18:F20 F22:F32 F34:F52">
    <cfRule type="expression" dxfId="59" priority="10">
      <formula>AND(F18="",E18&lt;&gt;"")</formula>
    </cfRule>
  </conditionalFormatting>
  <dataValidations count="10">
    <dataValidation type="list" allowBlank="1" showInputMessage="1" showErrorMessage="1" sqref="C32:D32" xr:uid="{E438537C-49A2-48F4-990A-25869F556FFA}">
      <formula1>$L$70:$L$71</formula1>
    </dataValidation>
    <dataValidation type="list" allowBlank="1" showInputMessage="1" showErrorMessage="1" sqref="C43:D43" xr:uid="{4E6680B8-DF7F-449F-A5A4-09BD52D3CB70}">
      <formula1>$L$78:$L$81</formula1>
    </dataValidation>
    <dataValidation type="list" allowBlank="1" showInputMessage="1" showErrorMessage="1" sqref="C47:D47" xr:uid="{C660DA7C-43C2-417C-B679-96FE75248CA6}">
      <formula1>$L$90:$L$91</formula1>
    </dataValidation>
    <dataValidation type="list" allowBlank="1" showInputMessage="1" showErrorMessage="1" sqref="C51:D51" xr:uid="{F3853985-A282-4449-9C5F-117960E31161}">
      <formula1>$L$111:$L$112</formula1>
    </dataValidation>
    <dataValidation type="list" allowBlank="1" showInputMessage="1" showErrorMessage="1" sqref="C44:D44" xr:uid="{5AEECA6B-3DD2-4C4B-A59C-F5F64DB7AE08}">
      <formula1>$L$83:$L$86</formula1>
    </dataValidation>
    <dataValidation type="list" allowBlank="1" showInputMessage="1" showErrorMessage="1" sqref="C50:D50" xr:uid="{F413929F-8C92-4C1C-B505-A64E39986696}">
      <formula1>$L$103:$L$109</formula1>
    </dataValidation>
    <dataValidation type="list" allowBlank="1" showInputMessage="1" showErrorMessage="1" sqref="C48:D48" xr:uid="{09C1F892-E840-45D7-BE2C-96F285E41633}">
      <formula1>$L$93:$L$95</formula1>
    </dataValidation>
    <dataValidation type="list" allowBlank="1" showInputMessage="1" showErrorMessage="1" sqref="C49:D49" xr:uid="{B5D9D1C5-CD2A-42CC-A4E2-28EAA15B8BFA}">
      <formula1>$L$97:$L$99</formula1>
    </dataValidation>
    <dataValidation type="list" allowBlank="1" showInputMessage="1" showErrorMessage="1" sqref="C10" xr:uid="{E78E5262-58EA-4525-885B-FB06A9FD468C}">
      <formula1>$L$116:$L$121</formula1>
    </dataValidation>
    <dataValidation type="list" allowBlank="1" showInputMessage="1" showErrorMessage="1" sqref="C11" xr:uid="{C1FB2424-EDB9-4C78-8043-41E3A4760C21}">
      <formula1>$L$124:$L$126</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B1:AE134"/>
  <sheetViews>
    <sheetView showGridLines="0" topLeftCell="A99" zoomScale="84" zoomScaleNormal="84" workbookViewId="0">
      <selection activeCell="K134" sqref="K134"/>
    </sheetView>
  </sheetViews>
  <sheetFormatPr defaultColWidth="8.44140625" defaultRowHeight="13.8" outlineLevelRow="1" outlineLevelCol="1" x14ac:dyDescent="0.25"/>
  <cols>
    <col min="1" max="1" width="3.44140625" style="8" customWidth="1"/>
    <col min="2" max="2" width="11.77734375" style="8" hidden="1" customWidth="1"/>
    <col min="3" max="3" width="37.21875" style="8" customWidth="1"/>
    <col min="4" max="4" width="46.21875" style="8" bestFit="1" customWidth="1"/>
    <col min="5" max="5" width="31.44140625" style="23" bestFit="1" customWidth="1"/>
    <col min="6" max="6" width="29" style="11" customWidth="1"/>
    <col min="7" max="7" width="28.44140625" style="12" customWidth="1"/>
    <col min="8" max="10" width="28.44140625" style="12" hidden="1" customWidth="1"/>
    <col min="11" max="11" width="36" style="8" bestFit="1" customWidth="1"/>
    <col min="12" max="12" width="25.44140625" style="8" customWidth="1"/>
    <col min="13" max="13" width="21.44140625" style="13" customWidth="1" outlineLevel="1"/>
    <col min="14" max="14" width="22" style="14" customWidth="1" outlineLevel="1"/>
    <col min="15" max="15" width="21.77734375" style="14" customWidth="1" outlineLevel="1"/>
    <col min="16" max="18" width="19.44140625" style="14" customWidth="1" outlineLevel="1"/>
    <col min="19" max="19" width="19" style="8" bestFit="1" customWidth="1"/>
    <col min="20" max="20" width="19.44140625" style="8" customWidth="1"/>
    <col min="21" max="21" width="22.44140625" style="15" customWidth="1"/>
    <col min="22" max="22" width="18" style="15" customWidth="1"/>
    <col min="23" max="23" width="12.21875" style="15" customWidth="1"/>
    <col min="24" max="24" width="8.44140625" style="15"/>
    <col min="25" max="25" width="25.77734375" style="15" customWidth="1"/>
    <col min="26" max="16384" width="8.44140625" style="8"/>
  </cols>
  <sheetData>
    <row r="1" spans="3:25" ht="22.05" customHeight="1" x14ac:dyDescent="0.25">
      <c r="C1" s="930" t="s">
        <v>132</v>
      </c>
      <c r="D1" s="274" t="s">
        <v>63</v>
      </c>
      <c r="E1" s="207"/>
      <c r="L1" s="1182" t="s">
        <v>1854</v>
      </c>
      <c r="O1" s="396"/>
      <c r="P1" s="396"/>
      <c r="Q1" s="396"/>
      <c r="R1" s="396"/>
      <c r="W1" s="1744" t="s">
        <v>1</v>
      </c>
      <c r="X1" s="1745"/>
      <c r="Y1" s="1746"/>
    </row>
    <row r="2" spans="3:25" ht="20.25" customHeight="1" x14ac:dyDescent="0.25">
      <c r="C2" s="185"/>
      <c r="D2" s="185"/>
      <c r="E2" s="185"/>
      <c r="L2" s="1751"/>
      <c r="M2" s="1751"/>
      <c r="N2" s="1751"/>
      <c r="O2" s="397"/>
      <c r="P2" s="397"/>
      <c r="Q2" s="397"/>
      <c r="R2" s="397"/>
      <c r="W2" s="979"/>
      <c r="X2" s="945" t="s">
        <v>2</v>
      </c>
      <c r="Y2" s="980"/>
    </row>
    <row r="3" spans="3:25" ht="23.25" customHeight="1" x14ac:dyDescent="0.25">
      <c r="C3" s="970" t="s">
        <v>133</v>
      </c>
      <c r="D3" s="985"/>
      <c r="E3" s="985"/>
      <c r="F3" s="986"/>
      <c r="G3" s="987"/>
      <c r="H3" s="987"/>
      <c r="I3" s="987"/>
      <c r="J3" s="987"/>
      <c r="K3" s="977"/>
      <c r="L3" s="939"/>
      <c r="M3" s="1750"/>
      <c r="N3" s="1750"/>
      <c r="O3" s="975"/>
      <c r="P3" s="975"/>
      <c r="Q3" s="975"/>
      <c r="R3" s="975"/>
      <c r="S3" s="977"/>
      <c r="T3" s="977"/>
      <c r="U3" s="988"/>
      <c r="V3" s="989"/>
      <c r="W3" s="981"/>
      <c r="X3" s="945" t="s">
        <v>4</v>
      </c>
      <c r="Y3" s="980"/>
    </row>
    <row r="4" spans="3:25" ht="15" customHeight="1" thickBot="1" x14ac:dyDescent="0.3">
      <c r="C4" s="185"/>
      <c r="D4" s="185"/>
      <c r="E4" s="185"/>
      <c r="G4" s="8"/>
      <c r="H4" s="8"/>
      <c r="I4" s="8"/>
      <c r="J4" s="8"/>
      <c r="L4" s="1"/>
      <c r="M4" s="1749"/>
      <c r="N4" s="1749"/>
      <c r="O4" s="397"/>
      <c r="P4" s="397"/>
      <c r="Q4" s="397"/>
      <c r="R4" s="397"/>
      <c r="W4" s="982"/>
      <c r="X4" s="945" t="s">
        <v>5</v>
      </c>
      <c r="Y4" s="980"/>
    </row>
    <row r="5" spans="3:25" ht="30" customHeight="1" thickBot="1" x14ac:dyDescent="0.3">
      <c r="C5" s="1768" t="s">
        <v>134</v>
      </c>
      <c r="D5" s="1769"/>
      <c r="E5" s="8"/>
      <c r="F5" s="1756"/>
      <c r="G5" s="1756"/>
      <c r="H5" s="384"/>
      <c r="I5" s="384"/>
      <c r="J5" s="384"/>
      <c r="K5" s="833"/>
      <c r="L5" s="1"/>
      <c r="M5" s="1749"/>
      <c r="N5" s="1749"/>
      <c r="O5" s="835"/>
      <c r="P5" s="835"/>
      <c r="Q5" s="835"/>
      <c r="R5" s="835"/>
      <c r="S5" s="171"/>
      <c r="T5" s="171"/>
      <c r="W5" s="983" t="s">
        <v>7</v>
      </c>
      <c r="X5" s="945" t="s">
        <v>8</v>
      </c>
      <c r="Y5" s="980"/>
    </row>
    <row r="6" spans="3:25" ht="21" customHeight="1" thickTop="1" thickBot="1" x14ac:dyDescent="0.3">
      <c r="C6" s="389" t="s">
        <v>67</v>
      </c>
      <c r="D6" s="618">
        <f>'1. Project Inputs'!C11</f>
        <v>0</v>
      </c>
      <c r="F6" s="423" t="s">
        <v>8</v>
      </c>
      <c r="G6" s="424" t="s">
        <v>135</v>
      </c>
      <c r="H6" s="429" t="s">
        <v>136</v>
      </c>
      <c r="I6" s="429" t="s">
        <v>137</v>
      </c>
      <c r="J6" s="429" t="s">
        <v>138</v>
      </c>
      <c r="K6" s="836"/>
      <c r="L6" s="936"/>
      <c r="M6" s="1749"/>
      <c r="N6" s="1749"/>
      <c r="O6" s="835"/>
      <c r="P6" s="835"/>
      <c r="Q6" s="835"/>
      <c r="R6" s="835"/>
      <c r="S6" s="171"/>
      <c r="T6" s="171"/>
      <c r="U6" s="208"/>
      <c r="V6" s="208"/>
      <c r="W6" s="984" t="s">
        <v>10</v>
      </c>
      <c r="X6" s="1747" t="s">
        <v>11</v>
      </c>
      <c r="Y6" s="1748"/>
    </row>
    <row r="7" spans="3:25" ht="18" customHeight="1" thickTop="1" x14ac:dyDescent="0.25">
      <c r="C7" s="411" t="s">
        <v>69</v>
      </c>
      <c r="D7" s="390" t="str">
        <f>'1. Project Inputs'!C12</f>
        <v>McDonald's</v>
      </c>
      <c r="F7" s="1785" t="s">
        <v>139</v>
      </c>
      <c r="G7" s="615" t="str">
        <f>IF($D$12="Select",'1. Project Inputs'!C34,IF($D$12="Consulting",'1. Project Inputs'!C34,IF($D$12="Digital - MarTech Consulting/Strategy",'1. Project Inputs'!C34,'Standard Rate Cards'!Y9)))</f>
        <v>UX Design</v>
      </c>
      <c r="H7" s="103" t="str">
        <f t="shared" ref="H7:H18" si="0">IF(COUNTIFS($M$35:$M$95,"Yes",$C$35:$C$95,$G7)&gt;0,"Yes","No")</f>
        <v>Yes</v>
      </c>
      <c r="I7" s="103" t="str">
        <f t="shared" ref="I7:I18" si="1">IF(COUNTIFS($N$35:$N$95,"Yes",$C$35:$C$95,$G7)&gt;0,"Yes","No")</f>
        <v>Yes</v>
      </c>
      <c r="J7" s="103" t="str">
        <f t="shared" ref="J7:J18" si="2">IF(COUNTIFS($O$35:$O$95,"Yes",$C$35:$C$95,$G7)&gt;0,"Yes","No")</f>
        <v>Yes</v>
      </c>
      <c r="K7" s="837"/>
      <c r="L7" s="937"/>
      <c r="M7" s="1749"/>
      <c r="N7" s="1749"/>
      <c r="O7" s="838"/>
      <c r="P7" s="838"/>
      <c r="Q7" s="838"/>
      <c r="R7" s="838"/>
      <c r="S7" s="171"/>
      <c r="T7" s="171"/>
      <c r="U7" s="1755"/>
      <c r="V7" s="50"/>
      <c r="W7" s="122"/>
      <c r="X7" s="8"/>
    </row>
    <row r="8" spans="3:25" ht="18" customHeight="1" x14ac:dyDescent="0.25">
      <c r="C8" s="411" t="s">
        <v>140</v>
      </c>
      <c r="D8" s="999" t="str">
        <f>'1. Project Inputs'!C13</f>
        <v>Credera US</v>
      </c>
      <c r="F8" s="1628"/>
      <c r="G8" s="615" t="str">
        <f>IF($D$12="Select",'1. Project Inputs'!C35,IF($D$12="Consulting",'1. Project Inputs'!C35,IF($D$12="Digital - MarTech Consulting/Strategy",'1. Project Inputs'!C35,'Standard Rate Cards'!Y10)))</f>
        <v>Coding</v>
      </c>
      <c r="H8" s="103" t="str">
        <f t="shared" si="0"/>
        <v>Yes</v>
      </c>
      <c r="I8" s="103" t="str">
        <f t="shared" si="1"/>
        <v>Yes</v>
      </c>
      <c r="J8" s="103" t="str">
        <f t="shared" si="2"/>
        <v>No</v>
      </c>
      <c r="K8" s="837"/>
      <c r="L8" s="938"/>
      <c r="M8" s="203"/>
      <c r="N8" s="834"/>
      <c r="O8" s="838"/>
      <c r="P8" s="838"/>
      <c r="Q8" s="838"/>
      <c r="R8" s="838"/>
      <c r="S8" s="171"/>
      <c r="T8" s="171"/>
      <c r="U8" s="1755"/>
      <c r="V8" s="50"/>
      <c r="W8" s="122"/>
      <c r="X8" s="8"/>
    </row>
    <row r="9" spans="3:25" ht="17.25" customHeight="1" x14ac:dyDescent="0.25">
      <c r="C9" s="411" t="s">
        <v>141</v>
      </c>
      <c r="D9" s="390">
        <f>'1. Project Inputs'!C14</f>
        <v>0</v>
      </c>
      <c r="F9" s="1628"/>
      <c r="G9" s="615" t="str">
        <f>IF($D$12="Select",'1. Project Inputs'!C36,IF($D$12="Consulting",'1. Project Inputs'!C36,IF($D$12="Digital - MarTech Consulting/Strategy",'1. Project Inputs'!C36,'Standard Rate Cards'!Y11)))</f>
        <v>delivery stuff</v>
      </c>
      <c r="H9" s="103" t="str">
        <f t="shared" si="0"/>
        <v>Yes</v>
      </c>
      <c r="I9" s="103" t="str">
        <f t="shared" si="1"/>
        <v>Yes</v>
      </c>
      <c r="J9" s="103" t="str">
        <f t="shared" si="2"/>
        <v>Yes</v>
      </c>
      <c r="K9" s="837"/>
      <c r="L9" s="837"/>
      <c r="M9" s="203"/>
      <c r="N9" s="834"/>
      <c r="O9" s="838"/>
      <c r="P9" s="838"/>
      <c r="Q9" s="838"/>
      <c r="R9" s="838"/>
      <c r="S9" s="171"/>
      <c r="T9" s="171"/>
      <c r="U9" s="1755"/>
      <c r="V9" s="50"/>
      <c r="W9" s="122"/>
      <c r="X9" s="8"/>
    </row>
    <row r="10" spans="3:25" ht="16.05" customHeight="1" x14ac:dyDescent="0.25">
      <c r="C10" s="391" t="s">
        <v>75</v>
      </c>
      <c r="D10" s="390" t="str">
        <f>'1. Project Inputs'!C16</f>
        <v>Manual Entry</v>
      </c>
      <c r="E10" s="206"/>
      <c r="F10" s="1628"/>
      <c r="G10" s="615" t="str">
        <f>IF($D$12="Select",'1. Project Inputs'!C37,IF($D$12="Consulting",'1. Project Inputs'!C37,IF($D$12="Digital - MarTech Consulting/Strategy",'1. Project Inputs'!C37,'Standard Rate Cards'!Y12)))</f>
        <v>other bucket</v>
      </c>
      <c r="H10" s="103" t="str">
        <f t="shared" si="0"/>
        <v>No</v>
      </c>
      <c r="I10" s="103" t="str">
        <f t="shared" si="1"/>
        <v>No</v>
      </c>
      <c r="J10" s="103" t="str">
        <f t="shared" si="2"/>
        <v>No</v>
      </c>
      <c r="K10" s="837"/>
      <c r="L10" s="837"/>
      <c r="M10" s="203"/>
      <c r="N10" s="834"/>
      <c r="O10" s="838"/>
      <c r="P10" s="838"/>
      <c r="Q10" s="838"/>
      <c r="R10" s="838"/>
      <c r="S10" s="171"/>
      <c r="T10" s="171"/>
      <c r="U10" s="1755"/>
      <c r="V10" s="50"/>
      <c r="W10" s="122"/>
      <c r="X10" s="8"/>
    </row>
    <row r="11" spans="3:25" ht="16.05" customHeight="1" x14ac:dyDescent="0.25">
      <c r="C11" s="391" t="s">
        <v>76</v>
      </c>
      <c r="D11" s="390" t="str">
        <f>'1. Project Inputs'!C17</f>
        <v>AEM Implementation Soyum Foods</v>
      </c>
      <c r="E11" s="206"/>
      <c r="F11" s="1628"/>
      <c r="G11" s="615" t="str">
        <f>IF($D$12="Select",'1. Project Inputs'!C38,IF($D$12="Consulting",'1. Project Inputs'!C38,IF($D$12="Digital - MarTech Consulting/Strategy",'1. Project Inputs'!C38,'Standard Rate Cards'!Y13)))</f>
        <v>qa work</v>
      </c>
      <c r="H11" s="103" t="str">
        <f t="shared" si="0"/>
        <v>Yes</v>
      </c>
      <c r="I11" s="103" t="str">
        <f t="shared" si="1"/>
        <v>Yes</v>
      </c>
      <c r="J11" s="103" t="str">
        <f t="shared" si="2"/>
        <v>Yes</v>
      </c>
      <c r="K11" s="837"/>
      <c r="L11" s="837"/>
      <c r="M11" s="203"/>
      <c r="N11" s="834"/>
      <c r="O11" s="838"/>
      <c r="P11" s="838"/>
      <c r="Q11" s="838"/>
      <c r="R11" s="838"/>
      <c r="S11" s="171"/>
      <c r="T11" s="171"/>
      <c r="U11" s="1755"/>
      <c r="V11" s="50"/>
      <c r="W11" s="122"/>
      <c r="X11" s="8"/>
    </row>
    <row r="12" spans="3:25" ht="16.05" customHeight="1" x14ac:dyDescent="0.25">
      <c r="C12" s="392" t="s">
        <v>77</v>
      </c>
      <c r="D12" s="999" t="str">
        <f>'1. Project Inputs'!C18</f>
        <v>Consulting</v>
      </c>
      <c r="E12" s="206"/>
      <c r="F12" s="1628"/>
      <c r="G12" s="615" t="str">
        <f>IF($D$12="Select",'1. Project Inputs'!C39,IF($D$12="Consulting",'1. Project Inputs'!C39,IF($D$12="Digital - MarTech Consulting/Strategy",'1. Project Inputs'!C39,"")))</f>
        <v>finishing touches</v>
      </c>
      <c r="H12" s="103" t="str">
        <f t="shared" si="0"/>
        <v>No</v>
      </c>
      <c r="I12" s="103" t="str">
        <f t="shared" si="1"/>
        <v>No</v>
      </c>
      <c r="J12" s="103" t="str">
        <f t="shared" si="2"/>
        <v>No</v>
      </c>
      <c r="K12" s="837"/>
      <c r="L12" s="837"/>
      <c r="M12" s="203"/>
      <c r="N12" s="839"/>
      <c r="O12" s="840"/>
      <c r="P12" s="840"/>
      <c r="Q12" s="840"/>
      <c r="R12" s="840"/>
      <c r="S12" s="171"/>
      <c r="T12" s="171"/>
      <c r="U12" s="1755"/>
      <c r="V12" s="50"/>
      <c r="W12" s="122"/>
      <c r="X12" s="8"/>
    </row>
    <row r="13" spans="3:25" ht="16.05" customHeight="1" x14ac:dyDescent="0.25">
      <c r="C13" s="393" t="s">
        <v>142</v>
      </c>
      <c r="D13" s="999" t="str">
        <f>'1. Project Inputs'!C19</f>
        <v>Standard Rates</v>
      </c>
      <c r="E13" s="206"/>
      <c r="F13" s="1628"/>
      <c r="G13" s="385" t="str">
        <f>IF($D$12="Select",'1. Project Inputs'!C40,IF($D$12="Consulting",'1. Project Inputs'!C40,IF($D$12="Digital - MarTech Consulting/Strategy",'1. Project Inputs'!C40,"")))</f>
        <v>[Estimated Bucket 7]</v>
      </c>
      <c r="H13" s="103" t="str">
        <f t="shared" si="0"/>
        <v>No</v>
      </c>
      <c r="I13" s="103" t="str">
        <f t="shared" si="1"/>
        <v>No</v>
      </c>
      <c r="J13" s="103" t="str">
        <f t="shared" si="2"/>
        <v>No</v>
      </c>
      <c r="K13" s="837"/>
      <c r="L13" s="837"/>
      <c r="M13" s="203"/>
      <c r="N13" s="841"/>
      <c r="O13" s="842"/>
      <c r="P13" s="842"/>
      <c r="Q13" s="842"/>
      <c r="R13" s="842"/>
      <c r="S13" s="171"/>
      <c r="T13" s="171"/>
      <c r="U13" s="1755"/>
      <c r="V13" s="50"/>
      <c r="W13" s="122"/>
      <c r="X13" s="8"/>
    </row>
    <row r="14" spans="3:25" ht="31.05" customHeight="1" x14ac:dyDescent="0.25">
      <c r="C14" s="394" t="s">
        <v>79</v>
      </c>
      <c r="D14" s="999" t="str">
        <f>IF(ISBLANK('1. Project Inputs'!C20)," ",'1. Project Inputs'!C20)</f>
        <v xml:space="preserve"> </v>
      </c>
      <c r="F14" s="1628"/>
      <c r="G14" s="385" t="str">
        <f>IF($D$12="Select",'1. Project Inputs'!C41,IF($D$12="Consulting",'1. Project Inputs'!C41,IF($D$12="Digital - MarTech Consulting/Strategy",'1. Project Inputs'!C41,"")))</f>
        <v>[Estimated Bucket 8]</v>
      </c>
      <c r="H14" s="103" t="str">
        <f t="shared" si="0"/>
        <v>No</v>
      </c>
      <c r="I14" s="103" t="str">
        <f t="shared" si="1"/>
        <v>No</v>
      </c>
      <c r="J14" s="103" t="str">
        <f t="shared" si="2"/>
        <v>No</v>
      </c>
      <c r="K14" s="837"/>
      <c r="L14" s="837"/>
      <c r="M14" s="203"/>
      <c r="N14" s="841"/>
      <c r="O14" s="843"/>
      <c r="P14" s="843"/>
      <c r="Q14" s="843"/>
      <c r="R14" s="843"/>
      <c r="S14" s="171"/>
      <c r="T14" s="171"/>
      <c r="U14" s="1755"/>
      <c r="V14" s="50"/>
      <c r="W14" s="122"/>
      <c r="X14" s="8"/>
    </row>
    <row r="15" spans="3:25" ht="16.05" customHeight="1" x14ac:dyDescent="0.25">
      <c r="C15" s="410" t="s">
        <v>80</v>
      </c>
      <c r="D15" s="1079">
        <f>'1. Project Inputs'!C21</f>
        <v>45776</v>
      </c>
      <c r="F15" s="1628"/>
      <c r="G15" s="385" t="str">
        <f>IF($D$12="Select",'1. Project Inputs'!C42,IF($D$12="Consulting",'1. Project Inputs'!C42,IF($D$12="Digital - MarTech Consulting/Strategy",'1. Project Inputs'!C42,"")))</f>
        <v>[Estimated Bucket 9]</v>
      </c>
      <c r="H15" s="103" t="str">
        <f t="shared" si="0"/>
        <v>No</v>
      </c>
      <c r="I15" s="103" t="str">
        <f t="shared" si="1"/>
        <v>No</v>
      </c>
      <c r="J15" s="103" t="str">
        <f t="shared" si="2"/>
        <v>No</v>
      </c>
      <c r="K15" s="837"/>
      <c r="L15" s="837"/>
      <c r="M15" s="203"/>
      <c r="N15" s="844"/>
      <c r="O15" s="838"/>
      <c r="P15" s="838"/>
      <c r="Q15" s="838"/>
      <c r="R15" s="838"/>
      <c r="S15" s="171"/>
      <c r="T15" s="171"/>
      <c r="U15" s="1755"/>
      <c r="V15" s="50"/>
      <c r="W15" s="122"/>
      <c r="X15" s="8"/>
    </row>
    <row r="16" spans="3:25" ht="17.25" customHeight="1" x14ac:dyDescent="0.25">
      <c r="C16" s="410" t="s">
        <v>143</v>
      </c>
      <c r="D16" s="395">
        <f>ROUNDUP(D114/5,1)</f>
        <v>22.8</v>
      </c>
      <c r="E16" s="62"/>
      <c r="F16" s="1628"/>
      <c r="G16" s="385" t="str">
        <f>IF($D$12="Select",'1. Project Inputs'!C43,IF($D$12="Consulting",'1. Project Inputs'!C43,IF($D$12="Digital - MarTech Consulting/Strategy",'1. Project Inputs'!C43,"")))</f>
        <v>[Estimated Bucket 10]</v>
      </c>
      <c r="H16" s="103" t="str">
        <f t="shared" si="0"/>
        <v>No</v>
      </c>
      <c r="I16" s="103" t="str">
        <f t="shared" si="1"/>
        <v>No</v>
      </c>
      <c r="J16" s="103" t="str">
        <f t="shared" si="2"/>
        <v>No</v>
      </c>
      <c r="K16" s="837"/>
      <c r="L16" s="837"/>
      <c r="M16" s="203"/>
      <c r="N16" s="814"/>
      <c r="O16" s="814"/>
      <c r="P16" s="814"/>
      <c r="Q16" s="814"/>
      <c r="R16" s="814"/>
      <c r="S16" s="171"/>
      <c r="T16" s="171"/>
      <c r="U16" s="1755"/>
      <c r="V16" s="50"/>
      <c r="W16" s="122"/>
      <c r="X16" s="8"/>
    </row>
    <row r="17" spans="2:24" ht="15" x14ac:dyDescent="0.25">
      <c r="C17" s="410" t="s">
        <v>81</v>
      </c>
      <c r="D17" s="395" t="str">
        <f>'1. Project Inputs'!C22</f>
        <v>Fixed Fee</v>
      </c>
      <c r="E17" s="62"/>
      <c r="F17" s="1628"/>
      <c r="G17" s="385" t="str">
        <f>IF($D$12="Select",'1. Project Inputs'!C44,IF($D$12="Consulting",'1. Project Inputs'!C44,IF($D$12="Digital - MarTech Consulting/Strategy",'1. Project Inputs'!C44,"")))</f>
        <v>[Estimated Bucket 11]</v>
      </c>
      <c r="H17" s="103" t="str">
        <f t="shared" si="0"/>
        <v>No</v>
      </c>
      <c r="I17" s="103" t="str">
        <f t="shared" si="1"/>
        <v>No</v>
      </c>
      <c r="J17" s="103" t="str">
        <f t="shared" si="2"/>
        <v>No</v>
      </c>
      <c r="K17" s="837"/>
      <c r="L17" s="837"/>
      <c r="M17" s="203"/>
      <c r="N17" s="814"/>
      <c r="O17" s="814"/>
      <c r="P17" s="814"/>
      <c r="Q17" s="814"/>
      <c r="R17" s="814"/>
      <c r="S17" s="171"/>
      <c r="T17" s="171"/>
      <c r="U17" s="1755"/>
      <c r="V17" s="50"/>
      <c r="W17" s="122"/>
      <c r="X17" s="8"/>
    </row>
    <row r="18" spans="2:24" ht="19.05" customHeight="1" x14ac:dyDescent="0.25">
      <c r="C18" s="426" t="s">
        <v>68</v>
      </c>
      <c r="D18" s="408">
        <f>'1. Project Inputs'!G11</f>
        <v>0</v>
      </c>
      <c r="E18" s="62"/>
      <c r="F18" s="1628"/>
      <c r="G18" s="385" t="str">
        <f>IF($D$12="Select",'1. Project Inputs'!C45,IF($D$12="Consulting",'1. Project Inputs'!C45,IF($D$12="Digital - MarTech Consulting/Strategy",'1. Project Inputs'!C45,"")))</f>
        <v>[Estimated Bucket 12]</v>
      </c>
      <c r="H18" s="103" t="str">
        <f t="shared" si="0"/>
        <v>No</v>
      </c>
      <c r="I18" s="103" t="str">
        <f t="shared" si="1"/>
        <v>No</v>
      </c>
      <c r="J18" s="103" t="str">
        <f t="shared" si="2"/>
        <v>No</v>
      </c>
      <c r="K18" s="837"/>
      <c r="L18" s="837"/>
      <c r="M18" s="203"/>
      <c r="N18" s="814"/>
      <c r="O18" s="814"/>
      <c r="P18" s="814"/>
      <c r="Q18" s="814"/>
      <c r="R18" s="814"/>
      <c r="S18" s="171"/>
      <c r="T18" s="171"/>
      <c r="U18" s="1755"/>
      <c r="V18" s="50"/>
      <c r="W18" s="122"/>
      <c r="X18" s="8"/>
    </row>
    <row r="19" spans="2:24" ht="18" customHeight="1" x14ac:dyDescent="0.25">
      <c r="C19" s="388" t="s">
        <v>70</v>
      </c>
      <c r="D19" s="382">
        <f>'1. Project Inputs'!G12</f>
        <v>0</v>
      </c>
      <c r="E19" s="62"/>
      <c r="F19" s="1628"/>
      <c r="G19" s="385" t="str">
        <f>IF($D$12="Select",'1. Project Inputs'!C46,IF($D$12="Consulting",'1. Project Inputs'!C46,IF($D$12="Digital - MarTech Consulting/Strategy",'1. Project Inputs'!C46,"")))</f>
        <v>[Estimated Bucket 13]</v>
      </c>
      <c r="H19" s="387"/>
      <c r="I19" s="387"/>
      <c r="J19" s="387"/>
      <c r="K19" s="837"/>
      <c r="L19" s="837"/>
      <c r="M19" s="203"/>
      <c r="N19" s="814"/>
      <c r="O19" s="814"/>
      <c r="P19" s="814"/>
      <c r="Q19" s="814"/>
      <c r="R19" s="814"/>
      <c r="S19" s="171"/>
      <c r="T19" s="171"/>
      <c r="U19" s="357"/>
      <c r="V19" s="50"/>
      <c r="W19" s="122"/>
      <c r="X19" s="8"/>
    </row>
    <row r="20" spans="2:24" ht="18" customHeight="1" thickBot="1" x14ac:dyDescent="0.3">
      <c r="C20" s="427" t="s">
        <v>73</v>
      </c>
      <c r="D20" s="383">
        <f>'1. Project Inputs'!G13</f>
        <v>0</v>
      </c>
      <c r="E20" s="62"/>
      <c r="F20" s="1628"/>
      <c r="G20" s="385" t="str">
        <f>IF($D$12="Select",'1. Project Inputs'!C47,IF($D$12="Consulting",'1. Project Inputs'!C47,IF($D$12="Digital - MarTech Consulting/Strategy",'1. Project Inputs'!C47,"")))</f>
        <v>[Estimated Bucket 14]</v>
      </c>
      <c r="H20" s="387"/>
      <c r="I20" s="387"/>
      <c r="J20" s="387"/>
      <c r="K20" s="221"/>
      <c r="L20" s="221"/>
      <c r="U20" s="357"/>
      <c r="V20" s="50"/>
      <c r="W20" s="122"/>
      <c r="X20" s="8"/>
    </row>
    <row r="21" spans="2:24" ht="18" customHeight="1" x14ac:dyDescent="0.25">
      <c r="C21" s="913"/>
      <c r="D21" s="914"/>
      <c r="E21" s="62"/>
      <c r="F21" s="1628"/>
      <c r="G21" s="385" t="str">
        <f>IF($D$12="Select",'1. Project Inputs'!C48,IF($D$12="Consulting",'1. Project Inputs'!C48,IF($D$12="Digital - MarTech Consulting/Strategy",'1. Project Inputs'!C48,"")))</f>
        <v>[Estimated Bucket 15]</v>
      </c>
      <c r="H21" s="387"/>
      <c r="I21" s="387"/>
      <c r="J21" s="387"/>
      <c r="K21" s="221"/>
      <c r="L21" s="221"/>
      <c r="U21" s="357"/>
      <c r="V21" s="50"/>
      <c r="W21" s="122"/>
      <c r="X21" s="8"/>
    </row>
    <row r="22" spans="2:24" ht="18" customHeight="1" x14ac:dyDescent="0.25">
      <c r="C22" s="913"/>
      <c r="D22" s="914"/>
      <c r="E22" s="62"/>
      <c r="F22" s="1628"/>
      <c r="G22" s="385" t="str">
        <f>IF($D$12="Select",'1. Project Inputs'!C49,IF($D$12="Consulting",'1. Project Inputs'!C49,IF($D$12="Digital - MarTech Consulting/Strategy",'1. Project Inputs'!C49,"")))</f>
        <v>[Estimated Bucket 16]</v>
      </c>
      <c r="H22" s="387"/>
      <c r="I22" s="387"/>
      <c r="J22" s="387"/>
      <c r="K22" s="221"/>
      <c r="L22" s="221"/>
      <c r="U22" s="357"/>
      <c r="V22" s="50"/>
      <c r="W22" s="122"/>
      <c r="X22" s="8"/>
    </row>
    <row r="23" spans="2:24" ht="18" customHeight="1" x14ac:dyDescent="0.25">
      <c r="C23" s="913"/>
      <c r="D23" s="914"/>
      <c r="E23" s="62"/>
      <c r="F23" s="1628"/>
      <c r="G23" s="385" t="str">
        <f>IF($D$12="Select",'1. Project Inputs'!C50,IF($D$12="Consulting",'1. Project Inputs'!C50,IF($D$12="Digital - MarTech Consulting/Strategy",'1. Project Inputs'!C50,"")))</f>
        <v>[Estimated Bucket 17]</v>
      </c>
      <c r="H23" s="387"/>
      <c r="I23" s="387"/>
      <c r="J23" s="387"/>
      <c r="K23" s="221"/>
      <c r="L23" s="221"/>
      <c r="U23" s="357"/>
      <c r="V23" s="50"/>
      <c r="W23" s="122"/>
      <c r="X23" s="8"/>
    </row>
    <row r="24" spans="2:24" ht="18" customHeight="1" x14ac:dyDescent="0.25">
      <c r="C24" s="913"/>
      <c r="D24" s="914"/>
      <c r="E24" s="62"/>
      <c r="F24" s="1628"/>
      <c r="G24" s="385" t="str">
        <f>IF($D$12="Select",'1. Project Inputs'!C51,IF($D$12="Consulting",'1. Project Inputs'!C51,IF($D$12="Digital - MarTech Consulting/Strategy",'1. Project Inputs'!C51,"")))</f>
        <v>[Estimated Bucket 18]</v>
      </c>
      <c r="H24" s="387"/>
      <c r="I24" s="387"/>
      <c r="J24" s="387"/>
      <c r="K24" s="221"/>
      <c r="L24" s="221"/>
      <c r="U24" s="357"/>
      <c r="V24" s="50"/>
      <c r="W24" s="122"/>
      <c r="X24" s="8"/>
    </row>
    <row r="25" spans="2:24" ht="18" customHeight="1" x14ac:dyDescent="0.25">
      <c r="C25" s="913"/>
      <c r="D25" s="914"/>
      <c r="E25" s="62"/>
      <c r="F25" s="1628"/>
      <c r="G25" s="385" t="str">
        <f>IF($D$12="Select",'1. Project Inputs'!C52,IF($D$12="Consulting",'1. Project Inputs'!C52,IF($D$12="Digital - MarTech Consulting/Strategy",'1. Project Inputs'!C52,"")))</f>
        <v>[Estimated Bucket 19]</v>
      </c>
      <c r="H25" s="387"/>
      <c r="I25" s="387"/>
      <c r="J25" s="387"/>
      <c r="K25" s="221"/>
      <c r="L25" s="221"/>
      <c r="U25" s="357"/>
      <c r="V25" s="50"/>
      <c r="W25" s="122"/>
      <c r="X25" s="8"/>
    </row>
    <row r="26" spans="2:24" ht="18" customHeight="1" thickBot="1" x14ac:dyDescent="0.3">
      <c r="C26" s="913"/>
      <c r="D26" s="914"/>
      <c r="E26" s="62"/>
      <c r="F26" s="1629"/>
      <c r="G26" s="428" t="str">
        <f>IF($D$12="Select",'1. Project Inputs'!C53,IF($D$12="Consulting",'1. Project Inputs'!C53,IF($D$12="Digital - MarTech Consulting/Strategy",'1. Project Inputs'!C53,"")))</f>
        <v>[Estimated Bucket 20]</v>
      </c>
      <c r="H26" s="387"/>
      <c r="I26" s="387"/>
      <c r="J26" s="387"/>
      <c r="K26" s="221"/>
      <c r="L26" s="221"/>
      <c r="U26" s="357"/>
      <c r="V26" s="50"/>
      <c r="W26" s="122"/>
      <c r="X26" s="8"/>
    </row>
    <row r="27" spans="2:24" ht="18" customHeight="1" x14ac:dyDescent="0.25">
      <c r="E27" s="62"/>
      <c r="F27" s="386"/>
      <c r="G27" s="387"/>
      <c r="H27" s="387"/>
      <c r="I27" s="387"/>
      <c r="J27" s="387"/>
      <c r="K27" s="221"/>
      <c r="L27" s="221"/>
      <c r="U27" s="357"/>
      <c r="V27" s="50"/>
      <c r="W27" s="122"/>
      <c r="X27" s="8"/>
    </row>
    <row r="28" spans="2:24" ht="17.25" customHeight="1" x14ac:dyDescent="0.65">
      <c r="C28" s="170"/>
      <c r="D28" s="180"/>
      <c r="E28" s="62"/>
      <c r="F28" s="183"/>
      <c r="K28" s="222"/>
      <c r="L28" s="222"/>
    </row>
    <row r="29" spans="2:24" ht="22.05" customHeight="1" x14ac:dyDescent="0.25">
      <c r="C29" s="990" t="s">
        <v>144</v>
      </c>
      <c r="D29" s="994"/>
      <c r="E29" s="995"/>
      <c r="F29" s="996"/>
      <c r="G29" s="997"/>
      <c r="H29" s="997"/>
      <c r="I29" s="997"/>
      <c r="J29" s="997"/>
      <c r="K29" s="988"/>
      <c r="L29" s="977"/>
      <c r="M29" s="992"/>
      <c r="N29" s="993"/>
      <c r="O29" s="998"/>
      <c r="P29" s="998"/>
      <c r="Q29" s="998"/>
      <c r="R29" s="998"/>
      <c r="S29" s="988"/>
      <c r="T29" s="988"/>
      <c r="U29" s="988"/>
    </row>
    <row r="30" spans="2:24" ht="17.25" customHeight="1" x14ac:dyDescent="0.65">
      <c r="C30" s="16"/>
      <c r="D30" s="20"/>
      <c r="E30" s="20"/>
      <c r="F30" s="17"/>
      <c r="G30" s="18"/>
      <c r="H30" s="18"/>
      <c r="I30" s="18"/>
      <c r="J30" s="18"/>
      <c r="K30" s="15"/>
      <c r="L30" s="15"/>
      <c r="M30" s="225"/>
      <c r="N30" s="19"/>
      <c r="O30" s="19"/>
      <c r="P30" s="19"/>
      <c r="Q30" s="19"/>
      <c r="R30" s="19"/>
      <c r="S30" s="15"/>
      <c r="T30" s="15"/>
    </row>
    <row r="31" spans="2:24" ht="63" customHeight="1" x14ac:dyDescent="0.25">
      <c r="B31" s="1777" t="s">
        <v>145</v>
      </c>
      <c r="C31" s="1779" t="s">
        <v>146</v>
      </c>
      <c r="D31" s="1781" t="s">
        <v>147</v>
      </c>
      <c r="E31" s="1783" t="s">
        <v>148</v>
      </c>
      <c r="F31" s="1759" t="s">
        <v>149</v>
      </c>
      <c r="G31" s="1761" t="s">
        <v>150</v>
      </c>
      <c r="H31" s="1000"/>
      <c r="I31" s="1000"/>
      <c r="J31" s="1000"/>
      <c r="K31" s="1761" t="s">
        <v>151</v>
      </c>
      <c r="L31" s="1773" t="s">
        <v>152</v>
      </c>
      <c r="M31" s="1757" t="s">
        <v>153</v>
      </c>
      <c r="N31" s="1758"/>
      <c r="O31" s="1758"/>
      <c r="P31" s="1757" t="s">
        <v>154</v>
      </c>
      <c r="Q31" s="1758"/>
      <c r="R31" s="1776"/>
      <c r="S31" s="1763" t="s">
        <v>155</v>
      </c>
      <c r="T31" s="1763" t="s">
        <v>156</v>
      </c>
      <c r="U31" s="8"/>
      <c r="V31" s="8"/>
    </row>
    <row r="32" spans="2:24" ht="21" customHeight="1" x14ac:dyDescent="0.25">
      <c r="B32" s="1778"/>
      <c r="C32" s="1780"/>
      <c r="D32" s="1782"/>
      <c r="E32" s="1784"/>
      <c r="F32" s="1760"/>
      <c r="G32" s="1762"/>
      <c r="H32" s="1001"/>
      <c r="I32" s="1001"/>
      <c r="J32" s="1001"/>
      <c r="K32" s="1762"/>
      <c r="L32" s="1774"/>
      <c r="M32" s="1765" t="str">
        <f>'1. Project Inputs'!C58</f>
        <v>Manual Entry Option 1 Name</v>
      </c>
      <c r="N32" s="1765" t="str">
        <f>'1. Project Inputs'!C59</f>
        <v>Manual Entry Option 2 Name</v>
      </c>
      <c r="O32" s="1765" t="str">
        <f>'1. Project Inputs'!C60</f>
        <v>Manual Entry Option 3 Name</v>
      </c>
      <c r="P32" s="1002"/>
      <c r="Q32" s="1002"/>
      <c r="R32" s="1002"/>
      <c r="S32" s="1764"/>
      <c r="T32" s="1764"/>
      <c r="U32" s="8"/>
      <c r="V32" s="8"/>
    </row>
    <row r="33" spans="2:31" ht="46.05" customHeight="1" x14ac:dyDescent="0.25">
      <c r="B33" s="539"/>
      <c r="C33" s="1003"/>
      <c r="D33" s="1004"/>
      <c r="E33" s="1005"/>
      <c r="F33" s="1006"/>
      <c r="G33" s="1007"/>
      <c r="H33" s="1007"/>
      <c r="I33" s="1007"/>
      <c r="J33" s="1007"/>
      <c r="K33" s="1007"/>
      <c r="L33" s="1775"/>
      <c r="M33" s="1766"/>
      <c r="N33" s="1766"/>
      <c r="O33" s="1766"/>
      <c r="P33" s="1008"/>
      <c r="Q33" s="1008"/>
      <c r="R33" s="1008"/>
      <c r="S33" s="1009"/>
      <c r="T33" s="1767"/>
      <c r="U33" s="8"/>
      <c r="V33" s="8"/>
    </row>
    <row r="34" spans="2:31" s="50" customFormat="1" ht="36" customHeight="1" thickBot="1" x14ac:dyDescent="0.35">
      <c r="B34" s="286" t="s">
        <v>157</v>
      </c>
      <c r="C34" s="748" t="s">
        <v>158</v>
      </c>
      <c r="D34" s="749" t="s">
        <v>159</v>
      </c>
      <c r="E34" s="749" t="s">
        <v>160</v>
      </c>
      <c r="F34" s="750" t="s">
        <v>161</v>
      </c>
      <c r="G34" s="749" t="s">
        <v>162</v>
      </c>
      <c r="H34" s="749" t="s">
        <v>163</v>
      </c>
      <c r="I34" s="749" t="s">
        <v>164</v>
      </c>
      <c r="J34" s="749" t="s">
        <v>165</v>
      </c>
      <c r="K34" s="749" t="s">
        <v>94</v>
      </c>
      <c r="L34" s="538" t="s">
        <v>166</v>
      </c>
      <c r="M34" s="749" t="s">
        <v>125</v>
      </c>
      <c r="N34" s="749" t="s">
        <v>127</v>
      </c>
      <c r="O34" s="749" t="s">
        <v>129</v>
      </c>
      <c r="P34" s="749" t="s">
        <v>167</v>
      </c>
      <c r="Q34" s="749" t="s">
        <v>168</v>
      </c>
      <c r="R34" s="749" t="s">
        <v>169</v>
      </c>
      <c r="S34" s="749" t="s">
        <v>170</v>
      </c>
      <c r="T34" s="759" t="s">
        <v>171</v>
      </c>
      <c r="W34" s="103"/>
      <c r="X34" s="103"/>
      <c r="Y34" s="103"/>
    </row>
    <row r="35" spans="2:31" ht="14.4" thickTop="1" x14ac:dyDescent="0.25">
      <c r="B35" s="287"/>
      <c r="C35" s="751" t="s">
        <v>2345</v>
      </c>
      <c r="D35" s="752" t="s">
        <v>2352</v>
      </c>
      <c r="E35" s="753" t="s">
        <v>2353</v>
      </c>
      <c r="F35" s="754">
        <v>50</v>
      </c>
      <c r="G35" s="755" t="s">
        <v>111</v>
      </c>
      <c r="H35" s="755"/>
      <c r="I35" s="755"/>
      <c r="J35" s="755"/>
      <c r="K35" s="755" t="s">
        <v>105</v>
      </c>
      <c r="L35" s="832">
        <f>IFERROR(IF(ISBLANK(C35),"",(IF(OR($D$12="Consulting",$D$12="Digital - MarTech Consulting/Strategy")=TRUE,IFERROR(F35*(1+_xlfn.XLOOKUP(G35,'1. Project Inputs'!$I$35:$I$41,'1. Project Inputs'!$J$35:$J$41)),F35),IF(C35="E-Commerce",(_xlfn.XLOOKUP(G35,'Complexity Factors'!$B$12:$B$18,'Complexity Factors'!$C$12:$C$18)*2.9),IF(C35="Services/Integrations",_xlfn.XLOOKUP(G35,'Complexity Factors'!$D$12:$D$16,'Complexity Factors'!$E$12:$E$16)*_xlfn.XLOOKUP($D$18,'Complexity Factors'!$B$41:$B$44,'Complexity Factors'!$D$41:$D$44),IF(C35="UI",_xlfn.XLOOKUP(G35,'Complexity Factors'!$B$12:$B$18,'Complexity Factors'!$C$12:$C$18)*_xlfn.XLOOKUP($D$18,'Complexity Factors'!$B$41:$B$44,'Complexity Factors'!$D$41:$D$44),_xlfn.XLOOKUP(G35,'Complexity Factors'!$B$12:$B$18,'Complexity Factors'!$C$12:$C$18)*_xlfn.XLOOKUP($D$18,'Complexity Factors'!$B$41:$B$44,'Complexity Factors'!$C$41:$C$44))))))*(IF(TB.ScopeEstimation[[#This Row],[External Dependencies]]="",1,(1+_xlfn.XLOOKUP(K35,'Complexity Factors'!$B$24:$B$28,'Complexity Factors'!$C$24:$C$28))))),"")</f>
        <v>50</v>
      </c>
      <c r="M35" s="755" t="s">
        <v>172</v>
      </c>
      <c r="N35" s="755" t="s">
        <v>172</v>
      </c>
      <c r="O35" s="755" t="s">
        <v>424</v>
      </c>
      <c r="P35" s="758">
        <f>IF(TB.ScopeEstimation[[#This Row],[Option 1]]="Yes",TB.ScopeEstimation[[#This Row],[Weighted Effort Days]],0)</f>
        <v>50</v>
      </c>
      <c r="Q35" s="758">
        <f>IF(TB.ScopeEstimation[[#This Row],[Option 2]]="Yes",TB.ScopeEstimation[[#This Row],[Weighted Effort Days]],0)</f>
        <v>50</v>
      </c>
      <c r="R35" s="758">
        <f>IF(TB.ScopeEstimation[[#This Row],[Option 3]]="Yes",TB.ScopeEstimation[[#This Row],[Weighted Effort Days]],0)</f>
        <v>0</v>
      </c>
      <c r="S35" s="760" t="s">
        <v>10</v>
      </c>
      <c r="T35" s="761" t="s">
        <v>10</v>
      </c>
      <c r="U35" s="201"/>
      <c r="V35" s="201"/>
    </row>
    <row r="36" spans="2:31" x14ac:dyDescent="0.25">
      <c r="B36" s="288"/>
      <c r="C36" s="751" t="s">
        <v>2344</v>
      </c>
      <c r="D36" s="752"/>
      <c r="E36" s="756"/>
      <c r="F36" s="754">
        <v>50</v>
      </c>
      <c r="G36" s="755"/>
      <c r="H36" s="755"/>
      <c r="I36" s="755"/>
      <c r="J36" s="755"/>
      <c r="K36" s="755"/>
      <c r="L36" s="832">
        <f>IFERROR(IF(ISBLANK(C36),"",(IF(OR($D$12="Consulting",$D$12="Digital - MarTech Consulting/Strategy")=TRUE,IFERROR(F36*(1+_xlfn.XLOOKUP(G36,'1. Project Inputs'!$I$35:$I$41,'1. Project Inputs'!$J$35:$J$41)),F36),IF(C36="E-Commerce",(_xlfn.XLOOKUP(G36,'Complexity Factors'!$B$12:$B$18,'Complexity Factors'!$C$12:$C$18)*2.9),IF(C36="Services/Integrations",_xlfn.XLOOKUP(G36,'Complexity Factors'!$D$12:$D$16,'Complexity Factors'!$E$12:$E$16)*_xlfn.XLOOKUP($D$18,'Complexity Factors'!$B$41:$B$44,'Complexity Factors'!$D$41:$D$44),IF(C36="UI",_xlfn.XLOOKUP(G36,'Complexity Factors'!$B$12:$B$18,'Complexity Factors'!$C$12:$C$18)*_xlfn.XLOOKUP($D$18,'Complexity Factors'!$B$41:$B$44,'Complexity Factors'!$D$41:$D$44),_xlfn.XLOOKUP(G36,'Complexity Factors'!$B$12:$B$18,'Complexity Factors'!$C$12:$C$18)*_xlfn.XLOOKUP($D$18,'Complexity Factors'!$B$41:$B$44,'Complexity Factors'!$C$41:$C$44))))))*(IF(TB.ScopeEstimation[[#This Row],[External Dependencies]]="",1,(1+_xlfn.XLOOKUP(K36,'Complexity Factors'!$B$24:$B$28,'Complexity Factors'!$C$24:$C$28))))),"")</f>
        <v>50</v>
      </c>
      <c r="M36" s="755" t="s">
        <v>172</v>
      </c>
      <c r="N36" s="755" t="s">
        <v>424</v>
      </c>
      <c r="O36" s="755" t="s">
        <v>424</v>
      </c>
      <c r="P36" s="758">
        <f>IF(TB.ScopeEstimation[[#This Row],[Option 1]]="Yes",TB.ScopeEstimation[[#This Row],[Weighted Effort Days]],0)</f>
        <v>50</v>
      </c>
      <c r="Q36" s="758">
        <f>IF(TB.ScopeEstimation[[#This Row],[Option 2]]="Yes",TB.ScopeEstimation[[#This Row],[Weighted Effort Days]],0)</f>
        <v>0</v>
      </c>
      <c r="R36" s="758">
        <f>IF(TB.ScopeEstimation[[#This Row],[Option 3]]="Yes",TB.ScopeEstimation[[#This Row],[Weighted Effort Days]],0)</f>
        <v>0</v>
      </c>
      <c r="S36" s="760" t="s">
        <v>10</v>
      </c>
      <c r="T36" s="761" t="s">
        <v>10</v>
      </c>
      <c r="U36" s="201"/>
      <c r="V36" s="201"/>
    </row>
    <row r="37" spans="2:31" x14ac:dyDescent="0.25">
      <c r="B37" s="288"/>
      <c r="C37" s="751" t="s">
        <v>2345</v>
      </c>
      <c r="D37" s="752"/>
      <c r="E37" s="756"/>
      <c r="F37" s="754">
        <v>3</v>
      </c>
      <c r="G37" s="755"/>
      <c r="H37" s="755"/>
      <c r="I37" s="755"/>
      <c r="J37" s="755"/>
      <c r="K37" s="755"/>
      <c r="L37" s="832">
        <f>IFERROR(IF(ISBLANK(C37),"",(IF(OR($D$12="Consulting",$D$12="Digital - MarTech Consulting/Strategy")=TRUE,IFERROR(F37*(1+_xlfn.XLOOKUP(G37,'1. Project Inputs'!$I$35:$I$41,'1. Project Inputs'!$J$35:$J$41)),F37),IF(C37="E-Commerce",(_xlfn.XLOOKUP(G37,'Complexity Factors'!$B$12:$B$18,'Complexity Factors'!$C$12:$C$18)*2.9),IF(C37="Services/Integrations",_xlfn.XLOOKUP(G37,'Complexity Factors'!$D$12:$D$16,'Complexity Factors'!$E$12:$E$16)*_xlfn.XLOOKUP($D$18,'Complexity Factors'!$B$41:$B$44,'Complexity Factors'!$D$41:$D$44),IF(C37="UI",_xlfn.XLOOKUP(G37,'Complexity Factors'!$B$12:$B$18,'Complexity Factors'!$C$12:$C$18)*_xlfn.XLOOKUP($D$18,'Complexity Factors'!$B$41:$B$44,'Complexity Factors'!$D$41:$D$44),_xlfn.XLOOKUP(G37,'Complexity Factors'!$B$12:$B$18,'Complexity Factors'!$C$12:$C$18)*_xlfn.XLOOKUP($D$18,'Complexity Factors'!$B$41:$B$44,'Complexity Factors'!$C$41:$C$44))))))*(IF(TB.ScopeEstimation[[#This Row],[External Dependencies]]="",1,(1+_xlfn.XLOOKUP(K37,'Complexity Factors'!$B$24:$B$28,'Complexity Factors'!$C$24:$C$28))))),"")</f>
        <v>3</v>
      </c>
      <c r="M37" s="755" t="s">
        <v>172</v>
      </c>
      <c r="N37" s="755" t="s">
        <v>424</v>
      </c>
      <c r="O37" s="755" t="s">
        <v>424</v>
      </c>
      <c r="P37" s="758">
        <f>IF(TB.ScopeEstimation[[#This Row],[Option 1]]="Yes",TB.ScopeEstimation[[#This Row],[Weighted Effort Days]],0)</f>
        <v>3</v>
      </c>
      <c r="Q37" s="758">
        <f>IF(TB.ScopeEstimation[[#This Row],[Option 2]]="Yes",TB.ScopeEstimation[[#This Row],[Weighted Effort Days]],0)</f>
        <v>0</v>
      </c>
      <c r="R37" s="758">
        <f>IF(TB.ScopeEstimation[[#This Row],[Option 3]]="Yes",TB.ScopeEstimation[[#This Row],[Weighted Effort Days]],0)</f>
        <v>0</v>
      </c>
      <c r="S37" s="755"/>
      <c r="T37" s="762"/>
      <c r="U37" s="201"/>
      <c r="V37" s="201"/>
    </row>
    <row r="38" spans="2:31" x14ac:dyDescent="0.25">
      <c r="B38" s="288"/>
      <c r="C38" s="751" t="s">
        <v>2348</v>
      </c>
      <c r="D38" s="752"/>
      <c r="E38" s="756"/>
      <c r="F38" s="754">
        <v>2</v>
      </c>
      <c r="G38" s="755"/>
      <c r="H38" s="755"/>
      <c r="I38" s="755"/>
      <c r="J38" s="755"/>
      <c r="K38" s="755"/>
      <c r="L38" s="832">
        <f>IFERROR(IF(ISBLANK(C38),"",(IF(OR($D$12="Consulting",$D$12="Digital - MarTech Consulting/Strategy")=TRUE,IFERROR(F38*(1+_xlfn.XLOOKUP(G38,'1. Project Inputs'!$I$35:$I$41,'1. Project Inputs'!$J$35:$J$41)),F38),IF(C38="E-Commerce",(_xlfn.XLOOKUP(G38,'Complexity Factors'!$B$12:$B$18,'Complexity Factors'!$C$12:$C$18)*2.9),IF(C38="Services/Integrations",_xlfn.XLOOKUP(G38,'Complexity Factors'!$D$12:$D$16,'Complexity Factors'!$E$12:$E$16)*_xlfn.XLOOKUP($D$18,'Complexity Factors'!$B$41:$B$44,'Complexity Factors'!$D$41:$D$44),IF(C38="UI",_xlfn.XLOOKUP(G38,'Complexity Factors'!$B$12:$B$18,'Complexity Factors'!$C$12:$C$18)*_xlfn.XLOOKUP($D$18,'Complexity Factors'!$B$41:$B$44,'Complexity Factors'!$D$41:$D$44),_xlfn.XLOOKUP(G38,'Complexity Factors'!$B$12:$B$18,'Complexity Factors'!$C$12:$C$18)*_xlfn.XLOOKUP($D$18,'Complexity Factors'!$B$41:$B$44,'Complexity Factors'!$C$41:$C$44))))))*(IF(TB.ScopeEstimation[[#This Row],[External Dependencies]]="",1,(1+_xlfn.XLOOKUP(K38,'Complexity Factors'!$B$24:$B$28,'Complexity Factors'!$C$24:$C$28))))),"")</f>
        <v>2</v>
      </c>
      <c r="M38" s="755" t="s">
        <v>172</v>
      </c>
      <c r="N38" s="755" t="s">
        <v>424</v>
      </c>
      <c r="O38" s="755" t="s">
        <v>424</v>
      </c>
      <c r="P38" s="758">
        <f>IF(TB.ScopeEstimation[[#This Row],[Option 1]]="Yes",TB.ScopeEstimation[[#This Row],[Weighted Effort Days]],0)</f>
        <v>2</v>
      </c>
      <c r="Q38" s="758">
        <f>IF(TB.ScopeEstimation[[#This Row],[Option 2]]="Yes",TB.ScopeEstimation[[#This Row],[Weighted Effort Days]],0)</f>
        <v>0</v>
      </c>
      <c r="R38" s="758">
        <f>IF(TB.ScopeEstimation[[#This Row],[Option 3]]="Yes",TB.ScopeEstimation[[#This Row],[Weighted Effort Days]],0)</f>
        <v>0</v>
      </c>
      <c r="S38" s="755"/>
      <c r="T38" s="762"/>
      <c r="U38" s="201"/>
      <c r="V38" s="201"/>
      <c r="W38" s="21"/>
      <c r="AE38" s="22"/>
    </row>
    <row r="39" spans="2:31" x14ac:dyDescent="0.25">
      <c r="B39" s="288"/>
      <c r="C39" s="751" t="s">
        <v>2348</v>
      </c>
      <c r="D39" s="752"/>
      <c r="E39" s="756"/>
      <c r="F39" s="754">
        <v>1</v>
      </c>
      <c r="G39" s="755"/>
      <c r="H39" s="755"/>
      <c r="I39" s="755"/>
      <c r="J39" s="755"/>
      <c r="K39" s="755"/>
      <c r="L39" s="832">
        <f>IFERROR(IF(ISBLANK(C39),"",(IF(OR($D$12="Consulting",$D$12="Digital - MarTech Consulting/Strategy")=TRUE,IFERROR(F39*(1+_xlfn.XLOOKUP(G39,'1. Project Inputs'!$I$35:$I$41,'1. Project Inputs'!$J$35:$J$41)),F39),IF(C39="E-Commerce",(_xlfn.XLOOKUP(G39,'Complexity Factors'!$B$12:$B$18,'Complexity Factors'!$C$12:$C$18)*2.9),IF(C39="Services/Integrations",_xlfn.XLOOKUP(G39,'Complexity Factors'!$D$12:$D$16,'Complexity Factors'!$E$12:$E$16)*_xlfn.XLOOKUP($D$18,'Complexity Factors'!$B$41:$B$44,'Complexity Factors'!$D$41:$D$44),IF(C39="UI",_xlfn.XLOOKUP(G39,'Complexity Factors'!$B$12:$B$18,'Complexity Factors'!$C$12:$C$18)*_xlfn.XLOOKUP($D$18,'Complexity Factors'!$B$41:$B$44,'Complexity Factors'!$D$41:$D$44),_xlfn.XLOOKUP(G39,'Complexity Factors'!$B$12:$B$18,'Complexity Factors'!$C$12:$C$18)*_xlfn.XLOOKUP($D$18,'Complexity Factors'!$B$41:$B$44,'Complexity Factors'!$C$41:$C$44))))))*(IF(TB.ScopeEstimation[[#This Row],[External Dependencies]]="",1,(1+_xlfn.XLOOKUP(K39,'Complexity Factors'!$B$24:$B$28,'Complexity Factors'!$C$24:$C$28))))),"")</f>
        <v>1</v>
      </c>
      <c r="M39" s="755" t="s">
        <v>172</v>
      </c>
      <c r="N39" s="755" t="s">
        <v>172</v>
      </c>
      <c r="O39" s="755" t="s">
        <v>172</v>
      </c>
      <c r="P39" s="758">
        <f>IF(TB.ScopeEstimation[[#This Row],[Option 1]]="Yes",TB.ScopeEstimation[[#This Row],[Weighted Effort Days]],0)</f>
        <v>1</v>
      </c>
      <c r="Q39" s="758">
        <f>IF(TB.ScopeEstimation[[#This Row],[Option 2]]="Yes",TB.ScopeEstimation[[#This Row],[Weighted Effort Days]],0)</f>
        <v>1</v>
      </c>
      <c r="R39" s="758">
        <f>IF(TB.ScopeEstimation[[#This Row],[Option 3]]="Yes",TB.ScopeEstimation[[#This Row],[Weighted Effort Days]],0)</f>
        <v>1</v>
      </c>
      <c r="S39" s="755"/>
      <c r="T39" s="762"/>
      <c r="U39" s="202"/>
      <c r="V39" s="202"/>
      <c r="W39" s="21"/>
      <c r="AE39" s="22"/>
    </row>
    <row r="40" spans="2:31" x14ac:dyDescent="0.25">
      <c r="B40" s="288"/>
      <c r="C40" s="751" t="s">
        <v>2350</v>
      </c>
      <c r="D40" s="756"/>
      <c r="E40" s="756"/>
      <c r="F40" s="754">
        <v>1</v>
      </c>
      <c r="G40" s="755"/>
      <c r="H40" s="757"/>
      <c r="I40" s="757"/>
      <c r="J40" s="757"/>
      <c r="K40" s="755"/>
      <c r="L40" s="832">
        <f>IFERROR(IF(ISBLANK(C40),"",(IF(OR($D$12="Consulting",$D$12="Digital - MarTech Consulting/Strategy")=TRUE,IFERROR(F40*(1+_xlfn.XLOOKUP(G40,'1. Project Inputs'!$I$35:$I$41,'1. Project Inputs'!$J$35:$J$41)),F40),IF(C40="E-Commerce",(_xlfn.XLOOKUP(G40,'Complexity Factors'!$B$12:$B$18,'Complexity Factors'!$C$12:$C$18)*2.9),IF(C40="Services/Integrations",_xlfn.XLOOKUP(G40,'Complexity Factors'!$D$12:$D$16,'Complexity Factors'!$E$12:$E$16)*_xlfn.XLOOKUP($D$18,'Complexity Factors'!$B$41:$B$44,'Complexity Factors'!$D$41:$D$44),IF(C40="UI",_xlfn.XLOOKUP(G40,'Complexity Factors'!$B$12:$B$18,'Complexity Factors'!$C$12:$C$18)*_xlfn.XLOOKUP($D$18,'Complexity Factors'!$B$41:$B$44,'Complexity Factors'!$D$41:$D$44),_xlfn.XLOOKUP(G40,'Complexity Factors'!$B$12:$B$18,'Complexity Factors'!$C$12:$C$18)*_xlfn.XLOOKUP($D$18,'Complexity Factors'!$B$41:$B$44,'Complexity Factors'!$C$41:$C$44))))))*(IF(TB.ScopeEstimation[[#This Row],[External Dependencies]]="",1,(1+_xlfn.XLOOKUP(K40,'Complexity Factors'!$B$24:$B$28,'Complexity Factors'!$C$24:$C$28))))),"")</f>
        <v>1</v>
      </c>
      <c r="M40" s="755" t="s">
        <v>172</v>
      </c>
      <c r="N40" s="755" t="s">
        <v>172</v>
      </c>
      <c r="O40" s="755" t="s">
        <v>172</v>
      </c>
      <c r="P40" s="758">
        <f>IF(TB.ScopeEstimation[[#This Row],[Option 1]]="Yes",TB.ScopeEstimation[[#This Row],[Weighted Effort Days]],0)</f>
        <v>1</v>
      </c>
      <c r="Q40" s="758">
        <f>IF(TB.ScopeEstimation[[#This Row],[Option 2]]="Yes",TB.ScopeEstimation[[#This Row],[Weighted Effort Days]],0)</f>
        <v>1</v>
      </c>
      <c r="R40" s="758">
        <f>IF(TB.ScopeEstimation[[#This Row],[Option 3]]="Yes",TB.ScopeEstimation[[#This Row],[Weighted Effort Days]],0)</f>
        <v>1</v>
      </c>
      <c r="S40" s="755"/>
      <c r="T40" s="762"/>
      <c r="U40" s="202"/>
      <c r="V40" s="202"/>
      <c r="W40" s="21"/>
      <c r="AE40" s="22"/>
    </row>
    <row r="41" spans="2:31" x14ac:dyDescent="0.25">
      <c r="B41" s="288"/>
      <c r="C41" s="751" t="s">
        <v>2350</v>
      </c>
      <c r="D41" s="756"/>
      <c r="E41" s="756"/>
      <c r="F41" s="754">
        <v>3</v>
      </c>
      <c r="G41" s="755"/>
      <c r="H41" s="755"/>
      <c r="I41" s="755"/>
      <c r="J41" s="755"/>
      <c r="K41" s="755"/>
      <c r="L41" s="832">
        <f>IFERROR(IF(ISBLANK(C41),"",(IF(OR($D$12="Consulting",$D$12="Digital - MarTech Consulting/Strategy")=TRUE,IFERROR(F41*(1+_xlfn.XLOOKUP(G41,'1. Project Inputs'!$I$35:$I$41,'1. Project Inputs'!$J$35:$J$41)),F41),IF(C41="E-Commerce",(_xlfn.XLOOKUP(G41,'Complexity Factors'!$B$12:$B$18,'Complexity Factors'!$C$12:$C$18)*2.9),IF(C41="Services/Integrations",_xlfn.XLOOKUP(G41,'Complexity Factors'!$D$12:$D$16,'Complexity Factors'!$E$12:$E$16)*_xlfn.XLOOKUP($D$18,'Complexity Factors'!$B$41:$B$44,'Complexity Factors'!$D$41:$D$44),IF(C41="UI",_xlfn.XLOOKUP(G41,'Complexity Factors'!$B$12:$B$18,'Complexity Factors'!$C$12:$C$18)*_xlfn.XLOOKUP($D$18,'Complexity Factors'!$B$41:$B$44,'Complexity Factors'!$D$41:$D$44),_xlfn.XLOOKUP(G41,'Complexity Factors'!$B$12:$B$18,'Complexity Factors'!$C$12:$C$18)*_xlfn.XLOOKUP($D$18,'Complexity Factors'!$B$41:$B$44,'Complexity Factors'!$C$41:$C$44))))))*(IF(TB.ScopeEstimation[[#This Row],[External Dependencies]]="",1,(1+_xlfn.XLOOKUP(K41,'Complexity Factors'!$B$24:$B$28,'Complexity Factors'!$C$24:$C$28))))),"")</f>
        <v>3</v>
      </c>
      <c r="M41" s="755" t="s">
        <v>172</v>
      </c>
      <c r="N41" s="755" t="s">
        <v>172</v>
      </c>
      <c r="O41" s="755" t="s">
        <v>172</v>
      </c>
      <c r="P41" s="758">
        <f>IF(TB.ScopeEstimation[[#This Row],[Option 1]]="Yes",TB.ScopeEstimation[[#This Row],[Weighted Effort Days]],0)</f>
        <v>3</v>
      </c>
      <c r="Q41" s="758">
        <f>IF(TB.ScopeEstimation[[#This Row],[Option 2]]="Yes",TB.ScopeEstimation[[#This Row],[Weighted Effort Days]],0)</f>
        <v>3</v>
      </c>
      <c r="R41" s="758">
        <f>IF(TB.ScopeEstimation[[#This Row],[Option 3]]="Yes",TB.ScopeEstimation[[#This Row],[Weighted Effort Days]],0)</f>
        <v>3</v>
      </c>
      <c r="S41" s="755"/>
      <c r="T41" s="762"/>
      <c r="U41" s="202"/>
      <c r="V41" s="202"/>
      <c r="AE41" s="22"/>
    </row>
    <row r="42" spans="2:31" x14ac:dyDescent="0.25">
      <c r="B42" s="288"/>
      <c r="C42" s="751" t="s">
        <v>2344</v>
      </c>
      <c r="D42" s="756"/>
      <c r="E42" s="756"/>
      <c r="F42" s="754">
        <v>4</v>
      </c>
      <c r="G42" s="755"/>
      <c r="H42" s="755"/>
      <c r="I42" s="755"/>
      <c r="J42" s="755"/>
      <c r="K42" s="755"/>
      <c r="L42" s="832">
        <f>IFERROR(IF(ISBLANK(C42),"",(IF(OR($D$12="Consulting",$D$12="Digital - MarTech Consulting/Strategy")=TRUE,IFERROR(F42*(1+_xlfn.XLOOKUP(G42,'1. Project Inputs'!$I$35:$I$41,'1. Project Inputs'!$J$35:$J$41)),F42),IF(C42="E-Commerce",(_xlfn.XLOOKUP(G42,'Complexity Factors'!$B$12:$B$18,'Complexity Factors'!$C$12:$C$18)*2.9),IF(C42="Services/Integrations",_xlfn.XLOOKUP(G42,'Complexity Factors'!$D$12:$D$16,'Complexity Factors'!$E$12:$E$16)*_xlfn.XLOOKUP($D$18,'Complexity Factors'!$B$41:$B$44,'Complexity Factors'!$D$41:$D$44),IF(C42="UI",_xlfn.XLOOKUP(G42,'Complexity Factors'!$B$12:$B$18,'Complexity Factors'!$C$12:$C$18)*_xlfn.XLOOKUP($D$18,'Complexity Factors'!$B$41:$B$44,'Complexity Factors'!$D$41:$D$44),_xlfn.XLOOKUP(G42,'Complexity Factors'!$B$12:$B$18,'Complexity Factors'!$C$12:$C$18)*_xlfn.XLOOKUP($D$18,'Complexity Factors'!$B$41:$B$44,'Complexity Factors'!$C$41:$C$44))))))*(IF(TB.ScopeEstimation[[#This Row],[External Dependencies]]="",1,(1+_xlfn.XLOOKUP(K42,'Complexity Factors'!$B$24:$B$28,'Complexity Factors'!$C$24:$C$28))))),"")</f>
        <v>4</v>
      </c>
      <c r="M42" s="755" t="s">
        <v>172</v>
      </c>
      <c r="N42" s="755" t="s">
        <v>172</v>
      </c>
      <c r="O42" s="755" t="s">
        <v>172</v>
      </c>
      <c r="P42" s="758">
        <f>IF(TB.ScopeEstimation[[#This Row],[Option 1]]="Yes",TB.ScopeEstimation[[#This Row],[Weighted Effort Days]],0)</f>
        <v>4</v>
      </c>
      <c r="Q42" s="758">
        <f>IF(TB.ScopeEstimation[[#This Row],[Option 2]]="Yes",TB.ScopeEstimation[[#This Row],[Weighted Effort Days]],0)</f>
        <v>4</v>
      </c>
      <c r="R42" s="758">
        <f>IF(TB.ScopeEstimation[[#This Row],[Option 3]]="Yes",TB.ScopeEstimation[[#This Row],[Weighted Effort Days]],0)</f>
        <v>4</v>
      </c>
      <c r="S42" s="755"/>
      <c r="T42" s="762"/>
      <c r="U42" s="202"/>
      <c r="V42" s="202"/>
      <c r="AE42" s="22"/>
    </row>
    <row r="43" spans="2:31" x14ac:dyDescent="0.25">
      <c r="B43" s="288"/>
      <c r="C43" s="751"/>
      <c r="D43" s="756"/>
      <c r="E43" s="756"/>
      <c r="F43" s="754"/>
      <c r="G43" s="755"/>
      <c r="H43" s="755"/>
      <c r="I43" s="755"/>
      <c r="J43" s="755"/>
      <c r="K43" s="755"/>
      <c r="L43" s="832" t="str">
        <f>IFERROR(IF(ISBLANK(C43),"",(IF(OR($D$12="Consulting",$D$12="Digital - MarTech Consulting/Strategy")=TRUE,IFERROR(F43*(1+_xlfn.XLOOKUP(G43,'1. Project Inputs'!$I$35:$I$41,'1. Project Inputs'!$J$35:$J$41)),F43),IF(C43="E-Commerce",(_xlfn.XLOOKUP(G43,'Complexity Factors'!$B$12:$B$18,'Complexity Factors'!$C$12:$C$18)*2.9),IF(C43="Services/Integrations",_xlfn.XLOOKUP(G43,'Complexity Factors'!$D$12:$D$16,'Complexity Factors'!$E$12:$E$16)*_xlfn.XLOOKUP($D$18,'Complexity Factors'!$B$41:$B$44,'Complexity Factors'!$D$41:$D$44),IF(C43="UI",_xlfn.XLOOKUP(G43,'Complexity Factors'!$B$12:$B$18,'Complexity Factors'!$C$12:$C$18)*_xlfn.XLOOKUP($D$18,'Complexity Factors'!$B$41:$B$44,'Complexity Factors'!$D$41:$D$44),_xlfn.XLOOKUP(G43,'Complexity Factors'!$B$12:$B$18,'Complexity Factors'!$C$12:$C$18)*_xlfn.XLOOKUP($D$18,'Complexity Factors'!$B$41:$B$44,'Complexity Factors'!$C$41:$C$44))))))*(IF(TB.ScopeEstimation[[#This Row],[External Dependencies]]="",1,(1+_xlfn.XLOOKUP(K43,'Complexity Factors'!$B$24:$B$28,'Complexity Factors'!$C$24:$C$28))))),"")</f>
        <v/>
      </c>
      <c r="M43" s="755"/>
      <c r="N43" s="755"/>
      <c r="O43" s="755"/>
      <c r="P43" s="758">
        <f>IF(TB.ScopeEstimation[[#This Row],[Option 1]]="Yes",TB.ScopeEstimation[[#This Row],[Weighted Effort Days]],0)</f>
        <v>0</v>
      </c>
      <c r="Q43" s="758">
        <f>IF(TB.ScopeEstimation[[#This Row],[Option 2]]="Yes",TB.ScopeEstimation[[#This Row],[Weighted Effort Days]],0)</f>
        <v>0</v>
      </c>
      <c r="R43" s="758">
        <f>IF(TB.ScopeEstimation[[#This Row],[Option 3]]="Yes",TB.ScopeEstimation[[#This Row],[Weighted Effort Days]],0)</f>
        <v>0</v>
      </c>
      <c r="S43" s="755"/>
      <c r="T43" s="762"/>
      <c r="U43" s="202"/>
      <c r="V43" s="202"/>
      <c r="AE43" s="22"/>
    </row>
    <row r="44" spans="2:31" x14ac:dyDescent="0.25">
      <c r="B44" s="288"/>
      <c r="C44" s="751"/>
      <c r="D44" s="756"/>
      <c r="E44" s="756"/>
      <c r="F44" s="754"/>
      <c r="G44" s="755"/>
      <c r="H44" s="755"/>
      <c r="I44" s="755"/>
      <c r="J44" s="755"/>
      <c r="K44" s="755"/>
      <c r="L44" s="832" t="str">
        <f>IFERROR(IF(ISBLANK(C44),"",(IF(OR($D$12="Consulting",$D$12="Digital - MarTech Consulting/Strategy")=TRUE,IFERROR(F44*(1+_xlfn.XLOOKUP(G44,'1. Project Inputs'!$I$35:$I$41,'1. Project Inputs'!$J$35:$J$41)),F44),IF(C44="E-Commerce",(_xlfn.XLOOKUP(G44,'Complexity Factors'!$B$12:$B$18,'Complexity Factors'!$C$12:$C$18)*2.9),IF(C44="Services/Integrations",_xlfn.XLOOKUP(G44,'Complexity Factors'!$D$12:$D$16,'Complexity Factors'!$E$12:$E$16)*_xlfn.XLOOKUP($D$18,'Complexity Factors'!$B$41:$B$44,'Complexity Factors'!$D$41:$D$44),IF(C44="UI",_xlfn.XLOOKUP(G44,'Complexity Factors'!$B$12:$B$18,'Complexity Factors'!$C$12:$C$18)*_xlfn.XLOOKUP($D$18,'Complexity Factors'!$B$41:$B$44,'Complexity Factors'!$D$41:$D$44),_xlfn.XLOOKUP(G44,'Complexity Factors'!$B$12:$B$18,'Complexity Factors'!$C$12:$C$18)*_xlfn.XLOOKUP($D$18,'Complexity Factors'!$B$41:$B$44,'Complexity Factors'!$C$41:$C$44))))))*(IF(TB.ScopeEstimation[[#This Row],[External Dependencies]]="",1,(1+_xlfn.XLOOKUP(K44,'Complexity Factors'!$B$24:$B$28,'Complexity Factors'!$C$24:$C$28))))),"")</f>
        <v/>
      </c>
      <c r="M44" s="755"/>
      <c r="N44" s="755"/>
      <c r="O44" s="755"/>
      <c r="P44" s="758">
        <f>IF(TB.ScopeEstimation[[#This Row],[Option 1]]="Yes",TB.ScopeEstimation[[#This Row],[Weighted Effort Days]],0)</f>
        <v>0</v>
      </c>
      <c r="Q44" s="758">
        <f>IF(TB.ScopeEstimation[[#This Row],[Option 2]]="Yes",TB.ScopeEstimation[[#This Row],[Weighted Effort Days]],0)</f>
        <v>0</v>
      </c>
      <c r="R44" s="758">
        <f>IF(TB.ScopeEstimation[[#This Row],[Option 3]]="Yes",TB.ScopeEstimation[[#This Row],[Weighted Effort Days]],0)</f>
        <v>0</v>
      </c>
      <c r="S44" s="755"/>
      <c r="T44" s="762"/>
      <c r="U44" s="202"/>
      <c r="V44" s="202"/>
      <c r="AE44" s="22"/>
    </row>
    <row r="45" spans="2:31" x14ac:dyDescent="0.25">
      <c r="B45" s="288"/>
      <c r="C45" s="751"/>
      <c r="D45" s="756"/>
      <c r="E45" s="756"/>
      <c r="F45" s="754"/>
      <c r="G45" s="755"/>
      <c r="H45" s="757"/>
      <c r="I45" s="757"/>
      <c r="J45" s="757"/>
      <c r="K45" s="755"/>
      <c r="L45" s="832" t="str">
        <f>IFERROR(IF(ISBLANK(C45),"",(IF(OR($D$12="Consulting",$D$12="Digital - MarTech Consulting/Strategy")=TRUE,IFERROR(F45*(1+_xlfn.XLOOKUP(G45,'1. Project Inputs'!$I$35:$I$41,'1. Project Inputs'!$J$35:$J$41)),F45),IF(C45="E-Commerce",(_xlfn.XLOOKUP(G45,'Complexity Factors'!$B$12:$B$18,'Complexity Factors'!$C$12:$C$18)*2.9),IF(C45="Services/Integrations",_xlfn.XLOOKUP(G45,'Complexity Factors'!$D$12:$D$16,'Complexity Factors'!$E$12:$E$16)*_xlfn.XLOOKUP($D$18,'Complexity Factors'!$B$41:$B$44,'Complexity Factors'!$D$41:$D$44),IF(C45="UI",_xlfn.XLOOKUP(G45,'Complexity Factors'!$B$12:$B$18,'Complexity Factors'!$C$12:$C$18)*_xlfn.XLOOKUP($D$18,'Complexity Factors'!$B$41:$B$44,'Complexity Factors'!$D$41:$D$44),_xlfn.XLOOKUP(G45,'Complexity Factors'!$B$12:$B$18,'Complexity Factors'!$C$12:$C$18)*_xlfn.XLOOKUP($D$18,'Complexity Factors'!$B$41:$B$44,'Complexity Factors'!$C$41:$C$44))))))*(IF(TB.ScopeEstimation[[#This Row],[External Dependencies]]="",1,(1+_xlfn.XLOOKUP(K45,'Complexity Factors'!$B$24:$B$28,'Complexity Factors'!$C$24:$C$28))))),"")</f>
        <v/>
      </c>
      <c r="M45" s="755"/>
      <c r="N45" s="755"/>
      <c r="O45" s="755"/>
      <c r="P45" s="758">
        <f>IF(TB.ScopeEstimation[[#This Row],[Option 1]]="Yes",TB.ScopeEstimation[[#This Row],[Weighted Effort Days]],0)</f>
        <v>0</v>
      </c>
      <c r="Q45" s="758">
        <f>IF(TB.ScopeEstimation[[#This Row],[Option 2]]="Yes",TB.ScopeEstimation[[#This Row],[Weighted Effort Days]],0)</f>
        <v>0</v>
      </c>
      <c r="R45" s="758">
        <f>IF(TB.ScopeEstimation[[#This Row],[Option 3]]="Yes",TB.ScopeEstimation[[#This Row],[Weighted Effort Days]],0)</f>
        <v>0</v>
      </c>
      <c r="S45" s="755"/>
      <c r="T45" s="762"/>
      <c r="U45" s="202"/>
      <c r="V45" s="202"/>
      <c r="AE45" s="22"/>
    </row>
    <row r="46" spans="2:31" x14ac:dyDescent="0.25">
      <c r="B46" s="288"/>
      <c r="C46" s="751"/>
      <c r="D46" s="756"/>
      <c r="E46" s="756"/>
      <c r="F46" s="754"/>
      <c r="G46" s="755"/>
      <c r="H46" s="755"/>
      <c r="I46" s="755"/>
      <c r="J46" s="755"/>
      <c r="K46" s="755"/>
      <c r="L46" s="832" t="str">
        <f>IFERROR(IF(ISBLANK(C46),"",(IF(OR($D$12="Consulting",$D$12="Digital - MarTech Consulting/Strategy")=TRUE,IFERROR(F46*(1+_xlfn.XLOOKUP(G46,'1. Project Inputs'!$I$35:$I$41,'1. Project Inputs'!$J$35:$J$41)),F46),IF(C46="E-Commerce",(_xlfn.XLOOKUP(G46,'Complexity Factors'!$B$12:$B$18,'Complexity Factors'!$C$12:$C$18)*2.9),IF(C46="Services/Integrations",_xlfn.XLOOKUP(G46,'Complexity Factors'!$D$12:$D$16,'Complexity Factors'!$E$12:$E$16)*_xlfn.XLOOKUP($D$18,'Complexity Factors'!$B$41:$B$44,'Complexity Factors'!$D$41:$D$44),IF(C46="UI",_xlfn.XLOOKUP(G46,'Complexity Factors'!$B$12:$B$18,'Complexity Factors'!$C$12:$C$18)*_xlfn.XLOOKUP($D$18,'Complexity Factors'!$B$41:$B$44,'Complexity Factors'!$D$41:$D$44),_xlfn.XLOOKUP(G46,'Complexity Factors'!$B$12:$B$18,'Complexity Factors'!$C$12:$C$18)*_xlfn.XLOOKUP($D$18,'Complexity Factors'!$B$41:$B$44,'Complexity Factors'!$C$41:$C$44))))))*(IF(TB.ScopeEstimation[[#This Row],[External Dependencies]]="",1,(1+_xlfn.XLOOKUP(K46,'Complexity Factors'!$B$24:$B$28,'Complexity Factors'!$C$24:$C$28))))),"")</f>
        <v/>
      </c>
      <c r="M46" s="755"/>
      <c r="N46" s="755"/>
      <c r="O46" s="755"/>
      <c r="P46" s="758">
        <f>IF(TB.ScopeEstimation[[#This Row],[Option 1]]="Yes",TB.ScopeEstimation[[#This Row],[Weighted Effort Days]],0)</f>
        <v>0</v>
      </c>
      <c r="Q46" s="758">
        <f>IF(TB.ScopeEstimation[[#This Row],[Option 2]]="Yes",TB.ScopeEstimation[[#This Row],[Weighted Effort Days]],0)</f>
        <v>0</v>
      </c>
      <c r="R46" s="758">
        <f>IF(TB.ScopeEstimation[[#This Row],[Option 3]]="Yes",TB.ScopeEstimation[[#This Row],[Weighted Effort Days]],0)</f>
        <v>0</v>
      </c>
      <c r="S46" s="755"/>
      <c r="T46" s="762"/>
      <c r="U46" s="201"/>
      <c r="V46" s="201"/>
      <c r="AE46" s="22"/>
    </row>
    <row r="47" spans="2:31" x14ac:dyDescent="0.25">
      <c r="B47" s="288"/>
      <c r="C47" s="751"/>
      <c r="D47" s="756"/>
      <c r="E47" s="756"/>
      <c r="F47" s="754"/>
      <c r="G47" s="755"/>
      <c r="H47" s="755"/>
      <c r="I47" s="755"/>
      <c r="J47" s="755"/>
      <c r="K47" s="755"/>
      <c r="L47" s="832" t="str">
        <f>IFERROR(IF(ISBLANK(C47),"",(IF(OR($D$12="Consulting",$D$12="Digital - MarTech Consulting/Strategy")=TRUE,IFERROR(F47*(1+_xlfn.XLOOKUP(G47,'1. Project Inputs'!$I$35:$I$41,'1. Project Inputs'!$J$35:$J$41)),F47),IF(C47="E-Commerce",(_xlfn.XLOOKUP(G47,'Complexity Factors'!$B$12:$B$18,'Complexity Factors'!$C$12:$C$18)*2.9),IF(C47="Services/Integrations",_xlfn.XLOOKUP(G47,'Complexity Factors'!$D$12:$D$16,'Complexity Factors'!$E$12:$E$16)*_xlfn.XLOOKUP($D$18,'Complexity Factors'!$B$41:$B$44,'Complexity Factors'!$D$41:$D$44),IF(C47="UI",_xlfn.XLOOKUP(G47,'Complexity Factors'!$B$12:$B$18,'Complexity Factors'!$C$12:$C$18)*_xlfn.XLOOKUP($D$18,'Complexity Factors'!$B$41:$B$44,'Complexity Factors'!$D$41:$D$44),_xlfn.XLOOKUP(G47,'Complexity Factors'!$B$12:$B$18,'Complexity Factors'!$C$12:$C$18)*_xlfn.XLOOKUP($D$18,'Complexity Factors'!$B$41:$B$44,'Complexity Factors'!$C$41:$C$44))))))*(IF(TB.ScopeEstimation[[#This Row],[External Dependencies]]="",1,(1+_xlfn.XLOOKUP(K47,'Complexity Factors'!$B$24:$B$28,'Complexity Factors'!$C$24:$C$28))))),"")</f>
        <v/>
      </c>
      <c r="M47" s="755"/>
      <c r="N47" s="755"/>
      <c r="O47" s="755"/>
      <c r="P47" s="758">
        <f>IF(TB.ScopeEstimation[[#This Row],[Option 1]]="Yes",TB.ScopeEstimation[[#This Row],[Weighted Effort Days]],0)</f>
        <v>0</v>
      </c>
      <c r="Q47" s="758">
        <f>IF(TB.ScopeEstimation[[#This Row],[Option 2]]="Yes",TB.ScopeEstimation[[#This Row],[Weighted Effort Days]],0)</f>
        <v>0</v>
      </c>
      <c r="R47" s="758">
        <f>IF(TB.ScopeEstimation[[#This Row],[Option 3]]="Yes",TB.ScopeEstimation[[#This Row],[Weighted Effort Days]],0)</f>
        <v>0</v>
      </c>
      <c r="S47" s="755"/>
      <c r="T47" s="762"/>
      <c r="U47" s="201"/>
      <c r="V47" s="201"/>
      <c r="AE47" s="22"/>
    </row>
    <row r="48" spans="2:31" x14ac:dyDescent="0.25">
      <c r="B48" s="288"/>
      <c r="C48" s="751"/>
      <c r="D48" s="756"/>
      <c r="E48" s="756"/>
      <c r="F48" s="754"/>
      <c r="G48" s="755"/>
      <c r="H48" s="755"/>
      <c r="I48" s="755"/>
      <c r="J48" s="755"/>
      <c r="K48" s="755"/>
      <c r="L48" s="832" t="str">
        <f>IFERROR(IF(ISBLANK(C48),"",(IF(OR($D$12="Consulting",$D$12="Digital - MarTech Consulting/Strategy")=TRUE,IFERROR(F48*(1+_xlfn.XLOOKUP(G48,'1. Project Inputs'!$I$35:$I$41,'1. Project Inputs'!$J$35:$J$41)),F48),IF(C48="E-Commerce",(_xlfn.XLOOKUP(G48,'Complexity Factors'!$B$12:$B$18,'Complexity Factors'!$C$12:$C$18)*2.9),IF(C48="Services/Integrations",_xlfn.XLOOKUP(G48,'Complexity Factors'!$D$12:$D$16,'Complexity Factors'!$E$12:$E$16)*_xlfn.XLOOKUP($D$18,'Complexity Factors'!$B$41:$B$44,'Complexity Factors'!$D$41:$D$44),IF(C48="UI",_xlfn.XLOOKUP(G48,'Complexity Factors'!$B$12:$B$18,'Complexity Factors'!$C$12:$C$18)*_xlfn.XLOOKUP($D$18,'Complexity Factors'!$B$41:$B$44,'Complexity Factors'!$D$41:$D$44),_xlfn.XLOOKUP(G48,'Complexity Factors'!$B$12:$B$18,'Complexity Factors'!$C$12:$C$18)*_xlfn.XLOOKUP($D$18,'Complexity Factors'!$B$41:$B$44,'Complexity Factors'!$C$41:$C$44))))))*(IF(TB.ScopeEstimation[[#This Row],[External Dependencies]]="",1,(1+_xlfn.XLOOKUP(K48,'Complexity Factors'!$B$24:$B$28,'Complexity Factors'!$C$24:$C$28))))),"")</f>
        <v/>
      </c>
      <c r="M48" s="755"/>
      <c r="N48" s="755"/>
      <c r="O48" s="755"/>
      <c r="P48" s="758">
        <f>IF(TB.ScopeEstimation[[#This Row],[Option 1]]="Yes",TB.ScopeEstimation[[#This Row],[Weighted Effort Days]],0)</f>
        <v>0</v>
      </c>
      <c r="Q48" s="758">
        <f>IF(TB.ScopeEstimation[[#This Row],[Option 2]]="Yes",TB.ScopeEstimation[[#This Row],[Weighted Effort Days]],0)</f>
        <v>0</v>
      </c>
      <c r="R48" s="758">
        <f>IF(TB.ScopeEstimation[[#This Row],[Option 3]]="Yes",TB.ScopeEstimation[[#This Row],[Weighted Effort Days]],0)</f>
        <v>0</v>
      </c>
      <c r="S48" s="755"/>
      <c r="T48" s="762"/>
      <c r="U48" s="201"/>
      <c r="V48" s="201"/>
      <c r="AE48" s="22"/>
    </row>
    <row r="49" spans="2:31" x14ac:dyDescent="0.25">
      <c r="B49" s="288"/>
      <c r="C49" s="751"/>
      <c r="D49" s="752"/>
      <c r="E49" s="756"/>
      <c r="F49" s="754"/>
      <c r="G49" s="755"/>
      <c r="H49" s="755"/>
      <c r="I49" s="755"/>
      <c r="J49" s="755"/>
      <c r="K49" s="755"/>
      <c r="L49" s="832" t="str">
        <f>IFERROR(IF(ISBLANK(C49),"",(IF(OR($D$12="Consulting",$D$12="Digital - MarTech Consulting/Strategy")=TRUE,IFERROR(F49*(1+_xlfn.XLOOKUP(G49,'1. Project Inputs'!$I$35:$I$41,'1. Project Inputs'!$J$35:$J$41)),F49),IF(C49="E-Commerce",(_xlfn.XLOOKUP(G49,'Complexity Factors'!$B$12:$B$18,'Complexity Factors'!$C$12:$C$18)*2.9),IF(C49="Services/Integrations",_xlfn.XLOOKUP(G49,'Complexity Factors'!$D$12:$D$16,'Complexity Factors'!$E$12:$E$16)*_xlfn.XLOOKUP($D$18,'Complexity Factors'!$B$41:$B$44,'Complexity Factors'!$D$41:$D$44),IF(C49="UI",_xlfn.XLOOKUP(G49,'Complexity Factors'!$B$12:$B$18,'Complexity Factors'!$C$12:$C$18)*_xlfn.XLOOKUP($D$18,'Complexity Factors'!$B$41:$B$44,'Complexity Factors'!$D$41:$D$44),_xlfn.XLOOKUP(G49,'Complexity Factors'!$B$12:$B$18,'Complexity Factors'!$C$12:$C$18)*_xlfn.XLOOKUP($D$18,'Complexity Factors'!$B$41:$B$44,'Complexity Factors'!$C$41:$C$44))))))*(IF(TB.ScopeEstimation[[#This Row],[External Dependencies]]="",1,(1+_xlfn.XLOOKUP(K49,'Complexity Factors'!$B$24:$B$28,'Complexity Factors'!$C$24:$C$28))))),"")</f>
        <v/>
      </c>
      <c r="M49" s="755"/>
      <c r="N49" s="755"/>
      <c r="O49" s="755"/>
      <c r="P49" s="758">
        <f>IF(TB.ScopeEstimation[[#This Row],[Option 1]]="Yes",TB.ScopeEstimation[[#This Row],[Weighted Effort Days]],0)</f>
        <v>0</v>
      </c>
      <c r="Q49" s="758">
        <f>IF(TB.ScopeEstimation[[#This Row],[Option 2]]="Yes",TB.ScopeEstimation[[#This Row],[Weighted Effort Days]],0)</f>
        <v>0</v>
      </c>
      <c r="R49" s="758">
        <f>IF(TB.ScopeEstimation[[#This Row],[Option 3]]="Yes",TB.ScopeEstimation[[#This Row],[Weighted Effort Days]],0)</f>
        <v>0</v>
      </c>
      <c r="S49" s="755"/>
      <c r="T49" s="762"/>
      <c r="U49" s="201"/>
      <c r="V49" s="201"/>
      <c r="AE49" s="22"/>
    </row>
    <row r="50" spans="2:31" x14ac:dyDescent="0.25">
      <c r="B50" s="288"/>
      <c r="C50" s="751"/>
      <c r="D50" s="756"/>
      <c r="E50" s="756"/>
      <c r="F50" s="754"/>
      <c r="G50" s="755"/>
      <c r="H50" s="755"/>
      <c r="I50" s="755"/>
      <c r="J50" s="755"/>
      <c r="K50" s="755"/>
      <c r="L50" s="832" t="str">
        <f>IFERROR(IF(ISBLANK(C50),"",(IF(OR($D$12="Consulting",$D$12="Digital - MarTech Consulting/Strategy")=TRUE,IFERROR(F50*(1+_xlfn.XLOOKUP(G50,'1. Project Inputs'!$I$35:$I$41,'1. Project Inputs'!$J$35:$J$41)),F50),IF(C50="E-Commerce",(_xlfn.XLOOKUP(G50,'Complexity Factors'!$B$12:$B$18,'Complexity Factors'!$C$12:$C$18)*2.9),IF(C50="Services/Integrations",_xlfn.XLOOKUP(G50,'Complexity Factors'!$D$12:$D$16,'Complexity Factors'!$E$12:$E$16)*_xlfn.XLOOKUP($D$18,'Complexity Factors'!$B$41:$B$44,'Complexity Factors'!$D$41:$D$44),IF(C50="UI",_xlfn.XLOOKUP(G50,'Complexity Factors'!$B$12:$B$18,'Complexity Factors'!$C$12:$C$18)*_xlfn.XLOOKUP($D$18,'Complexity Factors'!$B$41:$B$44,'Complexity Factors'!$D$41:$D$44),_xlfn.XLOOKUP(G50,'Complexity Factors'!$B$12:$B$18,'Complexity Factors'!$C$12:$C$18)*_xlfn.XLOOKUP($D$18,'Complexity Factors'!$B$41:$B$44,'Complexity Factors'!$C$41:$C$44))))))*(IF(TB.ScopeEstimation[[#This Row],[External Dependencies]]="",1,(1+_xlfn.XLOOKUP(K50,'Complexity Factors'!$B$24:$B$28,'Complexity Factors'!$C$24:$C$28))))),"")</f>
        <v/>
      </c>
      <c r="M50" s="755"/>
      <c r="N50" s="763"/>
      <c r="O50" s="763"/>
      <c r="P50" s="764">
        <f>IF(TB.ScopeEstimation[[#This Row],[Option 1]]="Yes",TB.ScopeEstimation[[#This Row],[Weighted Effort Days]],0)</f>
        <v>0</v>
      </c>
      <c r="Q50" s="764">
        <f>IF(TB.ScopeEstimation[[#This Row],[Option 2]]="Yes",TB.ScopeEstimation[[#This Row],[Weighted Effort Days]],0)</f>
        <v>0</v>
      </c>
      <c r="R50" s="764">
        <f>IF(TB.ScopeEstimation[[#This Row],[Option 3]]="Yes",TB.ScopeEstimation[[#This Row],[Weighted Effort Days]],0)</f>
        <v>0</v>
      </c>
      <c r="S50" s="755"/>
      <c r="T50" s="762"/>
      <c r="U50" s="201"/>
      <c r="V50" s="201"/>
      <c r="AE50" s="22"/>
    </row>
    <row r="51" spans="2:31" x14ac:dyDescent="0.25">
      <c r="B51" s="288"/>
      <c r="C51" s="751"/>
      <c r="D51" s="756"/>
      <c r="E51" s="756"/>
      <c r="F51" s="754"/>
      <c r="G51" s="755"/>
      <c r="H51" s="755"/>
      <c r="I51" s="755"/>
      <c r="J51" s="755"/>
      <c r="K51" s="755"/>
      <c r="L51" s="832" t="str">
        <f>IFERROR(IF(ISBLANK(C51),"",(IF(OR($D$12="Consulting",$D$12="Digital - MarTech Consulting/Strategy")=TRUE,IFERROR(F51*(1+_xlfn.XLOOKUP(G51,'1. Project Inputs'!$I$35:$I$41,'1. Project Inputs'!$J$35:$J$41)),F51),IF(C51="E-Commerce",(_xlfn.XLOOKUP(G51,'Complexity Factors'!$B$12:$B$18,'Complexity Factors'!$C$12:$C$18)*2.9),IF(C51="Services/Integrations",_xlfn.XLOOKUP(G51,'Complexity Factors'!$D$12:$D$16,'Complexity Factors'!$E$12:$E$16)*_xlfn.XLOOKUP($D$18,'Complexity Factors'!$B$41:$B$44,'Complexity Factors'!$D$41:$D$44),IF(C51="UI",_xlfn.XLOOKUP(G51,'Complexity Factors'!$B$12:$B$18,'Complexity Factors'!$C$12:$C$18)*_xlfn.XLOOKUP($D$18,'Complexity Factors'!$B$41:$B$44,'Complexity Factors'!$D$41:$D$44),_xlfn.XLOOKUP(G51,'Complexity Factors'!$B$12:$B$18,'Complexity Factors'!$C$12:$C$18)*_xlfn.XLOOKUP($D$18,'Complexity Factors'!$B$41:$B$44,'Complexity Factors'!$C$41:$C$44))))))*(IF(TB.ScopeEstimation[[#This Row],[External Dependencies]]="",1,(1+_xlfn.XLOOKUP(K51,'Complexity Factors'!$B$24:$B$28,'Complexity Factors'!$C$24:$C$28))))),"")</f>
        <v/>
      </c>
      <c r="M51" s="755"/>
      <c r="N51" s="763"/>
      <c r="O51" s="763"/>
      <c r="P51" s="764">
        <f>IF(TB.ScopeEstimation[[#This Row],[Option 1]]="Yes",TB.ScopeEstimation[[#This Row],[Weighted Effort Days]],0)</f>
        <v>0</v>
      </c>
      <c r="Q51" s="764">
        <f>IF(TB.ScopeEstimation[[#This Row],[Option 2]]="Yes",TB.ScopeEstimation[[#This Row],[Weighted Effort Days]],0)</f>
        <v>0</v>
      </c>
      <c r="R51" s="764">
        <f>IF(TB.ScopeEstimation[[#This Row],[Option 3]]="Yes",TB.ScopeEstimation[[#This Row],[Weighted Effort Days]],0)</f>
        <v>0</v>
      </c>
      <c r="S51" s="755"/>
      <c r="T51" s="762"/>
      <c r="U51" s="201"/>
      <c r="V51" s="201"/>
      <c r="AE51" s="22"/>
    </row>
    <row r="52" spans="2:31" x14ac:dyDescent="0.25">
      <c r="B52" s="288"/>
      <c r="C52" s="751"/>
      <c r="D52" s="756"/>
      <c r="E52" s="756"/>
      <c r="F52" s="754"/>
      <c r="G52" s="755"/>
      <c r="H52" s="755"/>
      <c r="I52" s="755"/>
      <c r="J52" s="755"/>
      <c r="K52" s="755"/>
      <c r="L52" s="832" t="str">
        <f>IFERROR(IF(ISBLANK(C52),"",(IF(OR($D$12="Consulting",$D$12="Digital - MarTech Consulting/Strategy")=TRUE,IFERROR(F52*(1+_xlfn.XLOOKUP(G52,'1. Project Inputs'!$I$35:$I$41,'1. Project Inputs'!$J$35:$J$41)),F52),IF(C52="E-Commerce",(_xlfn.XLOOKUP(G52,'Complexity Factors'!$B$12:$B$18,'Complexity Factors'!$C$12:$C$18)*2.9),IF(C52="Services/Integrations",_xlfn.XLOOKUP(G52,'Complexity Factors'!$D$12:$D$16,'Complexity Factors'!$E$12:$E$16)*_xlfn.XLOOKUP($D$18,'Complexity Factors'!$B$41:$B$44,'Complexity Factors'!$D$41:$D$44),IF(C52="UI",_xlfn.XLOOKUP(G52,'Complexity Factors'!$B$12:$B$18,'Complexity Factors'!$C$12:$C$18)*_xlfn.XLOOKUP($D$18,'Complexity Factors'!$B$41:$B$44,'Complexity Factors'!$D$41:$D$44),_xlfn.XLOOKUP(G52,'Complexity Factors'!$B$12:$B$18,'Complexity Factors'!$C$12:$C$18)*_xlfn.XLOOKUP($D$18,'Complexity Factors'!$B$41:$B$44,'Complexity Factors'!$C$41:$C$44))))))*(IF(TB.ScopeEstimation[[#This Row],[External Dependencies]]="",1,(1+_xlfn.XLOOKUP(K52,'Complexity Factors'!$B$24:$B$28,'Complexity Factors'!$C$24:$C$28))))),"")</f>
        <v/>
      </c>
      <c r="M52" s="755"/>
      <c r="N52" s="763"/>
      <c r="O52" s="763"/>
      <c r="P52" s="764">
        <f>IF(TB.ScopeEstimation[[#This Row],[Option 1]]="Yes",TB.ScopeEstimation[[#This Row],[Weighted Effort Days]],0)</f>
        <v>0</v>
      </c>
      <c r="Q52" s="764">
        <f>IF(TB.ScopeEstimation[[#This Row],[Option 2]]="Yes",TB.ScopeEstimation[[#This Row],[Weighted Effort Days]],0)</f>
        <v>0</v>
      </c>
      <c r="R52" s="764">
        <f>IF(TB.ScopeEstimation[[#This Row],[Option 3]]="Yes",TB.ScopeEstimation[[#This Row],[Weighted Effort Days]],0)</f>
        <v>0</v>
      </c>
      <c r="S52" s="755"/>
      <c r="T52" s="762"/>
      <c r="U52" s="201"/>
      <c r="V52" s="201"/>
      <c r="AE52" s="22"/>
    </row>
    <row r="53" spans="2:31" x14ac:dyDescent="0.25">
      <c r="B53" s="288"/>
      <c r="C53" s="751"/>
      <c r="D53" s="756"/>
      <c r="E53" s="756"/>
      <c r="F53" s="758"/>
      <c r="G53" s="755"/>
      <c r="H53" s="755"/>
      <c r="I53" s="755"/>
      <c r="J53" s="755"/>
      <c r="K53" s="755"/>
      <c r="L53" s="832" t="str">
        <f>IFERROR(IF(ISBLANK(C53),"",(IF(OR($D$12="Consulting",$D$12="Digital - MarTech Consulting/Strategy")=TRUE,IFERROR(F53*(1+_xlfn.XLOOKUP(G53,'1. Project Inputs'!$I$35:$I$41,'1. Project Inputs'!$J$35:$J$41)),F53),IF(C53="E-Commerce",(_xlfn.XLOOKUP(G53,'Complexity Factors'!$B$12:$B$18,'Complexity Factors'!$C$12:$C$18)*2.9),IF(C53="Services/Integrations",_xlfn.XLOOKUP(G53,'Complexity Factors'!$D$12:$D$16,'Complexity Factors'!$E$12:$E$16)*_xlfn.XLOOKUP($D$18,'Complexity Factors'!$B$41:$B$44,'Complexity Factors'!$D$41:$D$44),IF(C53="UI",_xlfn.XLOOKUP(G53,'Complexity Factors'!$B$12:$B$18,'Complexity Factors'!$C$12:$C$18)*_xlfn.XLOOKUP($D$18,'Complexity Factors'!$B$41:$B$44,'Complexity Factors'!$D$41:$D$44),_xlfn.XLOOKUP(G53,'Complexity Factors'!$B$12:$B$18,'Complexity Factors'!$C$12:$C$18)*_xlfn.XLOOKUP($D$18,'Complexity Factors'!$B$41:$B$44,'Complexity Factors'!$C$41:$C$44))))))*(IF(TB.ScopeEstimation[[#This Row],[External Dependencies]]="",1,(1+_xlfn.XLOOKUP(K53,'Complexity Factors'!$B$24:$B$28,'Complexity Factors'!$C$24:$C$28))))),"")</f>
        <v/>
      </c>
      <c r="M53" s="758"/>
      <c r="N53" s="763"/>
      <c r="O53" s="763"/>
      <c r="P53" s="764">
        <f>IF(TB.ScopeEstimation[[#This Row],[Option 1]]="Yes",TB.ScopeEstimation[[#This Row],[Weighted Effort Days]],0)</f>
        <v>0</v>
      </c>
      <c r="Q53" s="764">
        <f>IF(TB.ScopeEstimation[[#This Row],[Option 2]]="Yes",TB.ScopeEstimation[[#This Row],[Weighted Effort Days]],0)</f>
        <v>0</v>
      </c>
      <c r="R53" s="764">
        <f>IF(TB.ScopeEstimation[[#This Row],[Option 3]]="Yes",TB.ScopeEstimation[[#This Row],[Weighted Effort Days]],0)</f>
        <v>0</v>
      </c>
      <c r="S53" s="755"/>
      <c r="T53" s="762"/>
      <c r="U53" s="201"/>
      <c r="V53" s="201"/>
      <c r="AE53" s="22"/>
    </row>
    <row r="54" spans="2:31" x14ac:dyDescent="0.25">
      <c r="B54" s="288"/>
      <c r="C54" s="751"/>
      <c r="D54" s="756"/>
      <c r="E54" s="756"/>
      <c r="F54" s="758"/>
      <c r="G54" s="755"/>
      <c r="H54" s="755"/>
      <c r="I54" s="755"/>
      <c r="J54" s="755"/>
      <c r="K54" s="755"/>
      <c r="L54" s="832" t="str">
        <f>IFERROR(IF(ISBLANK(C54),"",(IF(OR($D$12="Consulting",$D$12="Digital - MarTech Consulting/Strategy")=TRUE,IFERROR(F54*(1+_xlfn.XLOOKUP(G54,'1. Project Inputs'!$I$35:$I$41,'1. Project Inputs'!$J$35:$J$41)),F54),IF(C54="E-Commerce",(_xlfn.XLOOKUP(G54,'Complexity Factors'!$B$12:$B$18,'Complexity Factors'!$C$12:$C$18)*2.9),IF(C54="Services/Integrations",_xlfn.XLOOKUP(G54,'Complexity Factors'!$D$12:$D$16,'Complexity Factors'!$E$12:$E$16)*_xlfn.XLOOKUP($D$18,'Complexity Factors'!$B$41:$B$44,'Complexity Factors'!$D$41:$D$44),IF(C54="UI",_xlfn.XLOOKUP(G54,'Complexity Factors'!$B$12:$B$18,'Complexity Factors'!$C$12:$C$18)*_xlfn.XLOOKUP($D$18,'Complexity Factors'!$B$41:$B$44,'Complexity Factors'!$D$41:$D$44),_xlfn.XLOOKUP(G54,'Complexity Factors'!$B$12:$B$18,'Complexity Factors'!$C$12:$C$18)*_xlfn.XLOOKUP($D$18,'Complexity Factors'!$B$41:$B$44,'Complexity Factors'!$C$41:$C$44))))))*(IF(TB.ScopeEstimation[[#This Row],[External Dependencies]]="",1,(1+_xlfn.XLOOKUP(K54,'Complexity Factors'!$B$24:$B$28,'Complexity Factors'!$C$24:$C$28))))),"")</f>
        <v/>
      </c>
      <c r="M54" s="758"/>
      <c r="N54" s="763"/>
      <c r="O54" s="763"/>
      <c r="P54" s="764">
        <f>IF(TB.ScopeEstimation[[#This Row],[Option 1]]="Yes",TB.ScopeEstimation[[#This Row],[Weighted Effort Days]],0)</f>
        <v>0</v>
      </c>
      <c r="Q54" s="764">
        <f>IF(TB.ScopeEstimation[[#This Row],[Option 2]]="Yes",TB.ScopeEstimation[[#This Row],[Weighted Effort Days]],0)</f>
        <v>0</v>
      </c>
      <c r="R54" s="764">
        <f>IF(TB.ScopeEstimation[[#This Row],[Option 3]]="Yes",TB.ScopeEstimation[[#This Row],[Weighted Effort Days]],0)</f>
        <v>0</v>
      </c>
      <c r="S54" s="755"/>
      <c r="T54" s="762"/>
      <c r="U54" s="201"/>
      <c r="V54" s="201"/>
      <c r="AE54" s="22"/>
    </row>
    <row r="55" spans="2:31" x14ac:dyDescent="0.25">
      <c r="B55" s="288"/>
      <c r="C55" s="751"/>
      <c r="D55" s="756"/>
      <c r="E55" s="756"/>
      <c r="F55" s="758"/>
      <c r="G55" s="755"/>
      <c r="H55" s="755"/>
      <c r="I55" s="755"/>
      <c r="J55" s="755"/>
      <c r="K55" s="755"/>
      <c r="L55" s="832" t="str">
        <f>IFERROR(IF(ISBLANK(C55),"",(IF(OR($D$12="Consulting",$D$12="Digital - MarTech Consulting/Strategy")=TRUE,IFERROR(F55*(1+_xlfn.XLOOKUP(G55,'1. Project Inputs'!$I$35:$I$41,'1. Project Inputs'!$J$35:$J$41)),F55),IF(C55="E-Commerce",(_xlfn.XLOOKUP(G55,'Complexity Factors'!$B$12:$B$18,'Complexity Factors'!$C$12:$C$18)*2.9),IF(C55="Services/Integrations",_xlfn.XLOOKUP(G55,'Complexity Factors'!$D$12:$D$16,'Complexity Factors'!$E$12:$E$16)*_xlfn.XLOOKUP($D$18,'Complexity Factors'!$B$41:$B$44,'Complexity Factors'!$D$41:$D$44),IF(C55="UI",_xlfn.XLOOKUP(G55,'Complexity Factors'!$B$12:$B$18,'Complexity Factors'!$C$12:$C$18)*_xlfn.XLOOKUP($D$18,'Complexity Factors'!$B$41:$B$44,'Complexity Factors'!$D$41:$D$44),_xlfn.XLOOKUP(G55,'Complexity Factors'!$B$12:$B$18,'Complexity Factors'!$C$12:$C$18)*_xlfn.XLOOKUP($D$18,'Complexity Factors'!$B$41:$B$44,'Complexity Factors'!$C$41:$C$44))))))*(IF(TB.ScopeEstimation[[#This Row],[External Dependencies]]="",1,(1+_xlfn.XLOOKUP(K55,'Complexity Factors'!$B$24:$B$28,'Complexity Factors'!$C$24:$C$28))))),"")</f>
        <v/>
      </c>
      <c r="M55" s="758"/>
      <c r="N55" s="763"/>
      <c r="O55" s="763"/>
      <c r="P55" s="764">
        <f>IF(TB.ScopeEstimation[[#This Row],[Option 1]]="Yes",TB.ScopeEstimation[[#This Row],[Weighted Effort Days]],0)</f>
        <v>0</v>
      </c>
      <c r="Q55" s="764">
        <f>IF(TB.ScopeEstimation[[#This Row],[Option 2]]="Yes",TB.ScopeEstimation[[#This Row],[Weighted Effort Days]],0)</f>
        <v>0</v>
      </c>
      <c r="R55" s="764">
        <f>IF(TB.ScopeEstimation[[#This Row],[Option 3]]="Yes",TB.ScopeEstimation[[#This Row],[Weighted Effort Days]],0)</f>
        <v>0</v>
      </c>
      <c r="S55" s="755"/>
      <c r="T55" s="762"/>
      <c r="U55" s="201"/>
      <c r="V55" s="201"/>
      <c r="AE55" s="22"/>
    </row>
    <row r="56" spans="2:31" x14ac:dyDescent="0.25">
      <c r="B56" s="288"/>
      <c r="C56" s="751"/>
      <c r="D56" s="756"/>
      <c r="E56" s="756"/>
      <c r="F56" s="758"/>
      <c r="G56" s="755"/>
      <c r="H56" s="755"/>
      <c r="I56" s="755"/>
      <c r="J56" s="755"/>
      <c r="K56" s="755"/>
      <c r="L56" s="832" t="str">
        <f>IFERROR(IF(ISBLANK(C56),"",(IF(OR($D$12="Consulting",$D$12="Digital - MarTech Consulting/Strategy")=TRUE,IFERROR(F56*(1+_xlfn.XLOOKUP(G56,'1. Project Inputs'!$I$35:$I$41,'1. Project Inputs'!$J$35:$J$41)),F56),IF(C56="E-Commerce",(_xlfn.XLOOKUP(G56,'Complexity Factors'!$B$12:$B$18,'Complexity Factors'!$C$12:$C$18)*2.9),IF(C56="Services/Integrations",_xlfn.XLOOKUP(G56,'Complexity Factors'!$D$12:$D$16,'Complexity Factors'!$E$12:$E$16)*_xlfn.XLOOKUP($D$18,'Complexity Factors'!$B$41:$B$44,'Complexity Factors'!$D$41:$D$44),IF(C56="UI",_xlfn.XLOOKUP(G56,'Complexity Factors'!$B$12:$B$18,'Complexity Factors'!$C$12:$C$18)*_xlfn.XLOOKUP($D$18,'Complexity Factors'!$B$41:$B$44,'Complexity Factors'!$D$41:$D$44),_xlfn.XLOOKUP(G56,'Complexity Factors'!$B$12:$B$18,'Complexity Factors'!$C$12:$C$18)*_xlfn.XLOOKUP($D$18,'Complexity Factors'!$B$41:$B$44,'Complexity Factors'!$C$41:$C$44))))))*(IF(TB.ScopeEstimation[[#This Row],[External Dependencies]]="",1,(1+_xlfn.XLOOKUP(K56,'Complexity Factors'!$B$24:$B$28,'Complexity Factors'!$C$24:$C$28))))),"")</f>
        <v/>
      </c>
      <c r="M56" s="758"/>
      <c r="N56" s="763"/>
      <c r="O56" s="763"/>
      <c r="P56" s="764">
        <f>IF(TB.ScopeEstimation[[#This Row],[Option 1]]="Yes",TB.ScopeEstimation[[#This Row],[Weighted Effort Days]],0)</f>
        <v>0</v>
      </c>
      <c r="Q56" s="764">
        <f>IF(TB.ScopeEstimation[[#This Row],[Option 2]]="Yes",TB.ScopeEstimation[[#This Row],[Weighted Effort Days]],0)</f>
        <v>0</v>
      </c>
      <c r="R56" s="764">
        <f>IF(TB.ScopeEstimation[[#This Row],[Option 3]]="Yes",TB.ScopeEstimation[[#This Row],[Weighted Effort Days]],0)</f>
        <v>0</v>
      </c>
      <c r="S56" s="755"/>
      <c r="T56" s="762"/>
      <c r="U56" s="201"/>
      <c r="V56" s="201"/>
      <c r="AE56" s="22"/>
    </row>
    <row r="57" spans="2:31" hidden="1" outlineLevel="1" x14ac:dyDescent="0.25">
      <c r="B57" s="288"/>
      <c r="C57" s="751"/>
      <c r="D57" s="756"/>
      <c r="E57" s="756"/>
      <c r="F57" s="758"/>
      <c r="G57" s="755"/>
      <c r="H57" s="755"/>
      <c r="I57" s="755"/>
      <c r="J57" s="755"/>
      <c r="K57" s="755"/>
      <c r="L57" s="832" t="str">
        <f>IFERROR(IF(ISBLANK(C57),"",(IF(OR($D$12="Consulting",$D$12="Digital - MarTech Consulting/Strategy")=TRUE,IFERROR(F57*(1+_xlfn.XLOOKUP(G57,'1. Project Inputs'!$I$35:$I$41,'1. Project Inputs'!$J$35:$J$41)),F57),IF(C57="E-Commerce",(_xlfn.XLOOKUP(G57,'Complexity Factors'!$B$12:$B$18,'Complexity Factors'!$C$12:$C$18)*2.9),IF(C57="Services/Integrations",_xlfn.XLOOKUP(G57,'Complexity Factors'!$D$12:$D$16,'Complexity Factors'!$E$12:$E$16)*_xlfn.XLOOKUP($D$18,'Complexity Factors'!$B$41:$B$44,'Complexity Factors'!$D$41:$D$44),IF(C57="UI",_xlfn.XLOOKUP(G57,'Complexity Factors'!$B$12:$B$18,'Complexity Factors'!$C$12:$C$18)*_xlfn.XLOOKUP($D$18,'Complexity Factors'!$B$41:$B$44,'Complexity Factors'!$D$41:$D$44),_xlfn.XLOOKUP(G57,'Complexity Factors'!$B$12:$B$18,'Complexity Factors'!$C$12:$C$18)*_xlfn.XLOOKUP($D$18,'Complexity Factors'!$B$41:$B$44,'Complexity Factors'!$C$41:$C$44))))))*(IF(TB.ScopeEstimation[[#This Row],[External Dependencies]]="",1,(1+_xlfn.XLOOKUP(K57,'Complexity Factors'!$B$24:$B$28,'Complexity Factors'!$C$24:$C$28))))),"")</f>
        <v/>
      </c>
      <c r="M57" s="758"/>
      <c r="N57" s="763"/>
      <c r="O57" s="763"/>
      <c r="P57" s="764">
        <f>IF(TB.ScopeEstimation[[#This Row],[Option 1]]="Yes",TB.ScopeEstimation[[#This Row],[Weighted Effort Days]],0)</f>
        <v>0</v>
      </c>
      <c r="Q57" s="764">
        <f>IF(TB.ScopeEstimation[[#This Row],[Option 2]]="Yes",TB.ScopeEstimation[[#This Row],[Weighted Effort Days]],0)</f>
        <v>0</v>
      </c>
      <c r="R57" s="764">
        <f>IF(TB.ScopeEstimation[[#This Row],[Option 3]]="Yes",TB.ScopeEstimation[[#This Row],[Weighted Effort Days]],0)</f>
        <v>0</v>
      </c>
      <c r="S57" s="755"/>
      <c r="T57" s="762"/>
      <c r="U57" s="201"/>
      <c r="V57" s="201"/>
      <c r="AE57" s="22"/>
    </row>
    <row r="58" spans="2:31" hidden="1" outlineLevel="1" x14ac:dyDescent="0.25">
      <c r="B58" s="288"/>
      <c r="C58" s="751"/>
      <c r="D58" s="756"/>
      <c r="E58" s="756"/>
      <c r="F58" s="758"/>
      <c r="G58" s="755"/>
      <c r="H58" s="755"/>
      <c r="I58" s="755"/>
      <c r="J58" s="755"/>
      <c r="K58" s="755"/>
      <c r="L58" s="832" t="str">
        <f>IFERROR(IF(ISBLANK(C58),"",(IF(OR($D$12="Consulting",$D$12="Digital - MarTech Consulting/Strategy")=TRUE,IFERROR(F58*(1+_xlfn.XLOOKUP(G58,'1. Project Inputs'!$I$35:$I$41,'1. Project Inputs'!$J$35:$J$41)),F58),IF(C58="E-Commerce",(_xlfn.XLOOKUP(G58,'Complexity Factors'!$B$12:$B$18,'Complexity Factors'!$C$12:$C$18)*2.9),IF(C58="Services/Integrations",_xlfn.XLOOKUP(G58,'Complexity Factors'!$D$12:$D$16,'Complexity Factors'!$E$12:$E$16)*_xlfn.XLOOKUP($D$18,'Complexity Factors'!$B$41:$B$44,'Complexity Factors'!$D$41:$D$44),IF(C58="UI",_xlfn.XLOOKUP(G58,'Complexity Factors'!$B$12:$B$18,'Complexity Factors'!$C$12:$C$18)*_xlfn.XLOOKUP($D$18,'Complexity Factors'!$B$41:$B$44,'Complexity Factors'!$D$41:$D$44),_xlfn.XLOOKUP(G58,'Complexity Factors'!$B$12:$B$18,'Complexity Factors'!$C$12:$C$18)*_xlfn.XLOOKUP($D$18,'Complexity Factors'!$B$41:$B$44,'Complexity Factors'!$C$41:$C$44))))))*(IF(TB.ScopeEstimation[[#This Row],[External Dependencies]]="",1,(1+_xlfn.XLOOKUP(K58,'Complexity Factors'!$B$24:$B$28,'Complexity Factors'!$C$24:$C$28))))),"")</f>
        <v/>
      </c>
      <c r="M58" s="758"/>
      <c r="N58" s="763"/>
      <c r="O58" s="763"/>
      <c r="P58" s="764">
        <f>IF(TB.ScopeEstimation[[#This Row],[Option 1]]="Yes",TB.ScopeEstimation[[#This Row],[Weighted Effort Days]],0)</f>
        <v>0</v>
      </c>
      <c r="Q58" s="764">
        <f>IF(TB.ScopeEstimation[[#This Row],[Option 2]]="Yes",TB.ScopeEstimation[[#This Row],[Weighted Effort Days]],0)</f>
        <v>0</v>
      </c>
      <c r="R58" s="764">
        <f>IF(TB.ScopeEstimation[[#This Row],[Option 3]]="Yes",TB.ScopeEstimation[[#This Row],[Weighted Effort Days]],0)</f>
        <v>0</v>
      </c>
      <c r="S58" s="755"/>
      <c r="T58" s="762"/>
      <c r="U58" s="201"/>
      <c r="V58" s="201"/>
      <c r="AE58" s="22"/>
    </row>
    <row r="59" spans="2:31" hidden="1" outlineLevel="1" x14ac:dyDescent="0.25">
      <c r="B59" s="288"/>
      <c r="C59" s="751"/>
      <c r="D59" s="756"/>
      <c r="E59" s="756"/>
      <c r="F59" s="758"/>
      <c r="G59" s="755"/>
      <c r="H59" s="755"/>
      <c r="I59" s="755"/>
      <c r="J59" s="755"/>
      <c r="K59" s="755"/>
      <c r="L59" s="832" t="str">
        <f>IFERROR(IF(ISBLANK(C59),"",(IF(OR($D$12="Consulting",$D$12="Digital - MarTech Consulting/Strategy")=TRUE,IFERROR(F59*(1+_xlfn.XLOOKUP(G59,'1. Project Inputs'!$I$35:$I$41,'1. Project Inputs'!$J$35:$J$41)),F59),IF(C59="E-Commerce",(_xlfn.XLOOKUP(G59,'Complexity Factors'!$B$12:$B$18,'Complexity Factors'!$C$12:$C$18)*2.9),IF(C59="Services/Integrations",_xlfn.XLOOKUP(G59,'Complexity Factors'!$D$12:$D$16,'Complexity Factors'!$E$12:$E$16)*_xlfn.XLOOKUP($D$18,'Complexity Factors'!$B$41:$B$44,'Complexity Factors'!$D$41:$D$44),IF(C59="UI",_xlfn.XLOOKUP(G59,'Complexity Factors'!$B$12:$B$18,'Complexity Factors'!$C$12:$C$18)*_xlfn.XLOOKUP($D$18,'Complexity Factors'!$B$41:$B$44,'Complexity Factors'!$D$41:$D$44),_xlfn.XLOOKUP(G59,'Complexity Factors'!$B$12:$B$18,'Complexity Factors'!$C$12:$C$18)*_xlfn.XLOOKUP($D$18,'Complexity Factors'!$B$41:$B$44,'Complexity Factors'!$C$41:$C$44))))))*(IF(TB.ScopeEstimation[[#This Row],[External Dependencies]]="",1,(1+_xlfn.XLOOKUP(K59,'Complexity Factors'!$B$24:$B$28,'Complexity Factors'!$C$24:$C$28))))),"")</f>
        <v/>
      </c>
      <c r="M59" s="758"/>
      <c r="N59" s="763"/>
      <c r="O59" s="763"/>
      <c r="P59" s="764">
        <f>IF(TB.ScopeEstimation[[#This Row],[Option 1]]="Yes",TB.ScopeEstimation[[#This Row],[Weighted Effort Days]],0)</f>
        <v>0</v>
      </c>
      <c r="Q59" s="764">
        <f>IF(TB.ScopeEstimation[[#This Row],[Option 2]]="Yes",TB.ScopeEstimation[[#This Row],[Weighted Effort Days]],0)</f>
        <v>0</v>
      </c>
      <c r="R59" s="764">
        <f>IF(TB.ScopeEstimation[[#This Row],[Option 3]]="Yes",TB.ScopeEstimation[[#This Row],[Weighted Effort Days]],0)</f>
        <v>0</v>
      </c>
      <c r="S59" s="755"/>
      <c r="T59" s="762"/>
      <c r="U59" s="201"/>
      <c r="V59" s="201"/>
      <c r="AE59" s="22"/>
    </row>
    <row r="60" spans="2:31" hidden="1" outlineLevel="1" x14ac:dyDescent="0.25">
      <c r="B60" s="288"/>
      <c r="C60" s="751"/>
      <c r="D60" s="756"/>
      <c r="E60" s="756"/>
      <c r="F60" s="758"/>
      <c r="G60" s="755"/>
      <c r="H60" s="755"/>
      <c r="I60" s="755"/>
      <c r="J60" s="755"/>
      <c r="K60" s="755"/>
      <c r="L60" s="832" t="str">
        <f>IFERROR(IF(ISBLANK(C60),"",(IF(OR($D$12="Consulting",$D$12="Digital - MarTech Consulting/Strategy")=TRUE,IFERROR(F60*(1+_xlfn.XLOOKUP(G60,'1. Project Inputs'!$I$35:$I$41,'1. Project Inputs'!$J$35:$J$41)),F60),IF(C60="E-Commerce",(_xlfn.XLOOKUP(G60,'Complexity Factors'!$B$12:$B$18,'Complexity Factors'!$C$12:$C$18)*2.9),IF(C60="Services/Integrations",_xlfn.XLOOKUP(G60,'Complexity Factors'!$D$12:$D$16,'Complexity Factors'!$E$12:$E$16)*_xlfn.XLOOKUP($D$18,'Complexity Factors'!$B$41:$B$44,'Complexity Factors'!$D$41:$D$44),IF(C60="UI",_xlfn.XLOOKUP(G60,'Complexity Factors'!$B$12:$B$18,'Complexity Factors'!$C$12:$C$18)*_xlfn.XLOOKUP($D$18,'Complexity Factors'!$B$41:$B$44,'Complexity Factors'!$D$41:$D$44),_xlfn.XLOOKUP(G60,'Complexity Factors'!$B$12:$B$18,'Complexity Factors'!$C$12:$C$18)*_xlfn.XLOOKUP($D$18,'Complexity Factors'!$B$41:$B$44,'Complexity Factors'!$C$41:$C$44))))))*(IF(TB.ScopeEstimation[[#This Row],[External Dependencies]]="",1,(1+_xlfn.XLOOKUP(K60,'Complexity Factors'!$B$24:$B$28,'Complexity Factors'!$C$24:$C$28))))),"")</f>
        <v/>
      </c>
      <c r="M60" s="758"/>
      <c r="N60" s="763"/>
      <c r="O60" s="763"/>
      <c r="P60" s="764">
        <f>IF(TB.ScopeEstimation[[#This Row],[Option 1]]="Yes",TB.ScopeEstimation[[#This Row],[Weighted Effort Days]],0)</f>
        <v>0</v>
      </c>
      <c r="Q60" s="764">
        <f>IF(TB.ScopeEstimation[[#This Row],[Option 2]]="Yes",TB.ScopeEstimation[[#This Row],[Weighted Effort Days]],0)</f>
        <v>0</v>
      </c>
      <c r="R60" s="764">
        <f>IF(TB.ScopeEstimation[[#This Row],[Option 3]]="Yes",TB.ScopeEstimation[[#This Row],[Weighted Effort Days]],0)</f>
        <v>0</v>
      </c>
      <c r="S60" s="755"/>
      <c r="T60" s="762"/>
      <c r="U60" s="201"/>
      <c r="V60" s="201"/>
      <c r="AE60" s="22"/>
    </row>
    <row r="61" spans="2:31" hidden="1" outlineLevel="1" x14ac:dyDescent="0.25">
      <c r="B61" s="288"/>
      <c r="C61" s="751"/>
      <c r="D61" s="756"/>
      <c r="E61" s="756"/>
      <c r="F61" s="758"/>
      <c r="G61" s="755"/>
      <c r="H61" s="755"/>
      <c r="I61" s="755"/>
      <c r="J61" s="755"/>
      <c r="K61" s="755"/>
      <c r="L61" s="832" t="str">
        <f>IFERROR(IF(ISBLANK(C61),"",(IF(OR($D$12="Consulting",$D$12="Digital - MarTech Consulting/Strategy")=TRUE,IFERROR(F61*(1+_xlfn.XLOOKUP(G61,'1. Project Inputs'!$I$35:$I$41,'1. Project Inputs'!$J$35:$J$41)),F61),IF(C61="E-Commerce",(_xlfn.XLOOKUP(G61,'Complexity Factors'!$B$12:$B$18,'Complexity Factors'!$C$12:$C$18)*2.9),IF(C61="Services/Integrations",_xlfn.XLOOKUP(G61,'Complexity Factors'!$D$12:$D$16,'Complexity Factors'!$E$12:$E$16)*_xlfn.XLOOKUP($D$18,'Complexity Factors'!$B$41:$B$44,'Complexity Factors'!$D$41:$D$44),IF(C61="UI",_xlfn.XLOOKUP(G61,'Complexity Factors'!$B$12:$B$18,'Complexity Factors'!$C$12:$C$18)*_xlfn.XLOOKUP($D$18,'Complexity Factors'!$B$41:$B$44,'Complexity Factors'!$D$41:$D$44),_xlfn.XLOOKUP(G61,'Complexity Factors'!$B$12:$B$18,'Complexity Factors'!$C$12:$C$18)*_xlfn.XLOOKUP($D$18,'Complexity Factors'!$B$41:$B$44,'Complexity Factors'!$C$41:$C$44))))))*(IF(TB.ScopeEstimation[[#This Row],[External Dependencies]]="",1,(1+_xlfn.XLOOKUP(K61,'Complexity Factors'!$B$24:$B$28,'Complexity Factors'!$C$24:$C$28))))),"")</f>
        <v/>
      </c>
      <c r="M61" s="758"/>
      <c r="N61" s="763"/>
      <c r="O61" s="763"/>
      <c r="P61" s="764">
        <f>IF(TB.ScopeEstimation[[#This Row],[Option 1]]="Yes",TB.ScopeEstimation[[#This Row],[Weighted Effort Days]],0)</f>
        <v>0</v>
      </c>
      <c r="Q61" s="764">
        <f>IF(TB.ScopeEstimation[[#This Row],[Option 2]]="Yes",TB.ScopeEstimation[[#This Row],[Weighted Effort Days]],0)</f>
        <v>0</v>
      </c>
      <c r="R61" s="764">
        <f>IF(TB.ScopeEstimation[[#This Row],[Option 3]]="Yes",TB.ScopeEstimation[[#This Row],[Weighted Effort Days]],0)</f>
        <v>0</v>
      </c>
      <c r="S61" s="755"/>
      <c r="T61" s="762"/>
      <c r="U61" s="201"/>
      <c r="V61" s="201"/>
      <c r="AE61" s="22"/>
    </row>
    <row r="62" spans="2:31" hidden="1" outlineLevel="1" x14ac:dyDescent="0.25">
      <c r="B62" s="288"/>
      <c r="C62" s="751"/>
      <c r="D62" s="756"/>
      <c r="E62" s="756"/>
      <c r="F62" s="758"/>
      <c r="G62" s="755"/>
      <c r="H62" s="755"/>
      <c r="I62" s="755"/>
      <c r="J62" s="755"/>
      <c r="K62" s="755"/>
      <c r="L62" s="832" t="str">
        <f>IFERROR(IF(ISBLANK(C62),"",(IF(OR($D$12="Consulting",$D$12="Digital - MarTech Consulting/Strategy")=TRUE,IFERROR(F62*(1+_xlfn.XLOOKUP(G62,'1. Project Inputs'!$I$35:$I$41,'1. Project Inputs'!$J$35:$J$41)),F62),IF(C62="E-Commerce",(_xlfn.XLOOKUP(G62,'Complexity Factors'!$B$12:$B$18,'Complexity Factors'!$C$12:$C$18)*2.9),IF(C62="Services/Integrations",_xlfn.XLOOKUP(G62,'Complexity Factors'!$D$12:$D$16,'Complexity Factors'!$E$12:$E$16)*_xlfn.XLOOKUP($D$18,'Complexity Factors'!$B$41:$B$44,'Complexity Factors'!$D$41:$D$44),IF(C62="UI",_xlfn.XLOOKUP(G62,'Complexity Factors'!$B$12:$B$18,'Complexity Factors'!$C$12:$C$18)*_xlfn.XLOOKUP($D$18,'Complexity Factors'!$B$41:$B$44,'Complexity Factors'!$D$41:$D$44),_xlfn.XLOOKUP(G62,'Complexity Factors'!$B$12:$B$18,'Complexity Factors'!$C$12:$C$18)*_xlfn.XLOOKUP($D$18,'Complexity Factors'!$B$41:$B$44,'Complexity Factors'!$C$41:$C$44))))))*(IF(TB.ScopeEstimation[[#This Row],[External Dependencies]]="",1,(1+_xlfn.XLOOKUP(K62,'Complexity Factors'!$B$24:$B$28,'Complexity Factors'!$C$24:$C$28))))),"")</f>
        <v/>
      </c>
      <c r="M62" s="758"/>
      <c r="N62" s="763"/>
      <c r="O62" s="763"/>
      <c r="P62" s="764">
        <f>IF(TB.ScopeEstimation[[#This Row],[Option 1]]="Yes",TB.ScopeEstimation[[#This Row],[Weighted Effort Days]],0)</f>
        <v>0</v>
      </c>
      <c r="Q62" s="764">
        <f>IF(TB.ScopeEstimation[[#This Row],[Option 2]]="Yes",TB.ScopeEstimation[[#This Row],[Weighted Effort Days]],0)</f>
        <v>0</v>
      </c>
      <c r="R62" s="764">
        <f>IF(TB.ScopeEstimation[[#This Row],[Option 3]]="Yes",TB.ScopeEstimation[[#This Row],[Weighted Effort Days]],0)</f>
        <v>0</v>
      </c>
      <c r="S62" s="755"/>
      <c r="T62" s="762"/>
      <c r="U62" s="201"/>
      <c r="V62" s="201"/>
      <c r="AE62" s="22"/>
    </row>
    <row r="63" spans="2:31" hidden="1" outlineLevel="1" x14ac:dyDescent="0.25">
      <c r="B63" s="288"/>
      <c r="C63" s="751"/>
      <c r="D63" s="756"/>
      <c r="E63" s="756"/>
      <c r="F63" s="758"/>
      <c r="G63" s="755"/>
      <c r="H63" s="755"/>
      <c r="I63" s="755"/>
      <c r="J63" s="755"/>
      <c r="K63" s="755"/>
      <c r="L63" s="832" t="str">
        <f>IFERROR(IF(ISBLANK(C63),"",(IF(OR($D$12="Consulting",$D$12="Digital - MarTech Consulting/Strategy")=TRUE,IFERROR(F63*(1+_xlfn.XLOOKUP(G63,'1. Project Inputs'!$I$35:$I$41,'1. Project Inputs'!$J$35:$J$41)),F63),IF(C63="E-Commerce",(_xlfn.XLOOKUP(G63,'Complexity Factors'!$B$12:$B$18,'Complexity Factors'!$C$12:$C$18)*2.9),IF(C63="Services/Integrations",_xlfn.XLOOKUP(G63,'Complexity Factors'!$D$12:$D$16,'Complexity Factors'!$E$12:$E$16)*_xlfn.XLOOKUP($D$18,'Complexity Factors'!$B$41:$B$44,'Complexity Factors'!$D$41:$D$44),IF(C63="UI",_xlfn.XLOOKUP(G63,'Complexity Factors'!$B$12:$B$18,'Complexity Factors'!$C$12:$C$18)*_xlfn.XLOOKUP($D$18,'Complexity Factors'!$B$41:$B$44,'Complexity Factors'!$D$41:$D$44),_xlfn.XLOOKUP(G63,'Complexity Factors'!$B$12:$B$18,'Complexity Factors'!$C$12:$C$18)*_xlfn.XLOOKUP($D$18,'Complexity Factors'!$B$41:$B$44,'Complexity Factors'!$C$41:$C$44))))))*(IF(TB.ScopeEstimation[[#This Row],[External Dependencies]]="",1,(1+_xlfn.XLOOKUP(K63,'Complexity Factors'!$B$24:$B$28,'Complexity Factors'!$C$24:$C$28))))),"")</f>
        <v/>
      </c>
      <c r="M63" s="758"/>
      <c r="N63" s="763"/>
      <c r="O63" s="763"/>
      <c r="P63" s="764">
        <f>IF(TB.ScopeEstimation[[#This Row],[Option 1]]="Yes",TB.ScopeEstimation[[#This Row],[Weighted Effort Days]],0)</f>
        <v>0</v>
      </c>
      <c r="Q63" s="764">
        <f>IF(TB.ScopeEstimation[[#This Row],[Option 2]]="Yes",TB.ScopeEstimation[[#This Row],[Weighted Effort Days]],0)</f>
        <v>0</v>
      </c>
      <c r="R63" s="764">
        <f>IF(TB.ScopeEstimation[[#This Row],[Option 3]]="Yes",TB.ScopeEstimation[[#This Row],[Weighted Effort Days]],0)</f>
        <v>0</v>
      </c>
      <c r="S63" s="755"/>
      <c r="T63" s="762"/>
      <c r="U63" s="201"/>
      <c r="V63" s="201"/>
      <c r="AE63" s="22"/>
    </row>
    <row r="64" spans="2:31" hidden="1" outlineLevel="1" x14ac:dyDescent="0.25">
      <c r="B64" s="288"/>
      <c r="C64" s="751"/>
      <c r="D64" s="756"/>
      <c r="E64" s="756"/>
      <c r="F64" s="758"/>
      <c r="G64" s="755"/>
      <c r="H64" s="755"/>
      <c r="I64" s="755"/>
      <c r="J64" s="755"/>
      <c r="K64" s="755"/>
      <c r="L64" s="832" t="str">
        <f>IFERROR(IF(ISBLANK(C64),"",(IF(OR($D$12="Consulting",$D$12="Digital - MarTech Consulting/Strategy")=TRUE,IFERROR(F64*(1+_xlfn.XLOOKUP(G64,'1. Project Inputs'!$I$35:$I$41,'1. Project Inputs'!$J$35:$J$41)),F64),IF(C64="E-Commerce",(_xlfn.XLOOKUP(G64,'Complexity Factors'!$B$12:$B$18,'Complexity Factors'!$C$12:$C$18)*2.9),IF(C64="Services/Integrations",_xlfn.XLOOKUP(G64,'Complexity Factors'!$D$12:$D$16,'Complexity Factors'!$E$12:$E$16)*_xlfn.XLOOKUP($D$18,'Complexity Factors'!$B$41:$B$44,'Complexity Factors'!$D$41:$D$44),IF(C64="UI",_xlfn.XLOOKUP(G64,'Complexity Factors'!$B$12:$B$18,'Complexity Factors'!$C$12:$C$18)*_xlfn.XLOOKUP($D$18,'Complexity Factors'!$B$41:$B$44,'Complexity Factors'!$D$41:$D$44),_xlfn.XLOOKUP(G64,'Complexity Factors'!$B$12:$B$18,'Complexity Factors'!$C$12:$C$18)*_xlfn.XLOOKUP($D$18,'Complexity Factors'!$B$41:$B$44,'Complexity Factors'!$C$41:$C$44))))))*(IF(TB.ScopeEstimation[[#This Row],[External Dependencies]]="",1,(1+_xlfn.XLOOKUP(K64,'Complexity Factors'!$B$24:$B$28,'Complexity Factors'!$C$24:$C$28))))),"")</f>
        <v/>
      </c>
      <c r="M64" s="758"/>
      <c r="N64" s="763"/>
      <c r="O64" s="763"/>
      <c r="P64" s="764">
        <f>IF(TB.ScopeEstimation[[#This Row],[Option 1]]="Yes",TB.ScopeEstimation[[#This Row],[Weighted Effort Days]],0)</f>
        <v>0</v>
      </c>
      <c r="Q64" s="764">
        <f>IF(TB.ScopeEstimation[[#This Row],[Option 2]]="Yes",TB.ScopeEstimation[[#This Row],[Weighted Effort Days]],0)</f>
        <v>0</v>
      </c>
      <c r="R64" s="764">
        <f>IF(TB.ScopeEstimation[[#This Row],[Option 3]]="Yes",TB.ScopeEstimation[[#This Row],[Weighted Effort Days]],0)</f>
        <v>0</v>
      </c>
      <c r="S64" s="755"/>
      <c r="T64" s="762"/>
      <c r="U64" s="201"/>
      <c r="V64" s="201"/>
      <c r="AE64" s="22"/>
    </row>
    <row r="65" spans="2:31" hidden="1" outlineLevel="1" x14ac:dyDescent="0.25">
      <c r="B65" s="288"/>
      <c r="C65" s="751"/>
      <c r="D65" s="756"/>
      <c r="E65" s="756"/>
      <c r="F65" s="758"/>
      <c r="G65" s="755"/>
      <c r="H65" s="755"/>
      <c r="I65" s="755"/>
      <c r="J65" s="755"/>
      <c r="K65" s="755"/>
      <c r="L65" s="832" t="str">
        <f>IFERROR(IF(ISBLANK(C65),"",(IF(OR($D$12="Consulting",$D$12="Digital - MarTech Consulting/Strategy")=TRUE,IFERROR(F65*(1+_xlfn.XLOOKUP(G65,'1. Project Inputs'!$I$35:$I$41,'1. Project Inputs'!$J$35:$J$41)),F65),IF(C65="E-Commerce",(_xlfn.XLOOKUP(G65,'Complexity Factors'!$B$12:$B$18,'Complexity Factors'!$C$12:$C$18)*2.9),IF(C65="Services/Integrations",_xlfn.XLOOKUP(G65,'Complexity Factors'!$D$12:$D$16,'Complexity Factors'!$E$12:$E$16)*_xlfn.XLOOKUP($D$18,'Complexity Factors'!$B$41:$B$44,'Complexity Factors'!$D$41:$D$44),IF(C65="UI",_xlfn.XLOOKUP(G65,'Complexity Factors'!$B$12:$B$18,'Complexity Factors'!$C$12:$C$18)*_xlfn.XLOOKUP($D$18,'Complexity Factors'!$B$41:$B$44,'Complexity Factors'!$D$41:$D$44),_xlfn.XLOOKUP(G65,'Complexity Factors'!$B$12:$B$18,'Complexity Factors'!$C$12:$C$18)*_xlfn.XLOOKUP($D$18,'Complexity Factors'!$B$41:$B$44,'Complexity Factors'!$C$41:$C$44))))))*(IF(TB.ScopeEstimation[[#This Row],[External Dependencies]]="",1,(1+_xlfn.XLOOKUP(K65,'Complexity Factors'!$B$24:$B$28,'Complexity Factors'!$C$24:$C$28))))),"")</f>
        <v/>
      </c>
      <c r="M65" s="758"/>
      <c r="N65" s="763"/>
      <c r="O65" s="763"/>
      <c r="P65" s="764">
        <f>IF(TB.ScopeEstimation[[#This Row],[Option 1]]="Yes",TB.ScopeEstimation[[#This Row],[Weighted Effort Days]],0)</f>
        <v>0</v>
      </c>
      <c r="Q65" s="764">
        <f>IF(TB.ScopeEstimation[[#This Row],[Option 2]]="Yes",TB.ScopeEstimation[[#This Row],[Weighted Effort Days]],0)</f>
        <v>0</v>
      </c>
      <c r="R65" s="764">
        <f>IF(TB.ScopeEstimation[[#This Row],[Option 3]]="Yes",TB.ScopeEstimation[[#This Row],[Weighted Effort Days]],0)</f>
        <v>0</v>
      </c>
      <c r="S65" s="755"/>
      <c r="T65" s="762"/>
      <c r="U65" s="201"/>
      <c r="V65" s="201"/>
      <c r="AE65" s="22"/>
    </row>
    <row r="66" spans="2:31" hidden="1" outlineLevel="1" x14ac:dyDescent="0.25">
      <c r="B66" s="288"/>
      <c r="C66" s="751"/>
      <c r="D66" s="756"/>
      <c r="E66" s="756"/>
      <c r="F66" s="758"/>
      <c r="G66" s="755"/>
      <c r="H66" s="755"/>
      <c r="I66" s="755"/>
      <c r="J66" s="755"/>
      <c r="K66" s="755"/>
      <c r="L66" s="832" t="str">
        <f>IFERROR(IF(ISBLANK(C66),"",(IF(OR($D$12="Consulting",$D$12="Digital - MarTech Consulting/Strategy")=TRUE,IFERROR(F66*(1+_xlfn.XLOOKUP(G66,'1. Project Inputs'!$I$35:$I$41,'1. Project Inputs'!$J$35:$J$41)),F66),IF(C66="E-Commerce",(_xlfn.XLOOKUP(G66,'Complexity Factors'!$B$12:$B$18,'Complexity Factors'!$C$12:$C$18)*2.9),IF(C66="Services/Integrations",_xlfn.XLOOKUP(G66,'Complexity Factors'!$D$12:$D$16,'Complexity Factors'!$E$12:$E$16)*_xlfn.XLOOKUP($D$18,'Complexity Factors'!$B$41:$B$44,'Complexity Factors'!$D$41:$D$44),IF(C66="UI",_xlfn.XLOOKUP(G66,'Complexity Factors'!$B$12:$B$18,'Complexity Factors'!$C$12:$C$18)*_xlfn.XLOOKUP($D$18,'Complexity Factors'!$B$41:$B$44,'Complexity Factors'!$D$41:$D$44),_xlfn.XLOOKUP(G66,'Complexity Factors'!$B$12:$B$18,'Complexity Factors'!$C$12:$C$18)*_xlfn.XLOOKUP($D$18,'Complexity Factors'!$B$41:$B$44,'Complexity Factors'!$C$41:$C$44))))))*(IF(TB.ScopeEstimation[[#This Row],[External Dependencies]]="",1,(1+_xlfn.XLOOKUP(K66,'Complexity Factors'!$B$24:$B$28,'Complexity Factors'!$C$24:$C$28))))),"")</f>
        <v/>
      </c>
      <c r="M66" s="758"/>
      <c r="N66" s="763"/>
      <c r="O66" s="763"/>
      <c r="P66" s="764">
        <f>IF(TB.ScopeEstimation[[#This Row],[Option 1]]="Yes",TB.ScopeEstimation[[#This Row],[Weighted Effort Days]],0)</f>
        <v>0</v>
      </c>
      <c r="Q66" s="764">
        <f>IF(TB.ScopeEstimation[[#This Row],[Option 2]]="Yes",TB.ScopeEstimation[[#This Row],[Weighted Effort Days]],0)</f>
        <v>0</v>
      </c>
      <c r="R66" s="764">
        <f>IF(TB.ScopeEstimation[[#This Row],[Option 3]]="Yes",TB.ScopeEstimation[[#This Row],[Weighted Effort Days]],0)</f>
        <v>0</v>
      </c>
      <c r="S66" s="755"/>
      <c r="T66" s="762"/>
      <c r="U66" s="201"/>
      <c r="V66" s="201"/>
      <c r="AE66" s="22"/>
    </row>
    <row r="67" spans="2:31" hidden="1" outlineLevel="1" x14ac:dyDescent="0.25">
      <c r="B67" s="288"/>
      <c r="C67" s="751"/>
      <c r="D67" s="756"/>
      <c r="E67" s="756"/>
      <c r="F67" s="758"/>
      <c r="G67" s="755"/>
      <c r="H67" s="755"/>
      <c r="I67" s="755"/>
      <c r="J67" s="755"/>
      <c r="K67" s="755"/>
      <c r="L67" s="832" t="str">
        <f>IFERROR(IF(ISBLANK(C67),"",(IF(OR($D$12="Consulting",$D$12="Digital - MarTech Consulting/Strategy")=TRUE,IFERROR(F67*(1+_xlfn.XLOOKUP(G67,'1. Project Inputs'!$I$35:$I$41,'1. Project Inputs'!$J$35:$J$41)),F67),IF(C67="E-Commerce",(_xlfn.XLOOKUP(G67,'Complexity Factors'!$B$12:$B$18,'Complexity Factors'!$C$12:$C$18)*2.9),IF(C67="Services/Integrations",_xlfn.XLOOKUP(G67,'Complexity Factors'!$D$12:$D$16,'Complexity Factors'!$E$12:$E$16)*_xlfn.XLOOKUP($D$18,'Complexity Factors'!$B$41:$B$44,'Complexity Factors'!$D$41:$D$44),IF(C67="UI",_xlfn.XLOOKUP(G67,'Complexity Factors'!$B$12:$B$18,'Complexity Factors'!$C$12:$C$18)*_xlfn.XLOOKUP($D$18,'Complexity Factors'!$B$41:$B$44,'Complexity Factors'!$D$41:$D$44),_xlfn.XLOOKUP(G67,'Complexity Factors'!$B$12:$B$18,'Complexity Factors'!$C$12:$C$18)*_xlfn.XLOOKUP($D$18,'Complexity Factors'!$B$41:$B$44,'Complexity Factors'!$C$41:$C$44))))))*(IF(TB.ScopeEstimation[[#This Row],[External Dependencies]]="",1,(1+_xlfn.XLOOKUP(K67,'Complexity Factors'!$B$24:$B$28,'Complexity Factors'!$C$24:$C$28))))),"")</f>
        <v/>
      </c>
      <c r="M67" s="758"/>
      <c r="N67" s="763"/>
      <c r="O67" s="763"/>
      <c r="P67" s="764">
        <f>IF(TB.ScopeEstimation[[#This Row],[Option 1]]="Yes",TB.ScopeEstimation[[#This Row],[Weighted Effort Days]],0)</f>
        <v>0</v>
      </c>
      <c r="Q67" s="764">
        <f>IF(TB.ScopeEstimation[[#This Row],[Option 2]]="Yes",TB.ScopeEstimation[[#This Row],[Weighted Effort Days]],0)</f>
        <v>0</v>
      </c>
      <c r="R67" s="764">
        <f>IF(TB.ScopeEstimation[[#This Row],[Option 3]]="Yes",TB.ScopeEstimation[[#This Row],[Weighted Effort Days]],0)</f>
        <v>0</v>
      </c>
      <c r="S67" s="755"/>
      <c r="T67" s="762"/>
      <c r="U67" s="201"/>
      <c r="V67" s="201"/>
      <c r="AE67" s="22"/>
    </row>
    <row r="68" spans="2:31" hidden="1" outlineLevel="1" x14ac:dyDescent="0.25">
      <c r="B68" s="288"/>
      <c r="C68" s="751"/>
      <c r="D68" s="756"/>
      <c r="E68" s="756"/>
      <c r="F68" s="758"/>
      <c r="G68" s="755"/>
      <c r="H68" s="755"/>
      <c r="I68" s="755"/>
      <c r="J68" s="755"/>
      <c r="K68" s="755"/>
      <c r="L68" s="832" t="str">
        <f>IFERROR(IF(ISBLANK(C68),"",(IF(OR($D$12="Consulting",$D$12="Digital - MarTech Consulting/Strategy")=TRUE,IFERROR(F68*(1+_xlfn.XLOOKUP(G68,'1. Project Inputs'!$I$35:$I$41,'1. Project Inputs'!$J$35:$J$41)),F68),IF(C68="E-Commerce",(_xlfn.XLOOKUP(G68,'Complexity Factors'!$B$12:$B$18,'Complexity Factors'!$C$12:$C$18)*2.9),IF(C68="Services/Integrations",_xlfn.XLOOKUP(G68,'Complexity Factors'!$D$12:$D$16,'Complexity Factors'!$E$12:$E$16)*_xlfn.XLOOKUP($D$18,'Complexity Factors'!$B$41:$B$44,'Complexity Factors'!$D$41:$D$44),IF(C68="UI",_xlfn.XLOOKUP(G68,'Complexity Factors'!$B$12:$B$18,'Complexity Factors'!$C$12:$C$18)*_xlfn.XLOOKUP($D$18,'Complexity Factors'!$B$41:$B$44,'Complexity Factors'!$D$41:$D$44),_xlfn.XLOOKUP(G68,'Complexity Factors'!$B$12:$B$18,'Complexity Factors'!$C$12:$C$18)*_xlfn.XLOOKUP($D$18,'Complexity Factors'!$B$41:$B$44,'Complexity Factors'!$C$41:$C$44))))))*(IF(TB.ScopeEstimation[[#This Row],[External Dependencies]]="",1,(1+_xlfn.XLOOKUP(K68,'Complexity Factors'!$B$24:$B$28,'Complexity Factors'!$C$24:$C$28))))),"")</f>
        <v/>
      </c>
      <c r="M68" s="758"/>
      <c r="N68" s="763"/>
      <c r="O68" s="763"/>
      <c r="P68" s="764">
        <f>IF(TB.ScopeEstimation[[#This Row],[Option 1]]="Yes",TB.ScopeEstimation[[#This Row],[Weighted Effort Days]],0)</f>
        <v>0</v>
      </c>
      <c r="Q68" s="764">
        <f>IF(TB.ScopeEstimation[[#This Row],[Option 2]]="Yes",TB.ScopeEstimation[[#This Row],[Weighted Effort Days]],0)</f>
        <v>0</v>
      </c>
      <c r="R68" s="764">
        <f>IF(TB.ScopeEstimation[[#This Row],[Option 3]]="Yes",TB.ScopeEstimation[[#This Row],[Weighted Effort Days]],0)</f>
        <v>0</v>
      </c>
      <c r="S68" s="755"/>
      <c r="T68" s="762"/>
      <c r="U68" s="201"/>
      <c r="V68" s="201"/>
      <c r="AE68" s="22"/>
    </row>
    <row r="69" spans="2:31" hidden="1" outlineLevel="1" x14ac:dyDescent="0.25">
      <c r="B69" s="288"/>
      <c r="C69" s="751"/>
      <c r="D69" s="756"/>
      <c r="E69" s="756"/>
      <c r="F69" s="758"/>
      <c r="G69" s="755"/>
      <c r="H69" s="755"/>
      <c r="I69" s="755"/>
      <c r="J69" s="755"/>
      <c r="K69" s="755"/>
      <c r="L69" s="832" t="str">
        <f>IFERROR(IF(ISBLANK(C69),"",(IF(OR($D$12="Consulting",$D$12="Digital - MarTech Consulting/Strategy")=TRUE,IFERROR(F69*(1+_xlfn.XLOOKUP(G69,'1. Project Inputs'!$I$35:$I$41,'1. Project Inputs'!$J$35:$J$41)),F69),IF(C69="E-Commerce",(_xlfn.XLOOKUP(G69,'Complexity Factors'!$B$12:$B$18,'Complexity Factors'!$C$12:$C$18)*2.9),IF(C69="Services/Integrations",_xlfn.XLOOKUP(G69,'Complexity Factors'!$D$12:$D$16,'Complexity Factors'!$E$12:$E$16)*_xlfn.XLOOKUP($D$18,'Complexity Factors'!$B$41:$B$44,'Complexity Factors'!$D$41:$D$44),IF(C69="UI",_xlfn.XLOOKUP(G69,'Complexity Factors'!$B$12:$B$18,'Complexity Factors'!$C$12:$C$18)*_xlfn.XLOOKUP($D$18,'Complexity Factors'!$B$41:$B$44,'Complexity Factors'!$D$41:$D$44),_xlfn.XLOOKUP(G69,'Complexity Factors'!$B$12:$B$18,'Complexity Factors'!$C$12:$C$18)*_xlfn.XLOOKUP($D$18,'Complexity Factors'!$B$41:$B$44,'Complexity Factors'!$C$41:$C$44))))))*(IF(TB.ScopeEstimation[[#This Row],[External Dependencies]]="",1,(1+_xlfn.XLOOKUP(K69,'Complexity Factors'!$B$24:$B$28,'Complexity Factors'!$C$24:$C$28))))),"")</f>
        <v/>
      </c>
      <c r="M69" s="758"/>
      <c r="N69" s="763"/>
      <c r="O69" s="763"/>
      <c r="P69" s="764">
        <f>IF(TB.ScopeEstimation[[#This Row],[Option 1]]="Yes",TB.ScopeEstimation[[#This Row],[Weighted Effort Days]],0)</f>
        <v>0</v>
      </c>
      <c r="Q69" s="764">
        <f>IF(TB.ScopeEstimation[[#This Row],[Option 2]]="Yes",TB.ScopeEstimation[[#This Row],[Weighted Effort Days]],0)</f>
        <v>0</v>
      </c>
      <c r="R69" s="764">
        <f>IF(TB.ScopeEstimation[[#This Row],[Option 3]]="Yes",TB.ScopeEstimation[[#This Row],[Weighted Effort Days]],0)</f>
        <v>0</v>
      </c>
      <c r="S69" s="755"/>
      <c r="T69" s="762"/>
      <c r="U69" s="201"/>
      <c r="V69" s="201"/>
      <c r="AE69" s="22"/>
    </row>
    <row r="70" spans="2:31" hidden="1" outlineLevel="1" x14ac:dyDescent="0.25">
      <c r="B70" s="288"/>
      <c r="C70" s="751"/>
      <c r="D70" s="756"/>
      <c r="E70" s="756"/>
      <c r="F70" s="758"/>
      <c r="G70" s="755"/>
      <c r="H70" s="755"/>
      <c r="I70" s="755"/>
      <c r="J70" s="755"/>
      <c r="K70" s="755"/>
      <c r="L70" s="832" t="str">
        <f>IFERROR(IF(ISBLANK(C70),"",(IF(OR($D$12="Consulting",$D$12="Digital - MarTech Consulting/Strategy")=TRUE,IFERROR(F70*(1+_xlfn.XLOOKUP(G70,'1. Project Inputs'!$I$35:$I$41,'1. Project Inputs'!$J$35:$J$41)),F70),IF(C70="E-Commerce",(_xlfn.XLOOKUP(G70,'Complexity Factors'!$B$12:$B$18,'Complexity Factors'!$C$12:$C$18)*2.9),IF(C70="Services/Integrations",_xlfn.XLOOKUP(G70,'Complexity Factors'!$D$12:$D$16,'Complexity Factors'!$E$12:$E$16)*_xlfn.XLOOKUP($D$18,'Complexity Factors'!$B$41:$B$44,'Complexity Factors'!$D$41:$D$44),IF(C70="UI",_xlfn.XLOOKUP(G70,'Complexity Factors'!$B$12:$B$18,'Complexity Factors'!$C$12:$C$18)*_xlfn.XLOOKUP($D$18,'Complexity Factors'!$B$41:$B$44,'Complexity Factors'!$D$41:$D$44),_xlfn.XLOOKUP(G70,'Complexity Factors'!$B$12:$B$18,'Complexity Factors'!$C$12:$C$18)*_xlfn.XLOOKUP($D$18,'Complexity Factors'!$B$41:$B$44,'Complexity Factors'!$C$41:$C$44))))))*(IF(TB.ScopeEstimation[[#This Row],[External Dependencies]]="",1,(1+_xlfn.XLOOKUP(K70,'Complexity Factors'!$B$24:$B$28,'Complexity Factors'!$C$24:$C$28))))),"")</f>
        <v/>
      </c>
      <c r="M70" s="758"/>
      <c r="N70" s="763"/>
      <c r="O70" s="763"/>
      <c r="P70" s="764">
        <f>IF(TB.ScopeEstimation[[#This Row],[Option 1]]="Yes",TB.ScopeEstimation[[#This Row],[Weighted Effort Days]],0)</f>
        <v>0</v>
      </c>
      <c r="Q70" s="764">
        <f>IF(TB.ScopeEstimation[[#This Row],[Option 2]]="Yes",TB.ScopeEstimation[[#This Row],[Weighted Effort Days]],0)</f>
        <v>0</v>
      </c>
      <c r="R70" s="764">
        <f>IF(TB.ScopeEstimation[[#This Row],[Option 3]]="Yes",TB.ScopeEstimation[[#This Row],[Weighted Effort Days]],0)</f>
        <v>0</v>
      </c>
      <c r="S70" s="755"/>
      <c r="T70" s="762"/>
      <c r="U70" s="201"/>
      <c r="V70" s="201"/>
      <c r="AE70" s="22"/>
    </row>
    <row r="71" spans="2:31" hidden="1" outlineLevel="1" x14ac:dyDescent="0.25">
      <c r="B71" s="288"/>
      <c r="C71" s="751"/>
      <c r="D71" s="756"/>
      <c r="E71" s="756"/>
      <c r="F71" s="758"/>
      <c r="G71" s="755"/>
      <c r="H71" s="755"/>
      <c r="I71" s="755"/>
      <c r="J71" s="755"/>
      <c r="K71" s="755"/>
      <c r="L71" s="832" t="str">
        <f>IFERROR(IF(ISBLANK(C71),"",(IF(OR($D$12="Consulting",$D$12="Digital - MarTech Consulting/Strategy")=TRUE,IFERROR(F71*(1+_xlfn.XLOOKUP(G71,'1. Project Inputs'!$I$35:$I$41,'1. Project Inputs'!$J$35:$J$41)),F71),IF(C71="E-Commerce",(_xlfn.XLOOKUP(G71,'Complexity Factors'!$B$12:$B$18,'Complexity Factors'!$C$12:$C$18)*2.9),IF(C71="Services/Integrations",_xlfn.XLOOKUP(G71,'Complexity Factors'!$D$12:$D$16,'Complexity Factors'!$E$12:$E$16)*_xlfn.XLOOKUP($D$18,'Complexity Factors'!$B$41:$B$44,'Complexity Factors'!$D$41:$D$44),IF(C71="UI",_xlfn.XLOOKUP(G71,'Complexity Factors'!$B$12:$B$18,'Complexity Factors'!$C$12:$C$18)*_xlfn.XLOOKUP($D$18,'Complexity Factors'!$B$41:$B$44,'Complexity Factors'!$D$41:$D$44),_xlfn.XLOOKUP(G71,'Complexity Factors'!$B$12:$B$18,'Complexity Factors'!$C$12:$C$18)*_xlfn.XLOOKUP($D$18,'Complexity Factors'!$B$41:$B$44,'Complexity Factors'!$C$41:$C$44))))))*(IF(TB.ScopeEstimation[[#This Row],[External Dependencies]]="",1,(1+_xlfn.XLOOKUP(K71,'Complexity Factors'!$B$24:$B$28,'Complexity Factors'!$C$24:$C$28))))),"")</f>
        <v/>
      </c>
      <c r="M71" s="758"/>
      <c r="N71" s="763"/>
      <c r="O71" s="763"/>
      <c r="P71" s="764">
        <f>IF(TB.ScopeEstimation[[#This Row],[Option 1]]="Yes",TB.ScopeEstimation[[#This Row],[Weighted Effort Days]],0)</f>
        <v>0</v>
      </c>
      <c r="Q71" s="764">
        <f>IF(TB.ScopeEstimation[[#This Row],[Option 2]]="Yes",TB.ScopeEstimation[[#This Row],[Weighted Effort Days]],0)</f>
        <v>0</v>
      </c>
      <c r="R71" s="764">
        <f>IF(TB.ScopeEstimation[[#This Row],[Option 3]]="Yes",TB.ScopeEstimation[[#This Row],[Weighted Effort Days]],0)</f>
        <v>0</v>
      </c>
      <c r="S71" s="755"/>
      <c r="T71" s="762"/>
      <c r="U71" s="201"/>
      <c r="V71" s="201"/>
      <c r="AE71" s="22"/>
    </row>
    <row r="72" spans="2:31" hidden="1" outlineLevel="1" x14ac:dyDescent="0.25">
      <c r="B72" s="288"/>
      <c r="C72" s="751"/>
      <c r="D72" s="756"/>
      <c r="E72" s="756"/>
      <c r="F72" s="758"/>
      <c r="G72" s="755"/>
      <c r="H72" s="755"/>
      <c r="I72" s="755"/>
      <c r="J72" s="755"/>
      <c r="K72" s="755"/>
      <c r="L72" s="832" t="str">
        <f>IFERROR(IF(ISBLANK(C72),"",(IF(OR($D$12="Consulting",$D$12="Digital - MarTech Consulting/Strategy")=TRUE,IFERROR(F72*(1+_xlfn.XLOOKUP(G72,'1. Project Inputs'!$I$35:$I$41,'1. Project Inputs'!$J$35:$J$41)),F72),IF(C72="E-Commerce",(_xlfn.XLOOKUP(G72,'Complexity Factors'!$B$12:$B$18,'Complexity Factors'!$C$12:$C$18)*2.9),IF(C72="Services/Integrations",_xlfn.XLOOKUP(G72,'Complexity Factors'!$D$12:$D$16,'Complexity Factors'!$E$12:$E$16)*_xlfn.XLOOKUP($D$18,'Complexity Factors'!$B$41:$B$44,'Complexity Factors'!$D$41:$D$44),IF(C72="UI",_xlfn.XLOOKUP(G72,'Complexity Factors'!$B$12:$B$18,'Complexity Factors'!$C$12:$C$18)*_xlfn.XLOOKUP($D$18,'Complexity Factors'!$B$41:$B$44,'Complexity Factors'!$D$41:$D$44),_xlfn.XLOOKUP(G72,'Complexity Factors'!$B$12:$B$18,'Complexity Factors'!$C$12:$C$18)*_xlfn.XLOOKUP($D$18,'Complexity Factors'!$B$41:$B$44,'Complexity Factors'!$C$41:$C$44))))))*(IF(TB.ScopeEstimation[[#This Row],[External Dependencies]]="",1,(1+_xlfn.XLOOKUP(K72,'Complexity Factors'!$B$24:$B$28,'Complexity Factors'!$C$24:$C$28))))),"")</f>
        <v/>
      </c>
      <c r="M72" s="758"/>
      <c r="N72" s="763"/>
      <c r="O72" s="763"/>
      <c r="P72" s="764">
        <f>IF(TB.ScopeEstimation[[#This Row],[Option 1]]="Yes",TB.ScopeEstimation[[#This Row],[Weighted Effort Days]],0)</f>
        <v>0</v>
      </c>
      <c r="Q72" s="764">
        <f>IF(TB.ScopeEstimation[[#This Row],[Option 2]]="Yes",TB.ScopeEstimation[[#This Row],[Weighted Effort Days]],0)</f>
        <v>0</v>
      </c>
      <c r="R72" s="764">
        <f>IF(TB.ScopeEstimation[[#This Row],[Option 3]]="Yes",TB.ScopeEstimation[[#This Row],[Weighted Effort Days]],0)</f>
        <v>0</v>
      </c>
      <c r="S72" s="755"/>
      <c r="T72" s="762"/>
      <c r="U72" s="201"/>
      <c r="V72" s="201"/>
      <c r="AE72" s="22"/>
    </row>
    <row r="73" spans="2:31" hidden="1" outlineLevel="1" x14ac:dyDescent="0.25">
      <c r="B73" s="288"/>
      <c r="C73" s="751"/>
      <c r="D73" s="756"/>
      <c r="E73" s="756"/>
      <c r="F73" s="758"/>
      <c r="G73" s="755"/>
      <c r="H73" s="755"/>
      <c r="I73" s="755"/>
      <c r="J73" s="755"/>
      <c r="K73" s="755"/>
      <c r="L73" s="832" t="str">
        <f>IFERROR(IF(ISBLANK(C73),"",(IF(OR($D$12="Consulting",$D$12="Digital - MarTech Consulting/Strategy")=TRUE,IFERROR(F73*(1+_xlfn.XLOOKUP(G73,'1. Project Inputs'!$I$35:$I$41,'1. Project Inputs'!$J$35:$J$41)),F73),IF(C73="E-Commerce",(_xlfn.XLOOKUP(G73,'Complexity Factors'!$B$12:$B$18,'Complexity Factors'!$C$12:$C$18)*2.9),IF(C73="Services/Integrations",_xlfn.XLOOKUP(G73,'Complexity Factors'!$D$12:$D$16,'Complexity Factors'!$E$12:$E$16)*_xlfn.XLOOKUP($D$18,'Complexity Factors'!$B$41:$B$44,'Complexity Factors'!$D$41:$D$44),IF(C73="UI",_xlfn.XLOOKUP(G73,'Complexity Factors'!$B$12:$B$18,'Complexity Factors'!$C$12:$C$18)*_xlfn.XLOOKUP($D$18,'Complexity Factors'!$B$41:$B$44,'Complexity Factors'!$D$41:$D$44),_xlfn.XLOOKUP(G73,'Complexity Factors'!$B$12:$B$18,'Complexity Factors'!$C$12:$C$18)*_xlfn.XLOOKUP($D$18,'Complexity Factors'!$B$41:$B$44,'Complexity Factors'!$C$41:$C$44))))))*(IF(TB.ScopeEstimation[[#This Row],[External Dependencies]]="",1,(1+_xlfn.XLOOKUP(K73,'Complexity Factors'!$B$24:$B$28,'Complexity Factors'!$C$24:$C$28))))),"")</f>
        <v/>
      </c>
      <c r="M73" s="758"/>
      <c r="N73" s="763"/>
      <c r="O73" s="763"/>
      <c r="P73" s="764">
        <f>IF(TB.ScopeEstimation[[#This Row],[Option 1]]="Yes",TB.ScopeEstimation[[#This Row],[Weighted Effort Days]],0)</f>
        <v>0</v>
      </c>
      <c r="Q73" s="764">
        <f>IF(TB.ScopeEstimation[[#This Row],[Option 2]]="Yes",TB.ScopeEstimation[[#This Row],[Weighted Effort Days]],0)</f>
        <v>0</v>
      </c>
      <c r="R73" s="764">
        <f>IF(TB.ScopeEstimation[[#This Row],[Option 3]]="Yes",TB.ScopeEstimation[[#This Row],[Weighted Effort Days]],0)</f>
        <v>0</v>
      </c>
      <c r="S73" s="755"/>
      <c r="T73" s="762"/>
      <c r="U73" s="201"/>
      <c r="V73" s="201"/>
      <c r="AE73" s="22"/>
    </row>
    <row r="74" spans="2:31" hidden="1" outlineLevel="1" x14ac:dyDescent="0.25">
      <c r="B74" s="288"/>
      <c r="C74" s="751"/>
      <c r="D74" s="756"/>
      <c r="E74" s="756"/>
      <c r="F74" s="758"/>
      <c r="G74" s="755"/>
      <c r="H74" s="755"/>
      <c r="I74" s="755"/>
      <c r="J74" s="755"/>
      <c r="K74" s="755"/>
      <c r="L74" s="832" t="str">
        <f>IFERROR(IF(ISBLANK(C74),"",(IF(OR($D$12="Consulting",$D$12="Digital - MarTech Consulting/Strategy")=TRUE,IFERROR(F74*(1+_xlfn.XLOOKUP(G74,'1. Project Inputs'!$I$35:$I$41,'1. Project Inputs'!$J$35:$J$41)),F74),IF(C74="E-Commerce",(_xlfn.XLOOKUP(G74,'Complexity Factors'!$B$12:$B$18,'Complexity Factors'!$C$12:$C$18)*2.9),IF(C74="Services/Integrations",_xlfn.XLOOKUP(G74,'Complexity Factors'!$D$12:$D$16,'Complexity Factors'!$E$12:$E$16)*_xlfn.XLOOKUP($D$18,'Complexity Factors'!$B$41:$B$44,'Complexity Factors'!$D$41:$D$44),IF(C74="UI",_xlfn.XLOOKUP(G74,'Complexity Factors'!$B$12:$B$18,'Complexity Factors'!$C$12:$C$18)*_xlfn.XLOOKUP($D$18,'Complexity Factors'!$B$41:$B$44,'Complexity Factors'!$D$41:$D$44),_xlfn.XLOOKUP(G74,'Complexity Factors'!$B$12:$B$18,'Complexity Factors'!$C$12:$C$18)*_xlfn.XLOOKUP($D$18,'Complexity Factors'!$B$41:$B$44,'Complexity Factors'!$C$41:$C$44))))))*(IF(TB.ScopeEstimation[[#This Row],[External Dependencies]]="",1,(1+_xlfn.XLOOKUP(K74,'Complexity Factors'!$B$24:$B$28,'Complexity Factors'!$C$24:$C$28))))),"")</f>
        <v/>
      </c>
      <c r="M74" s="758"/>
      <c r="N74" s="763"/>
      <c r="O74" s="763"/>
      <c r="P74" s="764">
        <f>IF(TB.ScopeEstimation[[#This Row],[Option 1]]="Yes",TB.ScopeEstimation[[#This Row],[Weighted Effort Days]],0)</f>
        <v>0</v>
      </c>
      <c r="Q74" s="764">
        <f>IF(TB.ScopeEstimation[[#This Row],[Option 2]]="Yes",TB.ScopeEstimation[[#This Row],[Weighted Effort Days]],0)</f>
        <v>0</v>
      </c>
      <c r="R74" s="764">
        <f>IF(TB.ScopeEstimation[[#This Row],[Option 3]]="Yes",TB.ScopeEstimation[[#This Row],[Weighted Effort Days]],0)</f>
        <v>0</v>
      </c>
      <c r="S74" s="755"/>
      <c r="T74" s="762"/>
      <c r="U74" s="201"/>
      <c r="V74" s="201"/>
      <c r="AE74" s="22"/>
    </row>
    <row r="75" spans="2:31" hidden="1" outlineLevel="1" x14ac:dyDescent="0.25">
      <c r="B75" s="288"/>
      <c r="C75" s="751"/>
      <c r="D75" s="756"/>
      <c r="E75" s="756"/>
      <c r="F75" s="758"/>
      <c r="G75" s="755"/>
      <c r="H75" s="755"/>
      <c r="I75" s="755"/>
      <c r="J75" s="755"/>
      <c r="K75" s="755"/>
      <c r="L75" s="832" t="str">
        <f>IFERROR(IF(ISBLANK(C75),"",(IF(OR($D$12="Consulting",$D$12="Digital - MarTech Consulting/Strategy")=TRUE,IFERROR(F75*(1+_xlfn.XLOOKUP(G75,'1. Project Inputs'!$I$35:$I$41,'1. Project Inputs'!$J$35:$J$41)),F75),IF(C75="E-Commerce",(_xlfn.XLOOKUP(G75,'Complexity Factors'!$B$12:$B$18,'Complexity Factors'!$C$12:$C$18)*2.9),IF(C75="Services/Integrations",_xlfn.XLOOKUP(G75,'Complexity Factors'!$D$12:$D$16,'Complexity Factors'!$E$12:$E$16)*_xlfn.XLOOKUP($D$18,'Complexity Factors'!$B$41:$B$44,'Complexity Factors'!$D$41:$D$44),IF(C75="UI",_xlfn.XLOOKUP(G75,'Complexity Factors'!$B$12:$B$18,'Complexity Factors'!$C$12:$C$18)*_xlfn.XLOOKUP($D$18,'Complexity Factors'!$B$41:$B$44,'Complexity Factors'!$D$41:$D$44),_xlfn.XLOOKUP(G75,'Complexity Factors'!$B$12:$B$18,'Complexity Factors'!$C$12:$C$18)*_xlfn.XLOOKUP($D$18,'Complexity Factors'!$B$41:$B$44,'Complexity Factors'!$C$41:$C$44))))))*(IF(TB.ScopeEstimation[[#This Row],[External Dependencies]]="",1,(1+_xlfn.XLOOKUP(K75,'Complexity Factors'!$B$24:$B$28,'Complexity Factors'!$C$24:$C$28))))),"")</f>
        <v/>
      </c>
      <c r="M75" s="758"/>
      <c r="N75" s="763"/>
      <c r="O75" s="763"/>
      <c r="P75" s="764">
        <f>IF(TB.ScopeEstimation[[#This Row],[Option 1]]="Yes",TB.ScopeEstimation[[#This Row],[Weighted Effort Days]],0)</f>
        <v>0</v>
      </c>
      <c r="Q75" s="764">
        <f>IF(TB.ScopeEstimation[[#This Row],[Option 2]]="Yes",TB.ScopeEstimation[[#This Row],[Weighted Effort Days]],0)</f>
        <v>0</v>
      </c>
      <c r="R75" s="764">
        <f>IF(TB.ScopeEstimation[[#This Row],[Option 3]]="Yes",TB.ScopeEstimation[[#This Row],[Weighted Effort Days]],0)</f>
        <v>0</v>
      </c>
      <c r="S75" s="755"/>
      <c r="T75" s="762"/>
      <c r="U75" s="201"/>
      <c r="V75" s="201"/>
      <c r="AE75" s="22"/>
    </row>
    <row r="76" spans="2:31" hidden="1" outlineLevel="1" x14ac:dyDescent="0.25">
      <c r="B76" s="288"/>
      <c r="C76" s="751"/>
      <c r="D76" s="756"/>
      <c r="E76" s="756"/>
      <c r="F76" s="758"/>
      <c r="G76" s="755"/>
      <c r="H76" s="755"/>
      <c r="I76" s="755"/>
      <c r="J76" s="755"/>
      <c r="K76" s="755"/>
      <c r="L76" s="832" t="str">
        <f>IFERROR(IF(ISBLANK(C76),"",(IF(OR($D$12="Consulting",$D$12="Digital - MarTech Consulting/Strategy")=TRUE,IFERROR(F76*(1+_xlfn.XLOOKUP(G76,'1. Project Inputs'!$I$35:$I$41,'1. Project Inputs'!$J$35:$J$41)),F76),IF(C76="E-Commerce",(_xlfn.XLOOKUP(G76,'Complexity Factors'!$B$12:$B$18,'Complexity Factors'!$C$12:$C$18)*2.9),IF(C76="Services/Integrations",_xlfn.XLOOKUP(G76,'Complexity Factors'!$D$12:$D$16,'Complexity Factors'!$E$12:$E$16)*_xlfn.XLOOKUP($D$18,'Complexity Factors'!$B$41:$B$44,'Complexity Factors'!$D$41:$D$44),IF(C76="UI",_xlfn.XLOOKUP(G76,'Complexity Factors'!$B$12:$B$18,'Complexity Factors'!$C$12:$C$18)*_xlfn.XLOOKUP($D$18,'Complexity Factors'!$B$41:$B$44,'Complexity Factors'!$D$41:$D$44),_xlfn.XLOOKUP(G76,'Complexity Factors'!$B$12:$B$18,'Complexity Factors'!$C$12:$C$18)*_xlfn.XLOOKUP($D$18,'Complexity Factors'!$B$41:$B$44,'Complexity Factors'!$C$41:$C$44))))))*(IF(TB.ScopeEstimation[[#This Row],[External Dependencies]]="",1,(1+_xlfn.XLOOKUP(K76,'Complexity Factors'!$B$24:$B$28,'Complexity Factors'!$C$24:$C$28))))),"")</f>
        <v/>
      </c>
      <c r="M76" s="758"/>
      <c r="N76" s="763"/>
      <c r="O76" s="763"/>
      <c r="P76" s="764">
        <f>IF(TB.ScopeEstimation[[#This Row],[Option 1]]="Yes",TB.ScopeEstimation[[#This Row],[Weighted Effort Days]],0)</f>
        <v>0</v>
      </c>
      <c r="Q76" s="764">
        <f>IF(TB.ScopeEstimation[[#This Row],[Option 2]]="Yes",TB.ScopeEstimation[[#This Row],[Weighted Effort Days]],0)</f>
        <v>0</v>
      </c>
      <c r="R76" s="764">
        <f>IF(TB.ScopeEstimation[[#This Row],[Option 3]]="Yes",TB.ScopeEstimation[[#This Row],[Weighted Effort Days]],0)</f>
        <v>0</v>
      </c>
      <c r="S76" s="755"/>
      <c r="T76" s="762"/>
      <c r="U76" s="201"/>
      <c r="V76" s="201"/>
      <c r="AE76" s="22"/>
    </row>
    <row r="77" spans="2:31" hidden="1" outlineLevel="1" x14ac:dyDescent="0.25">
      <c r="B77" s="288"/>
      <c r="C77" s="751"/>
      <c r="D77" s="756"/>
      <c r="E77" s="756"/>
      <c r="F77" s="758"/>
      <c r="G77" s="755"/>
      <c r="H77" s="755"/>
      <c r="I77" s="755"/>
      <c r="J77" s="755"/>
      <c r="K77" s="755"/>
      <c r="L77" s="832" t="str">
        <f>IFERROR(IF(ISBLANK(C77),"",(IF(OR($D$12="Consulting",$D$12="Digital - MarTech Consulting/Strategy")=TRUE,IFERROR(F77*(1+_xlfn.XLOOKUP(G77,'1. Project Inputs'!$I$35:$I$41,'1. Project Inputs'!$J$35:$J$41)),F77),IF(C77="E-Commerce",(_xlfn.XLOOKUP(G77,'Complexity Factors'!$B$12:$B$18,'Complexity Factors'!$C$12:$C$18)*2.9),IF(C77="Services/Integrations",_xlfn.XLOOKUP(G77,'Complexity Factors'!$D$12:$D$16,'Complexity Factors'!$E$12:$E$16)*_xlfn.XLOOKUP($D$18,'Complexity Factors'!$B$41:$B$44,'Complexity Factors'!$D$41:$D$44),IF(C77="UI",_xlfn.XLOOKUP(G77,'Complexity Factors'!$B$12:$B$18,'Complexity Factors'!$C$12:$C$18)*_xlfn.XLOOKUP($D$18,'Complexity Factors'!$B$41:$B$44,'Complexity Factors'!$D$41:$D$44),_xlfn.XLOOKUP(G77,'Complexity Factors'!$B$12:$B$18,'Complexity Factors'!$C$12:$C$18)*_xlfn.XLOOKUP($D$18,'Complexity Factors'!$B$41:$B$44,'Complexity Factors'!$C$41:$C$44))))))*(IF(TB.ScopeEstimation[[#This Row],[External Dependencies]]="",1,(1+_xlfn.XLOOKUP(K77,'Complexity Factors'!$B$24:$B$28,'Complexity Factors'!$C$24:$C$28))))),"")</f>
        <v/>
      </c>
      <c r="M77" s="758"/>
      <c r="N77" s="763"/>
      <c r="O77" s="763"/>
      <c r="P77" s="764">
        <f>IF(TB.ScopeEstimation[[#This Row],[Option 1]]="Yes",TB.ScopeEstimation[[#This Row],[Weighted Effort Days]],0)</f>
        <v>0</v>
      </c>
      <c r="Q77" s="764">
        <f>IF(TB.ScopeEstimation[[#This Row],[Option 2]]="Yes",TB.ScopeEstimation[[#This Row],[Weighted Effort Days]],0)</f>
        <v>0</v>
      </c>
      <c r="R77" s="764">
        <f>IF(TB.ScopeEstimation[[#This Row],[Option 3]]="Yes",TB.ScopeEstimation[[#This Row],[Weighted Effort Days]],0)</f>
        <v>0</v>
      </c>
      <c r="S77" s="755"/>
      <c r="T77" s="762"/>
      <c r="U77" s="201"/>
      <c r="V77" s="201"/>
      <c r="AE77" s="22"/>
    </row>
    <row r="78" spans="2:31" hidden="1" outlineLevel="1" x14ac:dyDescent="0.25">
      <c r="B78" s="288"/>
      <c r="C78" s="751"/>
      <c r="D78" s="756"/>
      <c r="E78" s="756"/>
      <c r="F78" s="758"/>
      <c r="G78" s="755"/>
      <c r="H78" s="755"/>
      <c r="I78" s="755"/>
      <c r="J78" s="755"/>
      <c r="K78" s="755"/>
      <c r="L78" s="832" t="str">
        <f>IFERROR(IF(ISBLANK(C78),"",(IF(OR($D$12="Consulting",$D$12="Digital - MarTech Consulting/Strategy")=TRUE,IFERROR(F78*(1+_xlfn.XLOOKUP(G78,'1. Project Inputs'!$I$35:$I$41,'1. Project Inputs'!$J$35:$J$41)),F78),IF(C78="E-Commerce",(_xlfn.XLOOKUP(G78,'Complexity Factors'!$B$12:$B$18,'Complexity Factors'!$C$12:$C$18)*2.9),IF(C78="Services/Integrations",_xlfn.XLOOKUP(G78,'Complexity Factors'!$D$12:$D$16,'Complexity Factors'!$E$12:$E$16)*_xlfn.XLOOKUP($D$18,'Complexity Factors'!$B$41:$B$44,'Complexity Factors'!$D$41:$D$44),IF(C78="UI",_xlfn.XLOOKUP(G78,'Complexity Factors'!$B$12:$B$18,'Complexity Factors'!$C$12:$C$18)*_xlfn.XLOOKUP($D$18,'Complexity Factors'!$B$41:$B$44,'Complexity Factors'!$D$41:$D$44),_xlfn.XLOOKUP(G78,'Complexity Factors'!$B$12:$B$18,'Complexity Factors'!$C$12:$C$18)*_xlfn.XLOOKUP($D$18,'Complexity Factors'!$B$41:$B$44,'Complexity Factors'!$C$41:$C$44))))))*(IF(TB.ScopeEstimation[[#This Row],[External Dependencies]]="",1,(1+_xlfn.XLOOKUP(K78,'Complexity Factors'!$B$24:$B$28,'Complexity Factors'!$C$24:$C$28))))),"")</f>
        <v/>
      </c>
      <c r="M78" s="758"/>
      <c r="N78" s="763"/>
      <c r="O78" s="763"/>
      <c r="P78" s="764">
        <f>IF(TB.ScopeEstimation[[#This Row],[Option 1]]="Yes",TB.ScopeEstimation[[#This Row],[Weighted Effort Days]],0)</f>
        <v>0</v>
      </c>
      <c r="Q78" s="764">
        <f>IF(TB.ScopeEstimation[[#This Row],[Option 2]]="Yes",TB.ScopeEstimation[[#This Row],[Weighted Effort Days]],0)</f>
        <v>0</v>
      </c>
      <c r="R78" s="764">
        <f>IF(TB.ScopeEstimation[[#This Row],[Option 3]]="Yes",TB.ScopeEstimation[[#This Row],[Weighted Effort Days]],0)</f>
        <v>0</v>
      </c>
      <c r="S78" s="755"/>
      <c r="T78" s="762"/>
      <c r="U78" s="201"/>
      <c r="V78" s="201"/>
      <c r="AE78" s="22"/>
    </row>
    <row r="79" spans="2:31" hidden="1" outlineLevel="1" x14ac:dyDescent="0.25">
      <c r="B79" s="288"/>
      <c r="C79" s="751"/>
      <c r="D79" s="756"/>
      <c r="E79" s="756"/>
      <c r="F79" s="758"/>
      <c r="G79" s="755"/>
      <c r="H79" s="755"/>
      <c r="I79" s="755"/>
      <c r="J79" s="755"/>
      <c r="K79" s="755"/>
      <c r="L79" s="832" t="str">
        <f>IFERROR(IF(ISBLANK(C79),"",(IF(OR($D$12="Consulting",$D$12="Digital - MarTech Consulting/Strategy")=TRUE,IFERROR(F79*(1+_xlfn.XLOOKUP(G79,'1. Project Inputs'!$I$35:$I$41,'1. Project Inputs'!$J$35:$J$41)),F79),IF(C79="E-Commerce",(_xlfn.XLOOKUP(G79,'Complexity Factors'!$B$12:$B$18,'Complexity Factors'!$C$12:$C$18)*2.9),IF(C79="Services/Integrations",_xlfn.XLOOKUP(G79,'Complexity Factors'!$D$12:$D$16,'Complexity Factors'!$E$12:$E$16)*_xlfn.XLOOKUP($D$18,'Complexity Factors'!$B$41:$B$44,'Complexity Factors'!$D$41:$D$44),IF(C79="UI",_xlfn.XLOOKUP(G79,'Complexity Factors'!$B$12:$B$18,'Complexity Factors'!$C$12:$C$18)*_xlfn.XLOOKUP($D$18,'Complexity Factors'!$B$41:$B$44,'Complexity Factors'!$D$41:$D$44),_xlfn.XLOOKUP(G79,'Complexity Factors'!$B$12:$B$18,'Complexity Factors'!$C$12:$C$18)*_xlfn.XLOOKUP($D$18,'Complexity Factors'!$B$41:$B$44,'Complexity Factors'!$C$41:$C$44))))))*(IF(TB.ScopeEstimation[[#This Row],[External Dependencies]]="",1,(1+_xlfn.XLOOKUP(K79,'Complexity Factors'!$B$24:$B$28,'Complexity Factors'!$C$24:$C$28))))),"")</f>
        <v/>
      </c>
      <c r="M79" s="758"/>
      <c r="N79" s="763"/>
      <c r="O79" s="763"/>
      <c r="P79" s="764">
        <f>IF(TB.ScopeEstimation[[#This Row],[Option 1]]="Yes",TB.ScopeEstimation[[#This Row],[Weighted Effort Days]],0)</f>
        <v>0</v>
      </c>
      <c r="Q79" s="764">
        <f>IF(TB.ScopeEstimation[[#This Row],[Option 2]]="Yes",TB.ScopeEstimation[[#This Row],[Weighted Effort Days]],0)</f>
        <v>0</v>
      </c>
      <c r="R79" s="764">
        <f>IF(TB.ScopeEstimation[[#This Row],[Option 3]]="Yes",TB.ScopeEstimation[[#This Row],[Weighted Effort Days]],0)</f>
        <v>0</v>
      </c>
      <c r="S79" s="755"/>
      <c r="T79" s="762"/>
      <c r="U79" s="201"/>
      <c r="V79" s="201"/>
      <c r="AE79" s="22"/>
    </row>
    <row r="80" spans="2:31" hidden="1" outlineLevel="1" x14ac:dyDescent="0.25">
      <c r="B80" s="288"/>
      <c r="C80" s="751"/>
      <c r="D80" s="756"/>
      <c r="E80" s="756"/>
      <c r="F80" s="758"/>
      <c r="G80" s="755"/>
      <c r="H80" s="755"/>
      <c r="I80" s="755"/>
      <c r="J80" s="755"/>
      <c r="K80" s="755"/>
      <c r="L80" s="832" t="str">
        <f>IFERROR(IF(ISBLANK(C80),"",(IF(OR($D$12="Consulting",$D$12="Digital - MarTech Consulting/Strategy")=TRUE,IFERROR(F80*(1+_xlfn.XLOOKUP(G80,'1. Project Inputs'!$I$35:$I$41,'1. Project Inputs'!$J$35:$J$41)),F80),IF(C80="E-Commerce",(_xlfn.XLOOKUP(G80,'Complexity Factors'!$B$12:$B$18,'Complexity Factors'!$C$12:$C$18)*2.9),IF(C80="Services/Integrations",_xlfn.XLOOKUP(G80,'Complexity Factors'!$D$12:$D$16,'Complexity Factors'!$E$12:$E$16)*_xlfn.XLOOKUP($D$18,'Complexity Factors'!$B$41:$B$44,'Complexity Factors'!$D$41:$D$44),IF(C80="UI",_xlfn.XLOOKUP(G80,'Complexity Factors'!$B$12:$B$18,'Complexity Factors'!$C$12:$C$18)*_xlfn.XLOOKUP($D$18,'Complexity Factors'!$B$41:$B$44,'Complexity Factors'!$D$41:$D$44),_xlfn.XLOOKUP(G80,'Complexity Factors'!$B$12:$B$18,'Complexity Factors'!$C$12:$C$18)*_xlfn.XLOOKUP($D$18,'Complexity Factors'!$B$41:$B$44,'Complexity Factors'!$C$41:$C$44))))))*(IF(TB.ScopeEstimation[[#This Row],[External Dependencies]]="",1,(1+_xlfn.XLOOKUP(K80,'Complexity Factors'!$B$24:$B$28,'Complexity Factors'!$C$24:$C$28))))),"")</f>
        <v/>
      </c>
      <c r="M80" s="758"/>
      <c r="N80" s="763"/>
      <c r="O80" s="763"/>
      <c r="P80" s="764">
        <f>IF(TB.ScopeEstimation[[#This Row],[Option 1]]="Yes",TB.ScopeEstimation[[#This Row],[Weighted Effort Days]],0)</f>
        <v>0</v>
      </c>
      <c r="Q80" s="764">
        <f>IF(TB.ScopeEstimation[[#This Row],[Option 2]]="Yes",TB.ScopeEstimation[[#This Row],[Weighted Effort Days]],0)</f>
        <v>0</v>
      </c>
      <c r="R80" s="764">
        <f>IF(TB.ScopeEstimation[[#This Row],[Option 3]]="Yes",TB.ScopeEstimation[[#This Row],[Weighted Effort Days]],0)</f>
        <v>0</v>
      </c>
      <c r="S80" s="755"/>
      <c r="T80" s="762"/>
      <c r="U80" s="201"/>
      <c r="V80" s="201"/>
      <c r="AE80" s="22"/>
    </row>
    <row r="81" spans="2:31" hidden="1" outlineLevel="1" x14ac:dyDescent="0.25">
      <c r="B81" s="288"/>
      <c r="C81" s="751"/>
      <c r="D81" s="756"/>
      <c r="E81" s="756"/>
      <c r="F81" s="758"/>
      <c r="G81" s="755"/>
      <c r="H81" s="755"/>
      <c r="I81" s="755"/>
      <c r="J81" s="755"/>
      <c r="K81" s="755"/>
      <c r="L81" s="832" t="str">
        <f>IFERROR(IF(ISBLANK(C81),"",(IF(OR($D$12="Consulting",$D$12="Digital - MarTech Consulting/Strategy")=TRUE,IFERROR(F81*(1+_xlfn.XLOOKUP(G81,'1. Project Inputs'!$I$35:$I$41,'1. Project Inputs'!$J$35:$J$41)),F81),IF(C81="E-Commerce",(_xlfn.XLOOKUP(G81,'Complexity Factors'!$B$12:$B$18,'Complexity Factors'!$C$12:$C$18)*2.9),IF(C81="Services/Integrations",_xlfn.XLOOKUP(G81,'Complexity Factors'!$D$12:$D$16,'Complexity Factors'!$E$12:$E$16)*_xlfn.XLOOKUP($D$18,'Complexity Factors'!$B$41:$B$44,'Complexity Factors'!$D$41:$D$44),IF(C81="UI",_xlfn.XLOOKUP(G81,'Complexity Factors'!$B$12:$B$18,'Complexity Factors'!$C$12:$C$18)*_xlfn.XLOOKUP($D$18,'Complexity Factors'!$B$41:$B$44,'Complexity Factors'!$D$41:$D$44),_xlfn.XLOOKUP(G81,'Complexity Factors'!$B$12:$B$18,'Complexity Factors'!$C$12:$C$18)*_xlfn.XLOOKUP($D$18,'Complexity Factors'!$B$41:$B$44,'Complexity Factors'!$C$41:$C$44))))))*(IF(TB.ScopeEstimation[[#This Row],[External Dependencies]]="",1,(1+_xlfn.XLOOKUP(K81,'Complexity Factors'!$B$24:$B$28,'Complexity Factors'!$C$24:$C$28))))),"")</f>
        <v/>
      </c>
      <c r="M81" s="758"/>
      <c r="N81" s="763"/>
      <c r="O81" s="763"/>
      <c r="P81" s="764">
        <f>IF(TB.ScopeEstimation[[#This Row],[Option 1]]="Yes",TB.ScopeEstimation[[#This Row],[Weighted Effort Days]],0)</f>
        <v>0</v>
      </c>
      <c r="Q81" s="764">
        <f>IF(TB.ScopeEstimation[[#This Row],[Option 2]]="Yes",TB.ScopeEstimation[[#This Row],[Weighted Effort Days]],0)</f>
        <v>0</v>
      </c>
      <c r="R81" s="764">
        <f>IF(TB.ScopeEstimation[[#This Row],[Option 3]]="Yes",TB.ScopeEstimation[[#This Row],[Weighted Effort Days]],0)</f>
        <v>0</v>
      </c>
      <c r="S81" s="755"/>
      <c r="T81" s="762"/>
      <c r="U81" s="201"/>
      <c r="V81" s="201"/>
      <c r="AE81" s="22"/>
    </row>
    <row r="82" spans="2:31" hidden="1" outlineLevel="1" x14ac:dyDescent="0.25">
      <c r="B82" s="288"/>
      <c r="C82" s="751"/>
      <c r="D82" s="756"/>
      <c r="E82" s="756"/>
      <c r="F82" s="758"/>
      <c r="G82" s="755"/>
      <c r="H82" s="755"/>
      <c r="I82" s="755"/>
      <c r="J82" s="755"/>
      <c r="K82" s="755"/>
      <c r="L82" s="832" t="str">
        <f>IFERROR(IF(ISBLANK(C82),"",(IF(OR($D$12="Consulting",$D$12="Digital - MarTech Consulting/Strategy")=TRUE,IFERROR(F82*(1+_xlfn.XLOOKUP(G82,'1. Project Inputs'!$I$35:$I$41,'1. Project Inputs'!$J$35:$J$41)),F82),IF(C82="E-Commerce",(_xlfn.XLOOKUP(G82,'Complexity Factors'!$B$12:$B$18,'Complexity Factors'!$C$12:$C$18)*2.9),IF(C82="Services/Integrations",_xlfn.XLOOKUP(G82,'Complexity Factors'!$D$12:$D$16,'Complexity Factors'!$E$12:$E$16)*_xlfn.XLOOKUP($D$18,'Complexity Factors'!$B$41:$B$44,'Complexity Factors'!$D$41:$D$44),IF(C82="UI",_xlfn.XLOOKUP(G82,'Complexity Factors'!$B$12:$B$18,'Complexity Factors'!$C$12:$C$18)*_xlfn.XLOOKUP($D$18,'Complexity Factors'!$B$41:$B$44,'Complexity Factors'!$D$41:$D$44),_xlfn.XLOOKUP(G82,'Complexity Factors'!$B$12:$B$18,'Complexity Factors'!$C$12:$C$18)*_xlfn.XLOOKUP($D$18,'Complexity Factors'!$B$41:$B$44,'Complexity Factors'!$C$41:$C$44))))))*(IF(TB.ScopeEstimation[[#This Row],[External Dependencies]]="",1,(1+_xlfn.XLOOKUP(K82,'Complexity Factors'!$B$24:$B$28,'Complexity Factors'!$C$24:$C$28))))),"")</f>
        <v/>
      </c>
      <c r="M82" s="758"/>
      <c r="N82" s="763"/>
      <c r="O82" s="763"/>
      <c r="P82" s="764">
        <f>IF(TB.ScopeEstimation[[#This Row],[Option 1]]="Yes",TB.ScopeEstimation[[#This Row],[Weighted Effort Days]],0)</f>
        <v>0</v>
      </c>
      <c r="Q82" s="764">
        <f>IF(TB.ScopeEstimation[[#This Row],[Option 2]]="Yes",TB.ScopeEstimation[[#This Row],[Weighted Effort Days]],0)</f>
        <v>0</v>
      </c>
      <c r="R82" s="764">
        <f>IF(TB.ScopeEstimation[[#This Row],[Option 3]]="Yes",TB.ScopeEstimation[[#This Row],[Weighted Effort Days]],0)</f>
        <v>0</v>
      </c>
      <c r="S82" s="755"/>
      <c r="T82" s="762"/>
      <c r="U82" s="202"/>
      <c r="V82" s="202"/>
    </row>
    <row r="83" spans="2:31" hidden="1" outlineLevel="1" x14ac:dyDescent="0.25">
      <c r="B83" s="288"/>
      <c r="C83" s="751"/>
      <c r="D83" s="756"/>
      <c r="E83" s="756"/>
      <c r="F83" s="758"/>
      <c r="G83" s="755"/>
      <c r="H83" s="755"/>
      <c r="I83" s="755"/>
      <c r="J83" s="755"/>
      <c r="K83" s="755"/>
      <c r="L83" s="832" t="str">
        <f>IFERROR(IF(ISBLANK(C83),"",(IF(OR($D$12="Consulting",$D$12="Digital - MarTech Consulting/Strategy")=TRUE,IFERROR(F83*(1+_xlfn.XLOOKUP(G83,'1. Project Inputs'!$I$35:$I$41,'1. Project Inputs'!$J$35:$J$41)),F83),IF(C83="E-Commerce",(_xlfn.XLOOKUP(G83,'Complexity Factors'!$B$12:$B$18,'Complexity Factors'!$C$12:$C$18)*2.9),IF(C83="Services/Integrations",_xlfn.XLOOKUP(G83,'Complexity Factors'!$D$12:$D$16,'Complexity Factors'!$E$12:$E$16)*_xlfn.XLOOKUP($D$18,'Complexity Factors'!$B$41:$B$44,'Complexity Factors'!$D$41:$D$44),IF(C83="UI",_xlfn.XLOOKUP(G83,'Complexity Factors'!$B$12:$B$18,'Complexity Factors'!$C$12:$C$18)*_xlfn.XLOOKUP($D$18,'Complexity Factors'!$B$41:$B$44,'Complexity Factors'!$D$41:$D$44),_xlfn.XLOOKUP(G83,'Complexity Factors'!$B$12:$B$18,'Complexity Factors'!$C$12:$C$18)*_xlfn.XLOOKUP($D$18,'Complexity Factors'!$B$41:$B$44,'Complexity Factors'!$C$41:$C$44))))))*(IF(TB.ScopeEstimation[[#This Row],[External Dependencies]]="",1,(1+_xlfn.XLOOKUP(K83,'Complexity Factors'!$B$24:$B$28,'Complexity Factors'!$C$24:$C$28))))),"")</f>
        <v/>
      </c>
      <c r="M83" s="758"/>
      <c r="N83" s="763"/>
      <c r="O83" s="763"/>
      <c r="P83" s="764">
        <f>IF(TB.ScopeEstimation[[#This Row],[Option 1]]="Yes",TB.ScopeEstimation[[#This Row],[Weighted Effort Days]],0)</f>
        <v>0</v>
      </c>
      <c r="Q83" s="764">
        <f>IF(TB.ScopeEstimation[[#This Row],[Option 2]]="Yes",TB.ScopeEstimation[[#This Row],[Weighted Effort Days]],0)</f>
        <v>0</v>
      </c>
      <c r="R83" s="764">
        <f>IF(TB.ScopeEstimation[[#This Row],[Option 3]]="Yes",TB.ScopeEstimation[[#This Row],[Weighted Effort Days]],0)</f>
        <v>0</v>
      </c>
      <c r="S83" s="755"/>
      <c r="T83" s="762"/>
      <c r="U83" s="201"/>
      <c r="V83" s="201"/>
    </row>
    <row r="84" spans="2:31" hidden="1" outlineLevel="1" x14ac:dyDescent="0.25">
      <c r="B84" s="288"/>
      <c r="C84" s="751"/>
      <c r="D84" s="756"/>
      <c r="E84" s="756"/>
      <c r="F84" s="758"/>
      <c r="G84" s="755"/>
      <c r="H84" s="755"/>
      <c r="I84" s="755"/>
      <c r="J84" s="755"/>
      <c r="K84" s="755"/>
      <c r="L84" s="832" t="str">
        <f>IFERROR(IF(ISBLANK(C84),"",(IF(OR($D$12="Consulting",$D$12="Digital - MarTech Consulting/Strategy")=TRUE,IFERROR(F84*(1+_xlfn.XLOOKUP(G84,'1. Project Inputs'!$I$35:$I$41,'1. Project Inputs'!$J$35:$J$41)),F84),IF(C84="E-Commerce",(_xlfn.XLOOKUP(G84,'Complexity Factors'!$B$12:$B$18,'Complexity Factors'!$C$12:$C$18)*2.9),IF(C84="Services/Integrations",_xlfn.XLOOKUP(G84,'Complexity Factors'!$D$12:$D$16,'Complexity Factors'!$E$12:$E$16)*_xlfn.XLOOKUP($D$18,'Complexity Factors'!$B$41:$B$44,'Complexity Factors'!$D$41:$D$44),IF(C84="UI",_xlfn.XLOOKUP(G84,'Complexity Factors'!$B$12:$B$18,'Complexity Factors'!$C$12:$C$18)*_xlfn.XLOOKUP($D$18,'Complexity Factors'!$B$41:$B$44,'Complexity Factors'!$D$41:$D$44),_xlfn.XLOOKUP(G84,'Complexity Factors'!$B$12:$B$18,'Complexity Factors'!$C$12:$C$18)*_xlfn.XLOOKUP($D$18,'Complexity Factors'!$B$41:$B$44,'Complexity Factors'!$C$41:$C$44))))))*(IF(TB.ScopeEstimation[[#This Row],[External Dependencies]]="",1,(1+_xlfn.XLOOKUP(K84,'Complexity Factors'!$B$24:$B$28,'Complexity Factors'!$C$24:$C$28))))),"")</f>
        <v/>
      </c>
      <c r="M84" s="758"/>
      <c r="N84" s="763"/>
      <c r="O84" s="763"/>
      <c r="P84" s="764">
        <f>IF(TB.ScopeEstimation[[#This Row],[Option 1]]="Yes",TB.ScopeEstimation[[#This Row],[Weighted Effort Days]],0)</f>
        <v>0</v>
      </c>
      <c r="Q84" s="764">
        <f>IF(TB.ScopeEstimation[[#This Row],[Option 2]]="Yes",TB.ScopeEstimation[[#This Row],[Weighted Effort Days]],0)</f>
        <v>0</v>
      </c>
      <c r="R84" s="764">
        <f>IF(TB.ScopeEstimation[[#This Row],[Option 3]]="Yes",TB.ScopeEstimation[[#This Row],[Weighted Effort Days]],0)</f>
        <v>0</v>
      </c>
      <c r="S84" s="755"/>
      <c r="T84" s="762"/>
      <c r="U84" s="201"/>
      <c r="V84" s="201"/>
    </row>
    <row r="85" spans="2:31" hidden="1" outlineLevel="1" x14ac:dyDescent="0.25">
      <c r="B85" s="288"/>
      <c r="C85" s="751"/>
      <c r="D85" s="756"/>
      <c r="E85" s="756"/>
      <c r="F85" s="758"/>
      <c r="G85" s="755"/>
      <c r="H85" s="755"/>
      <c r="I85" s="755"/>
      <c r="J85" s="755"/>
      <c r="K85" s="755"/>
      <c r="L85" s="832" t="str">
        <f>IFERROR(IF(ISBLANK(C85),"",(IF(OR($D$12="Consulting",$D$12="Digital - MarTech Consulting/Strategy")=TRUE,IFERROR(F85*(1+_xlfn.XLOOKUP(G85,'1. Project Inputs'!$I$35:$I$41,'1. Project Inputs'!$J$35:$J$41)),F85),IF(C85="E-Commerce",(_xlfn.XLOOKUP(G85,'Complexity Factors'!$B$12:$B$18,'Complexity Factors'!$C$12:$C$18)*2.9),IF(C85="Services/Integrations",_xlfn.XLOOKUP(G85,'Complexity Factors'!$D$12:$D$16,'Complexity Factors'!$E$12:$E$16)*_xlfn.XLOOKUP($D$18,'Complexity Factors'!$B$41:$B$44,'Complexity Factors'!$D$41:$D$44),IF(C85="UI",_xlfn.XLOOKUP(G85,'Complexity Factors'!$B$12:$B$18,'Complexity Factors'!$C$12:$C$18)*_xlfn.XLOOKUP($D$18,'Complexity Factors'!$B$41:$B$44,'Complexity Factors'!$D$41:$D$44),_xlfn.XLOOKUP(G85,'Complexity Factors'!$B$12:$B$18,'Complexity Factors'!$C$12:$C$18)*_xlfn.XLOOKUP($D$18,'Complexity Factors'!$B$41:$B$44,'Complexity Factors'!$C$41:$C$44))))))*(IF(TB.ScopeEstimation[[#This Row],[External Dependencies]]="",1,(1+_xlfn.XLOOKUP(K85,'Complexity Factors'!$B$24:$B$28,'Complexity Factors'!$C$24:$C$28))))),"")</f>
        <v/>
      </c>
      <c r="M85" s="758"/>
      <c r="N85" s="763"/>
      <c r="O85" s="763"/>
      <c r="P85" s="764">
        <f>IF(TB.ScopeEstimation[[#This Row],[Option 1]]="Yes",TB.ScopeEstimation[[#This Row],[Weighted Effort Days]],0)</f>
        <v>0</v>
      </c>
      <c r="Q85" s="764">
        <f>IF(TB.ScopeEstimation[[#This Row],[Option 2]]="Yes",TB.ScopeEstimation[[#This Row],[Weighted Effort Days]],0)</f>
        <v>0</v>
      </c>
      <c r="R85" s="764">
        <f>IF(TB.ScopeEstimation[[#This Row],[Option 3]]="Yes",TB.ScopeEstimation[[#This Row],[Weighted Effort Days]],0)</f>
        <v>0</v>
      </c>
      <c r="S85" s="755"/>
      <c r="T85" s="762"/>
      <c r="U85" s="201"/>
      <c r="V85" s="201"/>
    </row>
    <row r="86" spans="2:31" hidden="1" outlineLevel="1" x14ac:dyDescent="0.25">
      <c r="B86" s="288"/>
      <c r="C86" s="751"/>
      <c r="D86" s="756"/>
      <c r="E86" s="756"/>
      <c r="F86" s="758"/>
      <c r="G86" s="755"/>
      <c r="H86" s="755"/>
      <c r="I86" s="755"/>
      <c r="J86" s="755"/>
      <c r="K86" s="755"/>
      <c r="L86" s="832" t="str">
        <f>IFERROR(IF(ISBLANK(C86),"",(IF(OR($D$12="Consulting",$D$12="Digital - MarTech Consulting/Strategy")=TRUE,IFERROR(F86*(1+_xlfn.XLOOKUP(G86,'1. Project Inputs'!$I$35:$I$41,'1. Project Inputs'!$J$35:$J$41)),F86),IF(C86="E-Commerce",(_xlfn.XLOOKUP(G86,'Complexity Factors'!$B$12:$B$18,'Complexity Factors'!$C$12:$C$18)*2.9),IF(C86="Services/Integrations",_xlfn.XLOOKUP(G86,'Complexity Factors'!$D$12:$D$16,'Complexity Factors'!$E$12:$E$16)*_xlfn.XLOOKUP($D$18,'Complexity Factors'!$B$41:$B$44,'Complexity Factors'!$D$41:$D$44),IF(C86="UI",_xlfn.XLOOKUP(G86,'Complexity Factors'!$B$12:$B$18,'Complexity Factors'!$C$12:$C$18)*_xlfn.XLOOKUP($D$18,'Complexity Factors'!$B$41:$B$44,'Complexity Factors'!$D$41:$D$44),_xlfn.XLOOKUP(G86,'Complexity Factors'!$B$12:$B$18,'Complexity Factors'!$C$12:$C$18)*_xlfn.XLOOKUP($D$18,'Complexity Factors'!$B$41:$B$44,'Complexity Factors'!$C$41:$C$44))))))*(IF(TB.ScopeEstimation[[#This Row],[External Dependencies]]="",1,(1+_xlfn.XLOOKUP(K86,'Complexity Factors'!$B$24:$B$28,'Complexity Factors'!$C$24:$C$28))))),"")</f>
        <v/>
      </c>
      <c r="M86" s="758"/>
      <c r="N86" s="763"/>
      <c r="O86" s="763"/>
      <c r="P86" s="764">
        <f>IF(TB.ScopeEstimation[[#This Row],[Option 1]]="Yes",TB.ScopeEstimation[[#This Row],[Weighted Effort Days]],0)</f>
        <v>0</v>
      </c>
      <c r="Q86" s="764">
        <f>IF(TB.ScopeEstimation[[#This Row],[Option 2]]="Yes",TB.ScopeEstimation[[#This Row],[Weighted Effort Days]],0)</f>
        <v>0</v>
      </c>
      <c r="R86" s="764">
        <f>IF(TB.ScopeEstimation[[#This Row],[Option 3]]="Yes",TB.ScopeEstimation[[#This Row],[Weighted Effort Days]],0)</f>
        <v>0</v>
      </c>
      <c r="S86" s="755"/>
      <c r="T86" s="762"/>
      <c r="U86" s="202"/>
      <c r="V86" s="202"/>
    </row>
    <row r="87" spans="2:31" hidden="1" outlineLevel="1" x14ac:dyDescent="0.25">
      <c r="B87" s="288"/>
      <c r="C87" s="751"/>
      <c r="D87" s="756"/>
      <c r="E87" s="756"/>
      <c r="F87" s="758"/>
      <c r="G87" s="755"/>
      <c r="H87" s="755"/>
      <c r="I87" s="755"/>
      <c r="J87" s="755"/>
      <c r="K87" s="755"/>
      <c r="L87" s="832" t="str">
        <f>IFERROR(IF(ISBLANK(C87),"",(IF(OR($D$12="Consulting",$D$12="Digital - MarTech Consulting/Strategy")=TRUE,IFERROR(F87*(1+_xlfn.XLOOKUP(G87,'1. Project Inputs'!$I$35:$I$41,'1. Project Inputs'!$J$35:$J$41)),F87),IF(C87="E-Commerce",(_xlfn.XLOOKUP(G87,'Complexity Factors'!$B$12:$B$18,'Complexity Factors'!$C$12:$C$18)*2.9),IF(C87="Services/Integrations",_xlfn.XLOOKUP(G87,'Complexity Factors'!$D$12:$D$16,'Complexity Factors'!$E$12:$E$16)*_xlfn.XLOOKUP($D$18,'Complexity Factors'!$B$41:$B$44,'Complexity Factors'!$D$41:$D$44),IF(C87="UI",_xlfn.XLOOKUP(G87,'Complexity Factors'!$B$12:$B$18,'Complexity Factors'!$C$12:$C$18)*_xlfn.XLOOKUP($D$18,'Complexity Factors'!$B$41:$B$44,'Complexity Factors'!$D$41:$D$44),_xlfn.XLOOKUP(G87,'Complexity Factors'!$B$12:$B$18,'Complexity Factors'!$C$12:$C$18)*_xlfn.XLOOKUP($D$18,'Complexity Factors'!$B$41:$B$44,'Complexity Factors'!$C$41:$C$44))))))*(IF(TB.ScopeEstimation[[#This Row],[External Dependencies]]="",1,(1+_xlfn.XLOOKUP(K87,'Complexity Factors'!$B$24:$B$28,'Complexity Factors'!$C$24:$C$28))))),"")</f>
        <v/>
      </c>
      <c r="M87" s="758"/>
      <c r="N87" s="763"/>
      <c r="O87" s="763"/>
      <c r="P87" s="764">
        <f>IF(TB.ScopeEstimation[[#This Row],[Option 1]]="Yes",TB.ScopeEstimation[[#This Row],[Weighted Effort Days]],0)</f>
        <v>0</v>
      </c>
      <c r="Q87" s="764">
        <f>IF(TB.ScopeEstimation[[#This Row],[Option 2]]="Yes",TB.ScopeEstimation[[#This Row],[Weighted Effort Days]],0)</f>
        <v>0</v>
      </c>
      <c r="R87" s="764">
        <f>IF(TB.ScopeEstimation[[#This Row],[Option 3]]="Yes",TB.ScopeEstimation[[#This Row],[Weighted Effort Days]],0)</f>
        <v>0</v>
      </c>
      <c r="S87" s="755"/>
      <c r="T87" s="762"/>
      <c r="U87" s="201"/>
      <c r="V87" s="201"/>
    </row>
    <row r="88" spans="2:31" hidden="1" outlineLevel="1" x14ac:dyDescent="0.25">
      <c r="B88" s="288"/>
      <c r="C88" s="751"/>
      <c r="D88" s="756"/>
      <c r="E88" s="756"/>
      <c r="F88" s="758"/>
      <c r="G88" s="755"/>
      <c r="H88" s="755"/>
      <c r="I88" s="755"/>
      <c r="J88" s="755"/>
      <c r="K88" s="755"/>
      <c r="L88" s="832" t="str">
        <f>IFERROR(IF(ISBLANK(C88),"",(IF(OR($D$12="Consulting",$D$12="Digital - MarTech Consulting/Strategy")=TRUE,IFERROR(F88*(1+_xlfn.XLOOKUP(G88,'1. Project Inputs'!$I$35:$I$41,'1. Project Inputs'!$J$35:$J$41)),F88),IF(C88="E-Commerce",(_xlfn.XLOOKUP(G88,'Complexity Factors'!$B$12:$B$18,'Complexity Factors'!$C$12:$C$18)*2.9),IF(C88="Services/Integrations",_xlfn.XLOOKUP(G88,'Complexity Factors'!$D$12:$D$16,'Complexity Factors'!$E$12:$E$16)*_xlfn.XLOOKUP($D$18,'Complexity Factors'!$B$41:$B$44,'Complexity Factors'!$D$41:$D$44),IF(C88="UI",_xlfn.XLOOKUP(G88,'Complexity Factors'!$B$12:$B$18,'Complexity Factors'!$C$12:$C$18)*_xlfn.XLOOKUP($D$18,'Complexity Factors'!$B$41:$B$44,'Complexity Factors'!$D$41:$D$44),_xlfn.XLOOKUP(G88,'Complexity Factors'!$B$12:$B$18,'Complexity Factors'!$C$12:$C$18)*_xlfn.XLOOKUP($D$18,'Complexity Factors'!$B$41:$B$44,'Complexity Factors'!$C$41:$C$44))))))*(IF(TB.ScopeEstimation[[#This Row],[External Dependencies]]="",1,(1+_xlfn.XLOOKUP(K88,'Complexity Factors'!$B$24:$B$28,'Complexity Factors'!$C$24:$C$28))))),"")</f>
        <v/>
      </c>
      <c r="M88" s="758"/>
      <c r="N88" s="763"/>
      <c r="O88" s="763"/>
      <c r="P88" s="764">
        <f>IF(TB.ScopeEstimation[[#This Row],[Option 1]]="Yes",TB.ScopeEstimation[[#This Row],[Weighted Effort Days]],0)</f>
        <v>0</v>
      </c>
      <c r="Q88" s="764">
        <f>IF(TB.ScopeEstimation[[#This Row],[Option 2]]="Yes",TB.ScopeEstimation[[#This Row],[Weighted Effort Days]],0)</f>
        <v>0</v>
      </c>
      <c r="R88" s="764">
        <f>IF(TB.ScopeEstimation[[#This Row],[Option 3]]="Yes",TB.ScopeEstimation[[#This Row],[Weighted Effort Days]],0)</f>
        <v>0</v>
      </c>
      <c r="S88" s="755"/>
      <c r="T88" s="762"/>
      <c r="U88" s="201"/>
      <c r="V88" s="201"/>
    </row>
    <row r="89" spans="2:31" hidden="1" outlineLevel="1" x14ac:dyDescent="0.25">
      <c r="B89" s="288"/>
      <c r="C89" s="751"/>
      <c r="D89" s="756"/>
      <c r="E89" s="756"/>
      <c r="F89" s="758"/>
      <c r="G89" s="755"/>
      <c r="H89" s="755"/>
      <c r="I89" s="755"/>
      <c r="J89" s="755"/>
      <c r="K89" s="755"/>
      <c r="L89" s="832" t="str">
        <f>IFERROR(IF(ISBLANK(C89),"",(IF(OR($D$12="Consulting",$D$12="Digital - MarTech Consulting/Strategy")=TRUE,IFERROR(F89*(1+_xlfn.XLOOKUP(G89,'1. Project Inputs'!$I$35:$I$41,'1. Project Inputs'!$J$35:$J$41)),F89),IF(C89="E-Commerce",(_xlfn.XLOOKUP(G89,'Complexity Factors'!$B$12:$B$18,'Complexity Factors'!$C$12:$C$18)*2.9),IF(C89="Services/Integrations",_xlfn.XLOOKUP(G89,'Complexity Factors'!$D$12:$D$16,'Complexity Factors'!$E$12:$E$16)*_xlfn.XLOOKUP($D$18,'Complexity Factors'!$B$41:$B$44,'Complexity Factors'!$D$41:$D$44),IF(C89="UI",_xlfn.XLOOKUP(G89,'Complexity Factors'!$B$12:$B$18,'Complexity Factors'!$C$12:$C$18)*_xlfn.XLOOKUP($D$18,'Complexity Factors'!$B$41:$B$44,'Complexity Factors'!$D$41:$D$44),_xlfn.XLOOKUP(G89,'Complexity Factors'!$B$12:$B$18,'Complexity Factors'!$C$12:$C$18)*_xlfn.XLOOKUP($D$18,'Complexity Factors'!$B$41:$B$44,'Complexity Factors'!$C$41:$C$44))))))*(IF(TB.ScopeEstimation[[#This Row],[External Dependencies]]="",1,(1+_xlfn.XLOOKUP(K89,'Complexity Factors'!$B$24:$B$28,'Complexity Factors'!$C$24:$C$28))))),"")</f>
        <v/>
      </c>
      <c r="M89" s="758"/>
      <c r="N89" s="763"/>
      <c r="O89" s="763"/>
      <c r="P89" s="764">
        <f>IF(TB.ScopeEstimation[[#This Row],[Option 1]]="Yes",TB.ScopeEstimation[[#This Row],[Weighted Effort Days]],0)</f>
        <v>0</v>
      </c>
      <c r="Q89" s="764">
        <f>IF(TB.ScopeEstimation[[#This Row],[Option 2]]="Yes",TB.ScopeEstimation[[#This Row],[Weighted Effort Days]],0)</f>
        <v>0</v>
      </c>
      <c r="R89" s="764">
        <f>IF(TB.ScopeEstimation[[#This Row],[Option 3]]="Yes",TB.ScopeEstimation[[#This Row],[Weighted Effort Days]],0)</f>
        <v>0</v>
      </c>
      <c r="S89" s="755"/>
      <c r="T89" s="762"/>
      <c r="U89" s="201"/>
      <c r="V89" s="201"/>
    </row>
    <row r="90" spans="2:31" hidden="1" outlineLevel="1" x14ac:dyDescent="0.25">
      <c r="B90" s="288"/>
      <c r="C90" s="751"/>
      <c r="D90" s="756"/>
      <c r="E90" s="756"/>
      <c r="F90" s="758"/>
      <c r="G90" s="755"/>
      <c r="H90" s="755"/>
      <c r="I90" s="755"/>
      <c r="J90" s="755"/>
      <c r="K90" s="755"/>
      <c r="L90" s="832" t="str">
        <f>IFERROR(IF(ISBLANK(C90),"",(IF(OR($D$12="Consulting",$D$12="Digital - MarTech Consulting/Strategy")=TRUE,IFERROR(F90*(1+_xlfn.XLOOKUP(G90,'1. Project Inputs'!$I$35:$I$41,'1. Project Inputs'!$J$35:$J$41)),F90),IF(C90="E-Commerce",(_xlfn.XLOOKUP(G90,'Complexity Factors'!$B$12:$B$18,'Complexity Factors'!$C$12:$C$18)*2.9),IF(C90="Services/Integrations",_xlfn.XLOOKUP(G90,'Complexity Factors'!$D$12:$D$16,'Complexity Factors'!$E$12:$E$16)*_xlfn.XLOOKUP($D$18,'Complexity Factors'!$B$41:$B$44,'Complexity Factors'!$D$41:$D$44),IF(C90="UI",_xlfn.XLOOKUP(G90,'Complexity Factors'!$B$12:$B$18,'Complexity Factors'!$C$12:$C$18)*_xlfn.XLOOKUP($D$18,'Complexity Factors'!$B$41:$B$44,'Complexity Factors'!$D$41:$D$44),_xlfn.XLOOKUP(G90,'Complexity Factors'!$B$12:$B$18,'Complexity Factors'!$C$12:$C$18)*_xlfn.XLOOKUP($D$18,'Complexity Factors'!$B$41:$B$44,'Complexity Factors'!$C$41:$C$44))))))*(IF(TB.ScopeEstimation[[#This Row],[External Dependencies]]="",1,(1+_xlfn.XLOOKUP(K90,'Complexity Factors'!$B$24:$B$28,'Complexity Factors'!$C$24:$C$28))))),"")</f>
        <v/>
      </c>
      <c r="M90" s="758"/>
      <c r="N90" s="763"/>
      <c r="O90" s="763"/>
      <c r="P90" s="764">
        <f>IF(TB.ScopeEstimation[[#This Row],[Option 1]]="Yes",TB.ScopeEstimation[[#This Row],[Weighted Effort Days]],0)</f>
        <v>0</v>
      </c>
      <c r="Q90" s="764">
        <f>IF(TB.ScopeEstimation[[#This Row],[Option 2]]="Yes",TB.ScopeEstimation[[#This Row],[Weighted Effort Days]],0)</f>
        <v>0</v>
      </c>
      <c r="R90" s="764">
        <f>IF(TB.ScopeEstimation[[#This Row],[Option 3]]="Yes",TB.ScopeEstimation[[#This Row],[Weighted Effort Days]],0)</f>
        <v>0</v>
      </c>
      <c r="S90" s="755"/>
      <c r="T90" s="762"/>
      <c r="U90" s="201"/>
      <c r="V90" s="201"/>
    </row>
    <row r="91" spans="2:31" hidden="1" outlineLevel="1" x14ac:dyDescent="0.25">
      <c r="B91" s="288"/>
      <c r="C91" s="751"/>
      <c r="D91" s="756"/>
      <c r="E91" s="756"/>
      <c r="F91" s="758"/>
      <c r="G91" s="755"/>
      <c r="H91" s="755"/>
      <c r="I91" s="755"/>
      <c r="J91" s="755"/>
      <c r="K91" s="755"/>
      <c r="L91" s="832" t="str">
        <f>IFERROR(IF(ISBLANK(C91),"",(IF(OR($D$12="Consulting",$D$12="Digital - MarTech Consulting/Strategy")=TRUE,IFERROR(F91*(1+_xlfn.XLOOKUP(G91,'1. Project Inputs'!$I$35:$I$41,'1. Project Inputs'!$J$35:$J$41)),F91),IF(C91="E-Commerce",(_xlfn.XLOOKUP(G91,'Complexity Factors'!$B$12:$B$18,'Complexity Factors'!$C$12:$C$18)*2.9),IF(C91="Services/Integrations",_xlfn.XLOOKUP(G91,'Complexity Factors'!$D$12:$D$16,'Complexity Factors'!$E$12:$E$16)*_xlfn.XLOOKUP($D$18,'Complexity Factors'!$B$41:$B$44,'Complexity Factors'!$D$41:$D$44),IF(C91="UI",_xlfn.XLOOKUP(G91,'Complexity Factors'!$B$12:$B$18,'Complexity Factors'!$C$12:$C$18)*_xlfn.XLOOKUP($D$18,'Complexity Factors'!$B$41:$B$44,'Complexity Factors'!$D$41:$D$44),_xlfn.XLOOKUP(G91,'Complexity Factors'!$B$12:$B$18,'Complexity Factors'!$C$12:$C$18)*_xlfn.XLOOKUP($D$18,'Complexity Factors'!$B$41:$B$44,'Complexity Factors'!$C$41:$C$44))))))*(IF(TB.ScopeEstimation[[#This Row],[External Dependencies]]="",1,(1+_xlfn.XLOOKUP(K91,'Complexity Factors'!$B$24:$B$28,'Complexity Factors'!$C$24:$C$28))))),"")</f>
        <v/>
      </c>
      <c r="M91" s="758"/>
      <c r="N91" s="763"/>
      <c r="O91" s="763"/>
      <c r="P91" s="764">
        <f>IF(TB.ScopeEstimation[[#This Row],[Option 1]]="Yes",TB.ScopeEstimation[[#This Row],[Weighted Effort Days]],0)</f>
        <v>0</v>
      </c>
      <c r="Q91" s="764">
        <f>IF(TB.ScopeEstimation[[#This Row],[Option 2]]="Yes",TB.ScopeEstimation[[#This Row],[Weighted Effort Days]],0)</f>
        <v>0</v>
      </c>
      <c r="R91" s="764">
        <f>IF(TB.ScopeEstimation[[#This Row],[Option 3]]="Yes",TB.ScopeEstimation[[#This Row],[Weighted Effort Days]],0)</f>
        <v>0</v>
      </c>
      <c r="S91" s="755"/>
      <c r="T91" s="762"/>
      <c r="U91" s="201"/>
      <c r="V91" s="201"/>
    </row>
    <row r="92" spans="2:31" hidden="1" outlineLevel="1" x14ac:dyDescent="0.25">
      <c r="B92" s="288" t="s">
        <v>172</v>
      </c>
      <c r="C92" s="751"/>
      <c r="D92" s="756"/>
      <c r="E92" s="756"/>
      <c r="F92" s="758"/>
      <c r="G92" s="755"/>
      <c r="H92" s="755"/>
      <c r="I92" s="755"/>
      <c r="J92" s="755"/>
      <c r="K92" s="755"/>
      <c r="L92" s="832" t="str">
        <f>IFERROR(IF(ISBLANK(C92),"",(IF(OR($D$12="Consulting",$D$12="Digital - MarTech Consulting/Strategy")=TRUE,IFERROR(F92*(1+_xlfn.XLOOKUP(G92,'1. Project Inputs'!$I$35:$I$41,'1. Project Inputs'!$J$35:$J$41)),F92),IF(C92="E-Commerce",(_xlfn.XLOOKUP(G92,'Complexity Factors'!$B$12:$B$18,'Complexity Factors'!$C$12:$C$18)*2.9),IF(C92="Services/Integrations",_xlfn.XLOOKUP(G92,'Complexity Factors'!$D$12:$D$16,'Complexity Factors'!$E$12:$E$16)*_xlfn.XLOOKUP($D$18,'Complexity Factors'!$B$41:$B$44,'Complexity Factors'!$D$41:$D$44),IF(C92="UI",_xlfn.XLOOKUP(G92,'Complexity Factors'!$B$12:$B$18,'Complexity Factors'!$C$12:$C$18)*_xlfn.XLOOKUP($D$18,'Complexity Factors'!$B$41:$B$44,'Complexity Factors'!$D$41:$D$44),_xlfn.XLOOKUP(G92,'Complexity Factors'!$B$12:$B$18,'Complexity Factors'!$C$12:$C$18)*_xlfn.XLOOKUP($D$18,'Complexity Factors'!$B$41:$B$44,'Complexity Factors'!$C$41:$C$44))))))*(IF(TB.ScopeEstimation[[#This Row],[External Dependencies]]="",1,(1+_xlfn.XLOOKUP(K92,'Complexity Factors'!$B$24:$B$28,'Complexity Factors'!$C$24:$C$28))))),"")</f>
        <v/>
      </c>
      <c r="M92" s="758"/>
      <c r="N92" s="763"/>
      <c r="O92" s="763"/>
      <c r="P92" s="764">
        <f>IF(TB.ScopeEstimation[[#This Row],[Option 1]]="Yes",TB.ScopeEstimation[[#This Row],[Weighted Effort Days]],0)</f>
        <v>0</v>
      </c>
      <c r="Q92" s="764">
        <f>IF(TB.ScopeEstimation[[#This Row],[Option 2]]="Yes",TB.ScopeEstimation[[#This Row],[Weighted Effort Days]],0)</f>
        <v>0</v>
      </c>
      <c r="R92" s="764">
        <f>IF(TB.ScopeEstimation[[#This Row],[Option 3]]="Yes",TB.ScopeEstimation[[#This Row],[Weighted Effort Days]],0)</f>
        <v>0</v>
      </c>
      <c r="S92" s="755"/>
      <c r="T92" s="762"/>
      <c r="U92" s="201"/>
      <c r="V92" s="201"/>
    </row>
    <row r="93" spans="2:31" hidden="1" outlineLevel="1" x14ac:dyDescent="0.25">
      <c r="B93" s="288" t="s">
        <v>172</v>
      </c>
      <c r="C93" s="751"/>
      <c r="D93" s="756"/>
      <c r="E93" s="756"/>
      <c r="F93" s="758"/>
      <c r="G93" s="755"/>
      <c r="H93" s="755"/>
      <c r="I93" s="755"/>
      <c r="J93" s="755"/>
      <c r="K93" s="755"/>
      <c r="L93" s="832" t="str">
        <f>IFERROR(IF(ISBLANK(C93),"",(IF(OR($D$12="Consulting",$D$12="Digital - MarTech Consulting/Strategy")=TRUE,IFERROR(F93*(1+_xlfn.XLOOKUP(G93,'1. Project Inputs'!$I$35:$I$41,'1. Project Inputs'!$J$35:$J$41)),F93),IF(C93="E-Commerce",(_xlfn.XLOOKUP(G93,'Complexity Factors'!$B$12:$B$18,'Complexity Factors'!$C$12:$C$18)*2.9),IF(C93="Services/Integrations",_xlfn.XLOOKUP(G93,'Complexity Factors'!$D$12:$D$16,'Complexity Factors'!$E$12:$E$16)*_xlfn.XLOOKUP($D$18,'Complexity Factors'!$B$41:$B$44,'Complexity Factors'!$D$41:$D$44),IF(C93="UI",_xlfn.XLOOKUP(G93,'Complexity Factors'!$B$12:$B$18,'Complexity Factors'!$C$12:$C$18)*_xlfn.XLOOKUP($D$18,'Complexity Factors'!$B$41:$B$44,'Complexity Factors'!$D$41:$D$44),_xlfn.XLOOKUP(G93,'Complexity Factors'!$B$12:$B$18,'Complexity Factors'!$C$12:$C$18)*_xlfn.XLOOKUP($D$18,'Complexity Factors'!$B$41:$B$44,'Complexity Factors'!$C$41:$C$44))))))*(IF(TB.ScopeEstimation[[#This Row],[External Dependencies]]="",1,(1+_xlfn.XLOOKUP(K93,'Complexity Factors'!$B$24:$B$28,'Complexity Factors'!$C$24:$C$28))))),"")</f>
        <v/>
      </c>
      <c r="M93" s="758"/>
      <c r="N93" s="763"/>
      <c r="O93" s="763"/>
      <c r="P93" s="764">
        <f>IF(TB.ScopeEstimation[[#This Row],[Option 1]]="Yes",TB.ScopeEstimation[[#This Row],[Weighted Effort Days]],0)</f>
        <v>0</v>
      </c>
      <c r="Q93" s="764">
        <f>IF(TB.ScopeEstimation[[#This Row],[Option 2]]="Yes",TB.ScopeEstimation[[#This Row],[Weighted Effort Days]],0)</f>
        <v>0</v>
      </c>
      <c r="R93" s="764">
        <f>IF(TB.ScopeEstimation[[#This Row],[Option 3]]="Yes",TB.ScopeEstimation[[#This Row],[Weighted Effort Days]],0)</f>
        <v>0</v>
      </c>
      <c r="S93" s="755"/>
      <c r="T93" s="762"/>
      <c r="U93" s="201"/>
      <c r="V93" s="201"/>
    </row>
    <row r="94" spans="2:31" hidden="1" outlineLevel="1" x14ac:dyDescent="0.25">
      <c r="B94" s="288" t="s">
        <v>172</v>
      </c>
      <c r="C94" s="751"/>
      <c r="D94" s="756"/>
      <c r="E94" s="756"/>
      <c r="F94" s="758"/>
      <c r="G94" s="755"/>
      <c r="H94" s="755"/>
      <c r="I94" s="755"/>
      <c r="J94" s="755"/>
      <c r="K94" s="755"/>
      <c r="L94" s="832" t="str">
        <f>IFERROR(IF(ISBLANK(C94),"",(IF(OR($D$12="Consulting",$D$12="Digital - MarTech Consulting/Strategy")=TRUE,IFERROR(F94*(1+_xlfn.XLOOKUP(G94,'1. Project Inputs'!$I$35:$I$41,'1. Project Inputs'!$J$35:$J$41)),F94),IF(C94="E-Commerce",(_xlfn.XLOOKUP(G94,'Complexity Factors'!$B$12:$B$18,'Complexity Factors'!$C$12:$C$18)*2.9),IF(C94="Services/Integrations",_xlfn.XLOOKUP(G94,'Complexity Factors'!$D$12:$D$16,'Complexity Factors'!$E$12:$E$16)*_xlfn.XLOOKUP($D$18,'Complexity Factors'!$B$41:$B$44,'Complexity Factors'!$D$41:$D$44),IF(C94="UI",_xlfn.XLOOKUP(G94,'Complexity Factors'!$B$12:$B$18,'Complexity Factors'!$C$12:$C$18)*_xlfn.XLOOKUP($D$18,'Complexity Factors'!$B$41:$B$44,'Complexity Factors'!$D$41:$D$44),_xlfn.XLOOKUP(G94,'Complexity Factors'!$B$12:$B$18,'Complexity Factors'!$C$12:$C$18)*_xlfn.XLOOKUP($D$18,'Complexity Factors'!$B$41:$B$44,'Complexity Factors'!$C$41:$C$44))))))*(IF(TB.ScopeEstimation[[#This Row],[External Dependencies]]="",1,(1+_xlfn.XLOOKUP(K94,'Complexity Factors'!$B$24:$B$28,'Complexity Factors'!$C$24:$C$28))))),"")</f>
        <v/>
      </c>
      <c r="M94" s="758"/>
      <c r="N94" s="763"/>
      <c r="O94" s="763"/>
      <c r="P94" s="764">
        <f>IF(TB.ScopeEstimation[[#This Row],[Option 1]]="Yes",TB.ScopeEstimation[[#This Row],[Weighted Effort Days]],0)</f>
        <v>0</v>
      </c>
      <c r="Q94" s="764">
        <f>IF(TB.ScopeEstimation[[#This Row],[Option 2]]="Yes",TB.ScopeEstimation[[#This Row],[Weighted Effort Days]],0)</f>
        <v>0</v>
      </c>
      <c r="R94" s="764">
        <f>IF(TB.ScopeEstimation[[#This Row],[Option 3]]="Yes",TB.ScopeEstimation[[#This Row],[Weighted Effort Days]],0)</f>
        <v>0</v>
      </c>
      <c r="S94" s="755"/>
      <c r="T94" s="762"/>
      <c r="U94" s="201"/>
      <c r="V94" s="201"/>
    </row>
    <row r="95" spans="2:31" ht="14.4" hidden="1" outlineLevel="1" thickBot="1" x14ac:dyDescent="0.3">
      <c r="B95" s="289" t="s">
        <v>172</v>
      </c>
      <c r="C95" s="765"/>
      <c r="D95" s="766"/>
      <c r="E95" s="766"/>
      <c r="F95" s="767"/>
      <c r="G95" s="768"/>
      <c r="H95" s="768"/>
      <c r="I95" s="768"/>
      <c r="J95" s="768"/>
      <c r="K95" s="768"/>
      <c r="L95" s="832" t="str">
        <f>IFERROR(IF(ISBLANK(C95),"",(IF(OR($D$12="Consulting",$D$12="Digital - MarTech Consulting/Strategy")=TRUE,IFERROR(F95*(1+_xlfn.XLOOKUP(G95,'1. Project Inputs'!$I$35:$I$41,'1. Project Inputs'!$J$35:$J$41)),F95),IF(C95="E-Commerce",(_xlfn.XLOOKUP(G95,'Complexity Factors'!$B$12:$B$18,'Complexity Factors'!$C$12:$C$18)*2.9),IF(C95="Services/Integrations",_xlfn.XLOOKUP(G95,'Complexity Factors'!$D$12:$D$16,'Complexity Factors'!$E$12:$E$16)*_xlfn.XLOOKUP($D$18,'Complexity Factors'!$B$41:$B$44,'Complexity Factors'!$D$41:$D$44),IF(C95="UI",_xlfn.XLOOKUP(G95,'Complexity Factors'!$B$12:$B$18,'Complexity Factors'!$C$12:$C$18)*_xlfn.XLOOKUP($D$18,'Complexity Factors'!$B$41:$B$44,'Complexity Factors'!$D$41:$D$44),_xlfn.XLOOKUP(G95,'Complexity Factors'!$B$12:$B$18,'Complexity Factors'!$C$12:$C$18)*_xlfn.XLOOKUP($D$18,'Complexity Factors'!$B$41:$B$44,'Complexity Factors'!$C$41:$C$44))))))*(IF(TB.ScopeEstimation[[#This Row],[External Dependencies]]="",1,(1+_xlfn.XLOOKUP(K95,'Complexity Factors'!$B$24:$B$28,'Complexity Factors'!$C$24:$C$28))))),"")</f>
        <v/>
      </c>
      <c r="M95" s="767"/>
      <c r="N95" s="769"/>
      <c r="O95" s="769"/>
      <c r="P95" s="770">
        <f>IF(TB.ScopeEstimation[[#This Row],[Option 1]]="Yes",TB.ScopeEstimation[[#This Row],[Weighted Effort Days]],0)</f>
        <v>0</v>
      </c>
      <c r="Q95" s="770">
        <f>IF(TB.ScopeEstimation[[#This Row],[Option 2]]="Yes",TB.ScopeEstimation[[#This Row],[Weighted Effort Days]],0)</f>
        <v>0</v>
      </c>
      <c r="R95" s="770">
        <f>IF(TB.ScopeEstimation[[#This Row],[Option 3]]="Yes",TB.ScopeEstimation[[#This Row],[Weighted Effort Days]],0)</f>
        <v>0</v>
      </c>
      <c r="S95" s="768"/>
      <c r="T95" s="771"/>
      <c r="U95" s="201"/>
      <c r="V95" s="201"/>
    </row>
    <row r="96" spans="2:31" collapsed="1" x14ac:dyDescent="0.25">
      <c r="O96" s="355"/>
      <c r="P96" s="355"/>
      <c r="Q96" s="355"/>
      <c r="R96" s="355"/>
      <c r="S96" s="15"/>
      <c r="T96" s="15"/>
    </row>
    <row r="97" spans="3:21" ht="25.05" customHeight="1" x14ac:dyDescent="0.25">
      <c r="C97" s="1018" t="s">
        <v>173</v>
      </c>
      <c r="D97" s="977"/>
      <c r="E97" s="991"/>
      <c r="F97" s="986"/>
      <c r="G97" s="987"/>
      <c r="H97" s="987"/>
      <c r="I97" s="987"/>
      <c r="J97" s="987"/>
      <c r="K97" s="977"/>
      <c r="L97" s="977"/>
      <c r="M97" s="992"/>
      <c r="N97" s="993"/>
      <c r="O97" s="993"/>
      <c r="P97" s="993"/>
      <c r="Q97" s="993"/>
      <c r="R97" s="993"/>
      <c r="S97" s="977"/>
      <c r="T97" s="977"/>
      <c r="U97" s="988"/>
    </row>
    <row r="99" spans="3:21" ht="14.4" thickBot="1" x14ac:dyDescent="0.3">
      <c r="C99" s="148"/>
      <c r="D99" s="23"/>
      <c r="E99" s="11"/>
      <c r="G99" s="813"/>
      <c r="H99" s="813"/>
      <c r="I99" s="813"/>
      <c r="J99" s="813"/>
      <c r="K99" s="171"/>
      <c r="L99" s="171"/>
      <c r="M99" s="203"/>
      <c r="N99" s="814"/>
      <c r="O99" s="814"/>
      <c r="P99" s="814"/>
      <c r="Q99" s="814"/>
      <c r="R99" s="814"/>
      <c r="S99" s="171"/>
      <c r="T99" s="171"/>
    </row>
    <row r="100" spans="3:21" ht="16.2" thickBot="1" x14ac:dyDescent="0.35">
      <c r="C100" s="1770" t="s">
        <v>174</v>
      </c>
      <c r="D100" s="1771"/>
      <c r="E100" s="1772"/>
      <c r="G100" s="94"/>
      <c r="H100" s="94"/>
      <c r="I100" s="94"/>
      <c r="J100" s="94"/>
      <c r="K100" s="94"/>
      <c r="L100" s="94"/>
      <c r="M100" s="94"/>
      <c r="N100" s="815"/>
      <c r="O100" s="814"/>
      <c r="P100" s="814"/>
      <c r="Q100" s="814"/>
      <c r="R100" s="814"/>
      <c r="S100" s="171"/>
      <c r="T100" s="171"/>
    </row>
    <row r="101" spans="3:21" x14ac:dyDescent="0.25">
      <c r="C101" s="416" t="s">
        <v>175</v>
      </c>
      <c r="D101" s="412">
        <f>'Optional - Scope Options Review'!D51/8</f>
        <v>0</v>
      </c>
      <c r="E101" s="419"/>
      <c r="G101" s="816"/>
      <c r="H101" s="816"/>
      <c r="I101" s="816"/>
      <c r="J101" s="816"/>
      <c r="K101" s="817"/>
      <c r="L101" s="817"/>
      <c r="M101" s="818"/>
      <c r="N101" s="430"/>
      <c r="O101" s="814"/>
      <c r="P101" s="814"/>
      <c r="Q101" s="814"/>
      <c r="R101" s="814"/>
      <c r="S101" s="171"/>
      <c r="T101" s="171"/>
    </row>
    <row r="102" spans="3:21" ht="14.4" x14ac:dyDescent="0.3">
      <c r="C102" s="417" t="str">
        <f>IF($D$12="Consulting",CONCATENATE(G7," Total Days"),CONCATENATE('Standard Rate Cards'!Y9," Development Days"))</f>
        <v>UX Design Total Days</v>
      </c>
      <c r="D102" s="413">
        <f>IFERROR(IF($D$12="Consulting",SUMIFS(L$35:L$95,C$35:$C$95,G7),SUMIFS(L$35:$L$95,C$35:$C$95,'Standard Rate Cards'!Y9))," ")</f>
        <v>54</v>
      </c>
      <c r="E102" s="420" t="s">
        <v>176</v>
      </c>
      <c r="G102" s="816"/>
      <c r="H102" s="816"/>
      <c r="I102" s="816"/>
      <c r="J102" s="816"/>
      <c r="K102" s="817"/>
      <c r="L102" s="817"/>
      <c r="M102" s="818"/>
      <c r="N102" s="211"/>
      <c r="O102" s="814"/>
      <c r="P102" s="814"/>
      <c r="Q102" s="814"/>
      <c r="R102" s="814"/>
      <c r="S102" s="171"/>
      <c r="T102" s="171"/>
    </row>
    <row r="103" spans="3:21" ht="14.4" x14ac:dyDescent="0.3">
      <c r="C103" s="417" t="str">
        <f>IF($D$12="Consulting",CONCATENATE(G8," Total Days"),CONCATENATE('Standard Rate Cards'!Y10," Development Days"))</f>
        <v>Coding Total Days</v>
      </c>
      <c r="D103" s="413">
        <f>IFERROR(IF($D$12="Consulting",SUMIFS(L$35:L$95,C$35:$C$95,G8),SUMIFS(L$35:$L$95,C$35:$C$95,'Standard Rate Cards'!Y10))," ")</f>
        <v>53</v>
      </c>
      <c r="E103" s="420" t="s">
        <v>176</v>
      </c>
      <c r="G103" s="816"/>
      <c r="H103" s="816"/>
      <c r="I103" s="816"/>
      <c r="J103" s="816"/>
      <c r="K103" s="817"/>
      <c r="L103" s="817"/>
      <c r="M103" s="818"/>
      <c r="N103" s="211"/>
      <c r="O103" s="814"/>
      <c r="P103" s="814"/>
      <c r="Q103" s="814"/>
      <c r="R103" s="814"/>
      <c r="S103" s="171"/>
      <c r="T103" s="171"/>
    </row>
    <row r="104" spans="3:21" ht="14.4" x14ac:dyDescent="0.3">
      <c r="C104" s="417" t="str">
        <f>IF($D$12="Consulting",CONCATENATE(G9," Total Days"),CONCATENATE('Standard Rate Cards'!Y11," Development Days"))</f>
        <v>delivery stuff Total Days</v>
      </c>
      <c r="D104" s="413">
        <f>IFERROR(IF($D$12="Consulting",SUMIFS(L$35:L$95,C$35:$C$95,G9),SUMIFS(L$35:$L$95,C$35:$C$95,'Standard Rate Cards'!Y11))," ")</f>
        <v>3</v>
      </c>
      <c r="E104" s="662" t="s">
        <v>176</v>
      </c>
      <c r="G104" s="816"/>
      <c r="H104" s="816"/>
      <c r="I104" s="816"/>
      <c r="J104" s="816"/>
      <c r="K104" s="817"/>
      <c r="L104" s="817"/>
      <c r="M104" s="818"/>
      <c r="N104" s="211"/>
      <c r="O104" s="814"/>
      <c r="P104" s="814"/>
      <c r="Q104" s="814"/>
      <c r="R104" s="814"/>
      <c r="S104" s="171"/>
      <c r="T104" s="171"/>
    </row>
    <row r="105" spans="3:21" ht="14.4" x14ac:dyDescent="0.3">
      <c r="C105" s="417" t="str">
        <f>IF($D$12="Consulting",CONCATENATE(G10," Total Days"),CONCATENATE('Standard Rate Cards'!Y12," Development Days"))</f>
        <v>other bucket Total Days</v>
      </c>
      <c r="D105" s="413">
        <f>IFERROR(IF($D$12="Consulting",SUMIFS(L$35:L$95,C$35:$C$95,G10),SUMIFS(L$35:$L$95,C$35:$C$95,'Standard Rate Cards'!Y12))," ")</f>
        <v>0</v>
      </c>
      <c r="E105" s="420" t="s">
        <v>176</v>
      </c>
      <c r="G105" s="816"/>
      <c r="H105" s="816"/>
      <c r="I105" s="816"/>
      <c r="J105" s="816"/>
      <c r="K105" s="817"/>
      <c r="L105" s="817"/>
      <c r="M105" s="818"/>
      <c r="N105" s="211"/>
      <c r="O105" s="814"/>
      <c r="P105" s="814"/>
      <c r="Q105" s="814"/>
      <c r="R105" s="814"/>
      <c r="S105" s="171"/>
      <c r="T105" s="171"/>
    </row>
    <row r="106" spans="3:21" ht="14.4" x14ac:dyDescent="0.3">
      <c r="C106" s="417" t="str">
        <f>IF($D$12="Consulting",CONCATENATE(G11," Total Days"),CONCATENATE('Standard Rate Cards'!Y13," Development Days"))</f>
        <v>qa work Total Days</v>
      </c>
      <c r="D106" s="413">
        <f>IFERROR(IF($D$12="Consulting",SUMIFS(L$35:L$95,C$35:$C$95,G11),SUMIFS(L$35:$L$95,C$35:$C$95,'Standard Rate Cards'!Y13))," ")</f>
        <v>4</v>
      </c>
      <c r="E106" s="420" t="s">
        <v>176</v>
      </c>
      <c r="F106" s="294"/>
      <c r="G106" s="816"/>
      <c r="H106" s="816"/>
      <c r="I106" s="816"/>
      <c r="J106" s="816"/>
      <c r="K106" s="817"/>
      <c r="L106" s="817"/>
      <c r="M106" s="818"/>
      <c r="N106" s="211"/>
      <c r="O106" s="814"/>
      <c r="P106" s="814"/>
      <c r="Q106" s="814"/>
      <c r="R106" s="814"/>
      <c r="S106" s="171"/>
      <c r="T106" s="171"/>
    </row>
    <row r="107" spans="3:21" x14ac:dyDescent="0.25">
      <c r="C107" s="417" t="str">
        <f>IF($D$12="Consulting",CONCATENATE(G12," Total Days"),CONCATENATE('Standard Rate Cards'!Y10," Unit Testing Days"))</f>
        <v>finishing touches Total Days</v>
      </c>
      <c r="D107" s="413">
        <f>IFERROR(IF($D$12="Consulting",SUMIFS(L$35:L$95,C$35:$C$95,G12),D103*'Complexity Factors'!$G$74)," ")</f>
        <v>0</v>
      </c>
      <c r="E107" s="420" t="s">
        <v>176</v>
      </c>
      <c r="G107" s="816"/>
      <c r="H107" s="816"/>
      <c r="I107" s="816"/>
      <c r="J107" s="816"/>
      <c r="K107" s="819"/>
      <c r="L107" s="820"/>
      <c r="M107" s="820"/>
      <c r="N107" s="212"/>
      <c r="O107" s="814"/>
      <c r="P107" s="814"/>
      <c r="Q107" s="814"/>
      <c r="R107" s="814"/>
      <c r="S107" s="171"/>
      <c r="T107" s="171"/>
    </row>
    <row r="108" spans="3:21" x14ac:dyDescent="0.25">
      <c r="C108" s="417" t="str">
        <f>IF($D$12="Consulting",CONCATENATE(G13," Total Days"),CONCATENATE('Standard Rate Cards'!Y11," Unit Testing Days"))</f>
        <v>[Estimated Bucket 7] Total Days</v>
      </c>
      <c r="D108" s="413">
        <f>IFERROR(IF($D$12="Consulting",SUMIFS(L$35:L$95,C$35:$C$95,G13),D104*'Complexity Factors'!$G$74)," ")</f>
        <v>0</v>
      </c>
      <c r="E108" s="420" t="s">
        <v>176</v>
      </c>
      <c r="G108" s="816"/>
      <c r="H108" s="816"/>
      <c r="I108" s="816"/>
      <c r="J108" s="816"/>
      <c r="K108" s="430"/>
      <c r="L108" s="212"/>
      <c r="M108" s="212"/>
      <c r="N108" s="212"/>
      <c r="O108" s="821"/>
      <c r="P108" s="821"/>
      <c r="Q108" s="821"/>
      <c r="R108" s="821"/>
      <c r="S108" s="171"/>
      <c r="T108" s="171"/>
    </row>
    <row r="109" spans="3:21" x14ac:dyDescent="0.25">
      <c r="C109" s="417" t="str">
        <f>IF($D$12="Consulting",CONCATENATE(G14," Total Days"),CONCATENATE('Standard Rate Cards'!Y12," Unit Testing Days"))</f>
        <v>[Estimated Bucket 8] Total Days</v>
      </c>
      <c r="D109" s="413">
        <f>IFERROR(IF($D$12="Consulting",SUMIFS(L$35:L$95,C$35:$C$95,G14),D105*'Complexity Factors'!$G$74)," ")</f>
        <v>0</v>
      </c>
      <c r="E109" s="420" t="s">
        <v>176</v>
      </c>
      <c r="G109" s="816"/>
      <c r="H109" s="816"/>
      <c r="I109" s="816"/>
      <c r="J109" s="816"/>
      <c r="K109" s="822"/>
      <c r="L109" s="823"/>
      <c r="M109" s="823"/>
      <c r="N109" s="823"/>
      <c r="O109" s="823"/>
      <c r="P109" s="823"/>
      <c r="Q109" s="823"/>
      <c r="R109" s="823"/>
      <c r="S109" s="171"/>
      <c r="T109" s="171"/>
    </row>
    <row r="110" spans="3:21" ht="16.8" x14ac:dyDescent="0.3">
      <c r="C110" s="417" t="str">
        <f>IF($D$12="Consulting",CONCATENATE(G15," Total Days"),CONCATENATE('Standard Rate Cards'!Y13," Unit Testing Days"))</f>
        <v>[Estimated Bucket 9] Total Days</v>
      </c>
      <c r="D110" s="413">
        <f>IFERROR(IF($D$12="Consulting",SUMIFS(L$35:L$95,C$35:$C$95,G15),D106*'Complexity Factors'!$G$74)," ")</f>
        <v>0</v>
      </c>
      <c r="E110" s="420" t="s">
        <v>176</v>
      </c>
      <c r="G110" s="816"/>
      <c r="H110" s="816"/>
      <c r="I110" s="816"/>
      <c r="J110" s="816"/>
      <c r="K110" s="824"/>
      <c r="L110" s="825"/>
      <c r="M110" s="825"/>
      <c r="N110" s="826"/>
      <c r="O110" s="211"/>
      <c r="P110" s="211"/>
      <c r="Q110" s="211"/>
      <c r="R110" s="211"/>
      <c r="S110" s="171"/>
      <c r="T110" s="171"/>
    </row>
    <row r="111" spans="3:21" ht="14.4" x14ac:dyDescent="0.3">
      <c r="C111" s="417" t="str">
        <f>IF($D$12="Consulting",CONCATENATE(G16," Total Days"),"")</f>
        <v>[Estimated Bucket 10] Total Days</v>
      </c>
      <c r="D111" s="413">
        <f>IFERROR(IF($D$12="Consulting",SUMIFS(L$35:L$95,C$35:$C$95,G16),"")," ")</f>
        <v>0</v>
      </c>
      <c r="E111" s="420" t="s">
        <v>176</v>
      </c>
      <c r="G111" s="811"/>
      <c r="H111" s="811"/>
      <c r="I111" s="811"/>
      <c r="J111" s="811"/>
      <c r="K111" s="433"/>
      <c r="L111" s="316"/>
      <c r="M111" s="434"/>
      <c r="N111" s="211"/>
      <c r="O111" s="211"/>
      <c r="P111" s="211"/>
      <c r="Q111" s="211"/>
      <c r="R111" s="211"/>
      <c r="S111" s="171"/>
      <c r="T111" s="171"/>
    </row>
    <row r="112" spans="3:21" ht="14.25" customHeight="1" x14ac:dyDescent="0.3">
      <c r="C112" s="417" t="str">
        <f>IF($D$12="Consulting",CONCATENATE(G17," Total Days"),"Total Dev Days")</f>
        <v>[Estimated Bucket 11] Total Days</v>
      </c>
      <c r="D112" s="413">
        <f>IFERROR(IF($D$12="Consulting",SUMIFS(L$35:L$95,C$35:$C$95,G17),SUM(D102:D110))," ")</f>
        <v>0</v>
      </c>
      <c r="E112" s="420" t="s">
        <v>176</v>
      </c>
      <c r="G112" s="211"/>
      <c r="H112" s="211"/>
      <c r="I112" s="211"/>
      <c r="J112" s="211"/>
      <c r="K112" s="430"/>
      <c r="L112" s="316"/>
      <c r="M112" s="430"/>
      <c r="N112" s="430"/>
      <c r="O112" s="211"/>
      <c r="P112" s="211"/>
      <c r="Q112" s="211"/>
      <c r="R112" s="211"/>
      <c r="S112" s="171"/>
      <c r="T112" s="171"/>
    </row>
    <row r="113" spans="3:20" ht="17.399999999999999" thickBot="1" x14ac:dyDescent="0.35">
      <c r="C113" s="417" t="str">
        <f>IF($D$12="Consulting",CONCATENATE(G18," Total Days"),"Total QA Days")</f>
        <v>[Estimated Bucket 12] Total Days</v>
      </c>
      <c r="D113" s="414">
        <f>IFERROR(IF($D$12="Consulting",SUMIFS(L$35:L$95,C$35:$C$95,G18),IFERROR(_xlfn.XLOOKUP('1. Project Inputs'!G14,'Complexity Factors'!B66:B70,'Complexity Factors'!D66:D70)*SUM('Optional - Scope Estimation'!D106:D110,'Optional - Scope Estimation'!D102:D104),"Select QA Intensity"))," ")</f>
        <v>0</v>
      </c>
      <c r="E113" s="421" t="s">
        <v>176</v>
      </c>
      <c r="G113" s="827"/>
      <c r="H113" s="827"/>
      <c r="I113" s="827"/>
      <c r="J113" s="827"/>
      <c r="K113" s="824"/>
      <c r="L113" s="825"/>
      <c r="M113" s="824"/>
      <c r="N113" s="828"/>
      <c r="O113" s="211"/>
      <c r="P113" s="211"/>
      <c r="Q113" s="211"/>
      <c r="R113" s="211"/>
      <c r="S113" s="171"/>
      <c r="T113" s="171"/>
    </row>
    <row r="114" spans="3:20" ht="15" thickTop="1" thickBot="1" x14ac:dyDescent="0.3">
      <c r="C114" s="418" t="s">
        <v>177</v>
      </c>
      <c r="D114" s="415">
        <f>IFERROR(SUM(D101:D113),"Need Bucket Estimates")</f>
        <v>114</v>
      </c>
      <c r="E114" s="422" t="s">
        <v>176</v>
      </c>
      <c r="G114" s="813"/>
      <c r="H114" s="813"/>
      <c r="I114" s="813"/>
      <c r="J114" s="827"/>
      <c r="K114" s="430"/>
      <c r="L114" s="430"/>
      <c r="M114" s="434"/>
      <c r="N114" s="821"/>
      <c r="O114" s="821"/>
      <c r="P114" s="821"/>
      <c r="Q114" s="821"/>
      <c r="R114" s="821"/>
      <c r="S114" s="171"/>
      <c r="T114" s="171"/>
    </row>
    <row r="115" spans="3:20" x14ac:dyDescent="0.25">
      <c r="G115" s="813"/>
      <c r="H115" s="813"/>
      <c r="I115" s="813"/>
      <c r="J115" s="827"/>
      <c r="K115" s="430"/>
      <c r="L115" s="430"/>
      <c r="M115" s="434"/>
      <c r="N115" s="821"/>
      <c r="O115" s="821"/>
      <c r="P115" s="821"/>
      <c r="Q115" s="821"/>
      <c r="R115" s="821"/>
      <c r="S115" s="171"/>
      <c r="T115" s="171"/>
    </row>
    <row r="116" spans="3:20" x14ac:dyDescent="0.25">
      <c r="D116" s="23"/>
      <c r="E116" s="11"/>
      <c r="G116" s="813"/>
      <c r="H116" s="813"/>
      <c r="I116" s="813"/>
      <c r="J116" s="827"/>
      <c r="K116" s="430"/>
      <c r="L116" s="430"/>
      <c r="M116" s="434"/>
      <c r="N116" s="821"/>
      <c r="O116" s="821"/>
      <c r="P116" s="821"/>
      <c r="Q116" s="821"/>
      <c r="R116" s="821"/>
      <c r="S116" s="171"/>
      <c r="T116" s="171"/>
    </row>
    <row r="117" spans="3:20" ht="22.05" customHeight="1" thickBot="1" x14ac:dyDescent="0.3">
      <c r="C117" s="549" t="s">
        <v>178</v>
      </c>
      <c r="G117" s="813"/>
      <c r="H117" s="813"/>
      <c r="I117" s="813"/>
      <c r="J117" s="813"/>
      <c r="K117" s="171"/>
      <c r="L117" s="171"/>
      <c r="M117" s="203"/>
      <c r="N117" s="814"/>
      <c r="O117" s="814"/>
      <c r="P117" s="814"/>
      <c r="Q117" s="814"/>
      <c r="R117" s="814"/>
      <c r="S117" s="171"/>
      <c r="T117" s="171"/>
    </row>
    <row r="118" spans="3:20" ht="16.2" thickBot="1" x14ac:dyDescent="0.35">
      <c r="C118" s="1752" t="s">
        <v>179</v>
      </c>
      <c r="D118" s="1753"/>
      <c r="E118" s="1753"/>
      <c r="F118" s="1754"/>
      <c r="G118" s="829" t="str">
        <f>IF(C120="Select","","Bucket Totals")</f>
        <v>Bucket Totals</v>
      </c>
      <c r="H118" s="813"/>
      <c r="I118" s="813"/>
      <c r="J118" s="813"/>
      <c r="K118" s="830"/>
      <c r="L118" s="316"/>
      <c r="M118" s="316"/>
      <c r="N118" s="211"/>
      <c r="O118" s="212"/>
      <c r="P118" s="212"/>
      <c r="Q118" s="212"/>
      <c r="R118" s="212"/>
      <c r="S118" s="171"/>
      <c r="T118" s="171"/>
    </row>
    <row r="119" spans="3:20" ht="15" thickTop="1" thickBot="1" x14ac:dyDescent="0.3">
      <c r="C119" s="540" t="s">
        <v>180</v>
      </c>
      <c r="D119" s="541" t="s">
        <v>181</v>
      </c>
      <c r="E119" s="542" t="s">
        <v>162</v>
      </c>
      <c r="F119" s="543" t="s">
        <v>182</v>
      </c>
      <c r="G119" s="813" t="str">
        <f>IF($C$120="Select","","UX")</f>
        <v>UX</v>
      </c>
      <c r="H119" s="813"/>
      <c r="I119" s="813"/>
      <c r="J119" s="813"/>
      <c r="K119" s="831" t="str">
        <f>CONCATENATE("   ",IF(COUNTIF($C$120:$C$133,G119)&gt;0,ROUNDUP(SUMIFS($F$120:$F$133,$C$120:$C$133,G119),0),""))</f>
        <v xml:space="preserve">   5</v>
      </c>
      <c r="L119" s="171"/>
      <c r="M119" s="203"/>
      <c r="N119" s="814"/>
      <c r="O119" s="814"/>
      <c r="P119" s="814"/>
      <c r="Q119" s="814"/>
      <c r="R119" s="814"/>
      <c r="S119" s="171"/>
      <c r="T119" s="171"/>
    </row>
    <row r="120" spans="3:20" x14ac:dyDescent="0.25">
      <c r="C120" s="772" t="s">
        <v>416</v>
      </c>
      <c r="D120" s="773">
        <v>10</v>
      </c>
      <c r="E120" s="774" t="s">
        <v>100</v>
      </c>
      <c r="F120" s="775">
        <v>5</v>
      </c>
      <c r="G120" s="813" t="str">
        <f>IF($C$120="Select","","UI")</f>
        <v>UI</v>
      </c>
      <c r="H120" s="813"/>
      <c r="I120" s="813"/>
      <c r="J120" s="813"/>
      <c r="K120" s="831" t="str">
        <f>CONCATENATE("   ",IF(COUNTIF($C$120:$C$133,G120)&gt;0,ROUNDUP(SUMIFS($F$120:$F$133,$C$120:$C$133,G120),0),""))</f>
        <v xml:space="preserve">   </v>
      </c>
      <c r="L120" s="171"/>
      <c r="M120" s="203"/>
      <c r="N120" s="814"/>
      <c r="O120" s="814"/>
      <c r="P120" s="814"/>
      <c r="Q120" s="814"/>
      <c r="R120" s="814"/>
      <c r="S120" s="171"/>
      <c r="T120" s="171"/>
    </row>
    <row r="121" spans="3:20" x14ac:dyDescent="0.25">
      <c r="C121" s="772" t="s">
        <v>72</v>
      </c>
      <c r="D121" s="773" t="s">
        <v>10</v>
      </c>
      <c r="E121" s="774"/>
      <c r="F121" s="775" t="str">
        <f>IFERROR(IF(C121="E-Commerce",(_xlfn.XLOOKUP(E121,'Complexity Factors'!$B$12:$B$18,'Complexity Factors'!$C$12:$C$18)*2.9),IF(C121="Services/Integrations",_xlfn.XLOOKUP(E121,'Complexity Factors'!$D$12:$D$16,'Complexity Factors'!$E$12:$E$16)*_xlfn.XLOOKUP($D$18,'Complexity Factors'!$B$41:$B$44,'Complexity Factors'!$D$41:$D$44),IF(C121="UI",_xlfn.XLOOKUP(E121,'Complexity Factors'!$B$12:$B$18,'Complexity Factors'!$C$12:$C$18)*_xlfn.XLOOKUP($D$18,'Complexity Factors'!$B$41:$B$44,'Complexity Factors'!$D$41:$D$44),_xlfn.XLOOKUP(E121,'Complexity Factors'!$B$12:$B$18,'Complexity Factors'!$C$12:$C$18)*_xlfn.XLOOKUP($D$18,'Complexity Factors'!$B$41:$B$44,'Complexity Factors'!$C$41:$C$44))))*D121,"Enter Component Quantity")</f>
        <v>Enter Component Quantity</v>
      </c>
      <c r="G121" s="813" t="str">
        <f>IF($C$120="Select","","E-Commerce")</f>
        <v>E-Commerce</v>
      </c>
      <c r="H121" s="813"/>
      <c r="I121" s="813"/>
      <c r="J121" s="813"/>
      <c r="K121" s="831" t="str">
        <f>CONCATENATE("   ",IF(COUNTIF($C$120:$C$133,G121)&gt;0,ROUNDUP(SUMIFS($F$120:$F$133,$C$120:$C$133,G121),0),""))</f>
        <v xml:space="preserve">   </v>
      </c>
      <c r="L121" s="171"/>
      <c r="M121" s="203"/>
      <c r="N121" s="814"/>
      <c r="O121" s="814"/>
      <c r="P121" s="814"/>
      <c r="Q121" s="814"/>
      <c r="R121" s="814"/>
      <c r="S121" s="171"/>
      <c r="T121" s="171"/>
    </row>
    <row r="122" spans="3:20" x14ac:dyDescent="0.25">
      <c r="C122" s="772" t="s">
        <v>72</v>
      </c>
      <c r="D122" s="773" t="s">
        <v>10</v>
      </c>
      <c r="E122" s="774"/>
      <c r="F122" s="775" t="str">
        <f>IFERROR(IF(C122="E-Commerce",(_xlfn.XLOOKUP(E122,'Complexity Factors'!$B$12:$B$18,'Complexity Factors'!$C$12:$C$18)*2.9),IF(C122="Services/Integrations",_xlfn.XLOOKUP(E122,'Complexity Factors'!$D$12:$D$16,'Complexity Factors'!$E$12:$E$16)*_xlfn.XLOOKUP($D$18,'Complexity Factors'!$B$41:$B$44,'Complexity Factors'!$D$41:$D$44),IF(C122="UI",_xlfn.XLOOKUP(E122,'Complexity Factors'!$B$12:$B$18,'Complexity Factors'!$C$12:$C$18)*_xlfn.XLOOKUP($D$18,'Complexity Factors'!$B$41:$B$44,'Complexity Factors'!$D$41:$D$44),_xlfn.XLOOKUP(E122,'Complexity Factors'!$B$12:$B$18,'Complexity Factors'!$C$12:$C$18)*_xlfn.XLOOKUP($D$18,'Complexity Factors'!$B$41:$B$44,'Complexity Factors'!$C$41:$C$44))))*D122,"Enter Component Quantity")</f>
        <v>Enter Component Quantity</v>
      </c>
      <c r="G122" s="813" t="str">
        <f>IF($C$120="Select","","CMS + Web Integration")</f>
        <v>CMS + Web Integration</v>
      </c>
      <c r="H122" s="813"/>
      <c r="I122" s="813"/>
      <c r="J122" s="813"/>
      <c r="K122" s="831" t="str">
        <f>CONCATENATE("   ",IF(COUNTIF($C$120:$C$133,G122)&gt;0,ROUNDUP(SUMIFS($F$120:$F$133,$C$120:$C$133,G122),0),""))</f>
        <v xml:space="preserve">   </v>
      </c>
      <c r="L122" s="171"/>
      <c r="M122" s="203"/>
      <c r="N122" s="814"/>
      <c r="O122" s="814"/>
      <c r="P122" s="814"/>
      <c r="Q122" s="814"/>
      <c r="R122" s="814"/>
      <c r="S122" s="171"/>
      <c r="T122" s="171"/>
    </row>
    <row r="123" spans="3:20" x14ac:dyDescent="0.25">
      <c r="C123" s="772" t="s">
        <v>72</v>
      </c>
      <c r="D123" s="773" t="s">
        <v>10</v>
      </c>
      <c r="E123" s="774"/>
      <c r="F123" s="775" t="str">
        <f>IFERROR(IF(C123="E-Commerce",(_xlfn.XLOOKUP(E123,'Complexity Factors'!$B$12:$B$18,'Complexity Factors'!$C$12:$C$18)*2.9),IF(C123="Services/Integrations",_xlfn.XLOOKUP(E123,'Complexity Factors'!$D$12:$D$16,'Complexity Factors'!$E$12:$E$16)*_xlfn.XLOOKUP($D$18,'Complexity Factors'!$B$41:$B$44,'Complexity Factors'!$D$41:$D$44),IF(C123="UI",_xlfn.XLOOKUP(E123,'Complexity Factors'!$B$12:$B$18,'Complexity Factors'!$C$12:$C$18)*_xlfn.XLOOKUP($D$18,'Complexity Factors'!$B$41:$B$44,'Complexity Factors'!$D$41:$D$44),_xlfn.XLOOKUP(E123,'Complexity Factors'!$B$12:$B$18,'Complexity Factors'!$C$12:$C$18)*_xlfn.XLOOKUP($D$18,'Complexity Factors'!$B$41:$B$44,'Complexity Factors'!$C$41:$C$44))))*D123,"Enter Component Quantity")</f>
        <v>Enter Component Quantity</v>
      </c>
      <c r="G123" s="813" t="str">
        <f>IF($C$120="Select","","Services/Integrations")</f>
        <v>Services/Integrations</v>
      </c>
      <c r="H123" s="813"/>
      <c r="I123" s="813"/>
      <c r="J123" s="813"/>
      <c r="K123" s="831" t="str">
        <f>CONCATENATE("   ",IF(COUNTIF($C$120:$C$133,G123)&gt;0,ROUNDUP(SUMIFS($F$120:$F$133,$C$120:$C$133,G123),0),""))</f>
        <v xml:space="preserve">   </v>
      </c>
      <c r="L123" s="171"/>
      <c r="M123" s="203"/>
      <c r="N123" s="814"/>
      <c r="O123" s="814"/>
      <c r="P123" s="814"/>
      <c r="Q123" s="814"/>
      <c r="R123" s="814"/>
      <c r="S123" s="171"/>
      <c r="T123" s="171"/>
    </row>
    <row r="124" spans="3:20" x14ac:dyDescent="0.25">
      <c r="C124" s="772" t="s">
        <v>72</v>
      </c>
      <c r="D124" s="773" t="s">
        <v>10</v>
      </c>
      <c r="E124" s="774"/>
      <c r="F124" s="775" t="str">
        <f>IFERROR(IF(C124="E-Commerce",(_xlfn.XLOOKUP(E124,'Complexity Factors'!$B$12:$B$18,'Complexity Factors'!$C$12:$C$18)*2.9),IF(C124="Services/Integrations",_xlfn.XLOOKUP(E124,'Complexity Factors'!$D$12:$D$16,'Complexity Factors'!$E$12:$E$16)*_xlfn.XLOOKUP($D$18,'Complexity Factors'!$B$41:$B$44,'Complexity Factors'!$D$41:$D$44),IF(C124="UI",_xlfn.XLOOKUP(E124,'Complexity Factors'!$B$12:$B$18,'Complexity Factors'!$C$12:$C$18)*_xlfn.XLOOKUP($D$18,'Complexity Factors'!$B$41:$B$44,'Complexity Factors'!$D$41:$D$44),_xlfn.XLOOKUP(E124,'Complexity Factors'!$B$12:$B$18,'Complexity Factors'!$C$12:$C$18)*_xlfn.XLOOKUP($D$18,'Complexity Factors'!$B$41:$B$44,'Complexity Factors'!$C$41:$C$44))))*D124,"Enter Component Quantity")</f>
        <v>Enter Component Quantity</v>
      </c>
      <c r="G124" s="813"/>
      <c r="H124" s="813"/>
      <c r="I124" s="813"/>
      <c r="J124" s="813"/>
      <c r="K124" s="171"/>
      <c r="L124" s="171"/>
      <c r="M124" s="203"/>
      <c r="N124" s="814"/>
      <c r="O124" s="814"/>
      <c r="P124" s="814"/>
      <c r="Q124" s="814"/>
      <c r="R124" s="814"/>
      <c r="S124" s="171"/>
      <c r="T124" s="171"/>
    </row>
    <row r="125" spans="3:20" x14ac:dyDescent="0.25">
      <c r="C125" s="772" t="s">
        <v>72</v>
      </c>
      <c r="D125" s="773" t="s">
        <v>10</v>
      </c>
      <c r="E125" s="774"/>
      <c r="F125" s="775" t="str">
        <f>IFERROR(IF(C125="E-Commerce",(_xlfn.XLOOKUP(E125,'Complexity Factors'!$B$12:$B$18,'Complexity Factors'!$C$12:$C$18)*2.9),IF(C125="Services/Integrations",_xlfn.XLOOKUP(E125,'Complexity Factors'!$D$12:$D$16,'Complexity Factors'!$E$12:$E$16)*_xlfn.XLOOKUP($D$18,'Complexity Factors'!$B$41:$B$44,'Complexity Factors'!$D$41:$D$44),IF(C125="UI",_xlfn.XLOOKUP(E125,'Complexity Factors'!$B$12:$B$18,'Complexity Factors'!$C$12:$C$18)*_xlfn.XLOOKUP($D$18,'Complexity Factors'!$B$41:$B$44,'Complexity Factors'!$D$41:$D$44),_xlfn.XLOOKUP(E125,'Complexity Factors'!$B$12:$B$18,'Complexity Factors'!$C$12:$C$18)*_xlfn.XLOOKUP($D$18,'Complexity Factors'!$B$41:$B$44,'Complexity Factors'!$C$41:$C$44))))*D125,"Enter Component Quantity")</f>
        <v>Enter Component Quantity</v>
      </c>
      <c r="G125" s="813"/>
      <c r="H125" s="813"/>
      <c r="I125" s="813"/>
      <c r="J125" s="813"/>
      <c r="K125" s="171"/>
      <c r="L125" s="171"/>
      <c r="M125" s="203"/>
      <c r="N125" s="814"/>
      <c r="O125" s="814"/>
      <c r="P125" s="814"/>
      <c r="Q125" s="814"/>
      <c r="R125" s="814"/>
      <c r="S125" s="171"/>
      <c r="T125" s="171"/>
    </row>
    <row r="126" spans="3:20" x14ac:dyDescent="0.25">
      <c r="C126" s="772" t="s">
        <v>72</v>
      </c>
      <c r="D126" s="773" t="s">
        <v>10</v>
      </c>
      <c r="E126" s="774"/>
      <c r="F126" s="775" t="str">
        <f>IFERROR(IF(C126="E-Commerce",(_xlfn.XLOOKUP(E126,'Complexity Factors'!$B$12:$B$18,'Complexity Factors'!$C$12:$C$18)*2.9),IF(C126="Services/Integrations",_xlfn.XLOOKUP(E126,'Complexity Factors'!$D$12:$D$16,'Complexity Factors'!$E$12:$E$16)*_xlfn.XLOOKUP($D$18,'Complexity Factors'!$B$41:$B$44,'Complexity Factors'!$D$41:$D$44),IF(C126="UI",_xlfn.XLOOKUP(E126,'Complexity Factors'!$B$12:$B$18,'Complexity Factors'!$C$12:$C$18)*_xlfn.XLOOKUP($D$18,'Complexity Factors'!$B$41:$B$44,'Complexity Factors'!$D$41:$D$44),_xlfn.XLOOKUP(E126,'Complexity Factors'!$B$12:$B$18,'Complexity Factors'!$C$12:$C$18)*_xlfn.XLOOKUP($D$18,'Complexity Factors'!$B$41:$B$44,'Complexity Factors'!$C$41:$C$44))))*D126,"Enter Component Quantity")</f>
        <v>Enter Component Quantity</v>
      </c>
      <c r="G126" s="813"/>
      <c r="H126" s="813"/>
      <c r="I126" s="813"/>
      <c r="J126" s="813"/>
      <c r="K126" s="171"/>
      <c r="L126" s="171"/>
      <c r="M126" s="203"/>
      <c r="N126" s="814"/>
      <c r="O126" s="814"/>
      <c r="P126" s="814"/>
      <c r="Q126" s="814"/>
      <c r="R126" s="814"/>
      <c r="S126" s="171"/>
      <c r="T126" s="171"/>
    </row>
    <row r="127" spans="3:20" x14ac:dyDescent="0.25">
      <c r="C127" s="772" t="s">
        <v>72</v>
      </c>
      <c r="D127" s="773" t="s">
        <v>10</v>
      </c>
      <c r="E127" s="774"/>
      <c r="F127" s="775" t="str">
        <f>IFERROR(IF(C127="E-Commerce",(_xlfn.XLOOKUP(E127,'Complexity Factors'!$B$12:$B$18,'Complexity Factors'!$C$12:$C$18)*2.9),IF(C127="Services/Integrations",_xlfn.XLOOKUP(E127,'Complexity Factors'!$D$12:$D$16,'Complexity Factors'!$E$12:$E$16)*_xlfn.XLOOKUP($D$18,'Complexity Factors'!$B$41:$B$44,'Complexity Factors'!$D$41:$D$44),IF(C127="UI",_xlfn.XLOOKUP(E127,'Complexity Factors'!$B$12:$B$18,'Complexity Factors'!$C$12:$C$18)*_xlfn.XLOOKUP($D$18,'Complexity Factors'!$B$41:$B$44,'Complexity Factors'!$D$41:$D$44),_xlfn.XLOOKUP(E127,'Complexity Factors'!$B$12:$B$18,'Complexity Factors'!$C$12:$C$18)*_xlfn.XLOOKUP($D$18,'Complexity Factors'!$B$41:$B$44,'Complexity Factors'!$C$41:$C$44))))*D127,"Enter Component Quantity")</f>
        <v>Enter Component Quantity</v>
      </c>
      <c r="G127" s="813"/>
      <c r="H127" s="813"/>
      <c r="I127" s="813"/>
      <c r="J127" s="813"/>
      <c r="K127" s="171"/>
      <c r="L127" s="171"/>
      <c r="M127" s="203"/>
      <c r="N127" s="814"/>
      <c r="O127" s="814"/>
      <c r="P127" s="814"/>
      <c r="Q127" s="814"/>
      <c r="R127" s="814"/>
      <c r="S127" s="171"/>
      <c r="T127" s="171"/>
    </row>
    <row r="128" spans="3:20" x14ac:dyDescent="0.25">
      <c r="C128" s="772" t="s">
        <v>72</v>
      </c>
      <c r="D128" s="773" t="s">
        <v>10</v>
      </c>
      <c r="E128" s="774"/>
      <c r="F128" s="775" t="str">
        <f>IFERROR(IF(C128="E-Commerce",(_xlfn.XLOOKUP(E128,'Complexity Factors'!$B$12:$B$18,'Complexity Factors'!$C$12:$C$18)*2.9),IF(C128="Services/Integrations",_xlfn.XLOOKUP(E128,'Complexity Factors'!$D$12:$D$16,'Complexity Factors'!$E$12:$E$16)*_xlfn.XLOOKUP($D$18,'Complexity Factors'!$B$41:$B$44,'Complexity Factors'!$D$41:$D$44),IF(C128="UI",_xlfn.XLOOKUP(E128,'Complexity Factors'!$B$12:$B$18,'Complexity Factors'!$C$12:$C$18)*_xlfn.XLOOKUP($D$18,'Complexity Factors'!$B$41:$B$44,'Complexity Factors'!$D$41:$D$44),_xlfn.XLOOKUP(E128,'Complexity Factors'!$B$12:$B$18,'Complexity Factors'!$C$12:$C$18)*_xlfn.XLOOKUP($D$18,'Complexity Factors'!$B$41:$B$44,'Complexity Factors'!$C$41:$C$44))))*D128,"Enter Component Quantity")</f>
        <v>Enter Component Quantity</v>
      </c>
      <c r="G128" s="813"/>
      <c r="H128" s="813"/>
      <c r="I128" s="813"/>
      <c r="J128" s="813"/>
      <c r="K128" s="171"/>
      <c r="L128" s="171"/>
      <c r="M128" s="203"/>
      <c r="N128" s="814"/>
      <c r="O128" s="814"/>
      <c r="P128" s="814"/>
      <c r="Q128" s="814"/>
      <c r="R128" s="814"/>
      <c r="S128" s="171"/>
      <c r="T128" s="171"/>
    </row>
    <row r="129" spans="3:20" x14ac:dyDescent="0.25">
      <c r="C129" s="772" t="s">
        <v>72</v>
      </c>
      <c r="D129" s="773" t="s">
        <v>10</v>
      </c>
      <c r="E129" s="774"/>
      <c r="F129" s="775" t="str">
        <f>IFERROR(IF(C129="E-Commerce",(_xlfn.XLOOKUP(E129,'Complexity Factors'!$B$12:$B$18,'Complexity Factors'!$C$12:$C$18)*2.9),IF(C129="Services/Integrations",_xlfn.XLOOKUP(E129,'Complexity Factors'!$D$12:$D$16,'Complexity Factors'!$E$12:$E$16)*_xlfn.XLOOKUP($D$18,'Complexity Factors'!$B$41:$B$44,'Complexity Factors'!$D$41:$D$44),IF(C129="UI",_xlfn.XLOOKUP(E129,'Complexity Factors'!$B$12:$B$18,'Complexity Factors'!$C$12:$C$18)*_xlfn.XLOOKUP($D$18,'Complexity Factors'!$B$41:$B$44,'Complexity Factors'!$D$41:$D$44),_xlfn.XLOOKUP(E129,'Complexity Factors'!$B$12:$B$18,'Complexity Factors'!$C$12:$C$18)*_xlfn.XLOOKUP($D$18,'Complexity Factors'!$B$41:$B$44,'Complexity Factors'!$C$41:$C$44))))*D129,"Enter Component Quantity")</f>
        <v>Enter Component Quantity</v>
      </c>
      <c r="G129" s="813"/>
      <c r="H129" s="813"/>
      <c r="I129" s="813"/>
      <c r="J129" s="813"/>
      <c r="K129" s="171"/>
      <c r="L129" s="171"/>
      <c r="M129" s="203"/>
      <c r="N129" s="814"/>
      <c r="O129" s="814"/>
      <c r="P129" s="814"/>
      <c r="Q129" s="814"/>
      <c r="R129" s="814"/>
      <c r="S129" s="171"/>
      <c r="T129" s="171"/>
    </row>
    <row r="130" spans="3:20" x14ac:dyDescent="0.25">
      <c r="C130" s="772" t="s">
        <v>72</v>
      </c>
      <c r="D130" s="773" t="s">
        <v>10</v>
      </c>
      <c r="E130" s="774"/>
      <c r="F130" s="775" t="str">
        <f>IFERROR(IF(C130="E-Commerce",(_xlfn.XLOOKUP(E130,'Complexity Factors'!$B$12:$B$18,'Complexity Factors'!$C$12:$C$18)*2.9),IF(C130="Services/Integrations",_xlfn.XLOOKUP(E130,'Complexity Factors'!$D$12:$D$16,'Complexity Factors'!$E$12:$E$16)*_xlfn.XLOOKUP($D$18,'Complexity Factors'!$B$41:$B$44,'Complexity Factors'!$D$41:$D$44),IF(C130="UI",_xlfn.XLOOKUP(E130,'Complexity Factors'!$B$12:$B$18,'Complexity Factors'!$C$12:$C$18)*_xlfn.XLOOKUP($D$18,'Complexity Factors'!$B$41:$B$44,'Complexity Factors'!$D$41:$D$44),_xlfn.XLOOKUP(E130,'Complexity Factors'!$B$12:$B$18,'Complexity Factors'!$C$12:$C$18)*_xlfn.XLOOKUP($D$18,'Complexity Factors'!$B$41:$B$44,'Complexity Factors'!$C$41:$C$44))))*D130,"Enter Component Quantity")</f>
        <v>Enter Component Quantity</v>
      </c>
      <c r="G130" s="813"/>
      <c r="H130" s="813"/>
      <c r="I130" s="813"/>
      <c r="J130" s="813"/>
      <c r="K130" s="171"/>
      <c r="L130" s="171"/>
      <c r="M130" s="203"/>
      <c r="N130" s="814"/>
      <c r="O130" s="814"/>
      <c r="P130" s="814"/>
      <c r="Q130" s="814"/>
      <c r="R130" s="814"/>
      <c r="S130" s="171"/>
      <c r="T130" s="171"/>
    </row>
    <row r="131" spans="3:20" x14ac:dyDescent="0.25">
      <c r="C131" s="772" t="s">
        <v>72</v>
      </c>
      <c r="D131" s="773" t="s">
        <v>10</v>
      </c>
      <c r="E131" s="774"/>
      <c r="F131" s="775" t="str">
        <f>IFERROR(IF(C131="E-Commerce",(_xlfn.XLOOKUP(E131,'Complexity Factors'!$B$12:$B$18,'Complexity Factors'!$C$12:$C$18)*2.9),IF(C131="Services/Integrations",_xlfn.XLOOKUP(E131,'Complexity Factors'!$D$12:$D$16,'Complexity Factors'!$E$12:$E$16)*_xlfn.XLOOKUP($D$18,'Complexity Factors'!$B$41:$B$44,'Complexity Factors'!$D$41:$D$44),IF(C131="UI",_xlfn.XLOOKUP(E131,'Complexity Factors'!$B$12:$B$18,'Complexity Factors'!$C$12:$C$18)*_xlfn.XLOOKUP($D$18,'Complexity Factors'!$B$41:$B$44,'Complexity Factors'!$D$41:$D$44),_xlfn.XLOOKUP(E131,'Complexity Factors'!$B$12:$B$18,'Complexity Factors'!$C$12:$C$18)*_xlfn.XLOOKUP($D$18,'Complexity Factors'!$B$41:$B$44,'Complexity Factors'!$C$41:$C$44))))*D131,"Enter Component Quantity")</f>
        <v>Enter Component Quantity</v>
      </c>
      <c r="G131" s="813"/>
      <c r="H131" s="813"/>
      <c r="I131" s="813"/>
      <c r="J131" s="813"/>
      <c r="K131" s="171"/>
      <c r="L131" s="171"/>
      <c r="M131" s="203"/>
      <c r="N131" s="814"/>
      <c r="O131" s="814"/>
      <c r="P131" s="814"/>
      <c r="Q131" s="814"/>
      <c r="R131" s="814"/>
      <c r="S131" s="171"/>
      <c r="T131" s="171"/>
    </row>
    <row r="132" spans="3:20" x14ac:dyDescent="0.25">
      <c r="C132" s="772" t="s">
        <v>72</v>
      </c>
      <c r="D132" s="773" t="s">
        <v>10</v>
      </c>
      <c r="E132" s="774"/>
      <c r="F132" s="775" t="str">
        <f>IFERROR(IF(C132="E-Commerce",(_xlfn.XLOOKUP(E132,'Complexity Factors'!$B$12:$B$18,'Complexity Factors'!$C$12:$C$18)*2.9),IF(C132="Services/Integrations",_xlfn.XLOOKUP(E132,'Complexity Factors'!$D$12:$D$16,'Complexity Factors'!$E$12:$E$16)*_xlfn.XLOOKUP($D$18,'Complexity Factors'!$B$41:$B$44,'Complexity Factors'!$D$41:$D$44),IF(C132="UI",_xlfn.XLOOKUP(E132,'Complexity Factors'!$B$12:$B$18,'Complexity Factors'!$C$12:$C$18)*_xlfn.XLOOKUP($D$18,'Complexity Factors'!$B$41:$B$44,'Complexity Factors'!$D$41:$D$44),_xlfn.XLOOKUP(E132,'Complexity Factors'!$B$12:$B$18,'Complexity Factors'!$C$12:$C$18)*_xlfn.XLOOKUP($D$18,'Complexity Factors'!$B$41:$B$44,'Complexity Factors'!$C$41:$C$44))))*D132,"Enter Component Quantity")</f>
        <v>Enter Component Quantity</v>
      </c>
      <c r="G132" s="813"/>
      <c r="H132" s="813"/>
      <c r="I132" s="813"/>
      <c r="J132" s="813"/>
      <c r="K132" s="171"/>
      <c r="L132" s="171"/>
      <c r="M132" s="203"/>
      <c r="N132" s="814"/>
      <c r="O132" s="814"/>
      <c r="P132" s="814"/>
      <c r="Q132" s="814"/>
      <c r="R132" s="814"/>
      <c r="S132" s="171"/>
      <c r="T132" s="171"/>
    </row>
    <row r="133" spans="3:20" x14ac:dyDescent="0.25">
      <c r="C133" s="772" t="s">
        <v>72</v>
      </c>
      <c r="D133" s="773" t="s">
        <v>10</v>
      </c>
      <c r="E133" s="774"/>
      <c r="F133" s="775" t="str">
        <f>IFERROR(IF(C133="E-Commerce",(_xlfn.XLOOKUP(E133,'Complexity Factors'!$B$12:$B$18,'Complexity Factors'!$C$12:$C$18)*2.9),IF(C133="Services/Integrations",_xlfn.XLOOKUP(E133,'Complexity Factors'!$D$12:$D$16,'Complexity Factors'!$E$12:$E$16)*_xlfn.XLOOKUP($D$18,'Complexity Factors'!$B$41:$B$44,'Complexity Factors'!$D$41:$D$44),IF(C133="UI",_xlfn.XLOOKUP(E133,'Complexity Factors'!$B$12:$B$18,'Complexity Factors'!$C$12:$C$18)*_xlfn.XLOOKUP($D$18,'Complexity Factors'!$B$41:$B$44,'Complexity Factors'!$D$41:$D$44),_xlfn.XLOOKUP(E133,'Complexity Factors'!$B$12:$B$18,'Complexity Factors'!$C$12:$C$18)*_xlfn.XLOOKUP($D$18,'Complexity Factors'!$B$41:$B$44,'Complexity Factors'!$C$41:$C$44))))*D133,"Enter Component Quantity")</f>
        <v>Enter Component Quantity</v>
      </c>
      <c r="G133" s="813"/>
      <c r="H133" s="813"/>
      <c r="I133" s="813"/>
      <c r="J133" s="813"/>
      <c r="K133" s="171"/>
      <c r="L133" s="171"/>
      <c r="M133" s="203"/>
      <c r="N133" s="814"/>
      <c r="O133" s="814"/>
      <c r="P133" s="814"/>
      <c r="Q133" s="814"/>
      <c r="R133" s="814"/>
      <c r="S133" s="171"/>
      <c r="T133" s="171"/>
    </row>
    <row r="134" spans="3:20" ht="14.4" thickBot="1" x14ac:dyDescent="0.3">
      <c r="C134" s="565" t="s">
        <v>183</v>
      </c>
      <c r="D134" s="566">
        <f>SUM(D120:D133)</f>
        <v>10</v>
      </c>
      <c r="E134" s="567"/>
      <c r="F134" s="568">
        <f>SUM(F120:F133)</f>
        <v>5</v>
      </c>
      <c r="G134" s="813"/>
      <c r="H134" s="813"/>
      <c r="I134" s="813"/>
      <c r="J134" s="813"/>
      <c r="K134" s="171"/>
      <c r="L134" s="171"/>
      <c r="M134" s="203"/>
      <c r="N134" s="814"/>
      <c r="O134" s="814"/>
      <c r="P134" s="814"/>
      <c r="Q134" s="814"/>
      <c r="R134" s="814"/>
      <c r="S134" s="171"/>
      <c r="T134" s="171"/>
    </row>
  </sheetData>
  <sheetProtection autoFilter="0" pivotTables="0"/>
  <mergeCells count="29">
    <mergeCell ref="B31:B32"/>
    <mergeCell ref="C31:C32"/>
    <mergeCell ref="D31:D32"/>
    <mergeCell ref="E31:E32"/>
    <mergeCell ref="F7:F26"/>
    <mergeCell ref="C118:F118"/>
    <mergeCell ref="U7:U18"/>
    <mergeCell ref="F5:G5"/>
    <mergeCell ref="M31:O31"/>
    <mergeCell ref="F31:F32"/>
    <mergeCell ref="G31:G32"/>
    <mergeCell ref="K31:K32"/>
    <mergeCell ref="S31:S32"/>
    <mergeCell ref="M32:M33"/>
    <mergeCell ref="N32:N33"/>
    <mergeCell ref="O32:O33"/>
    <mergeCell ref="T31:T33"/>
    <mergeCell ref="C5:D5"/>
    <mergeCell ref="C100:E100"/>
    <mergeCell ref="L31:L33"/>
    <mergeCell ref="P31:R31"/>
    <mergeCell ref="W1:Y1"/>
    <mergeCell ref="X6:Y6"/>
    <mergeCell ref="M7:N7"/>
    <mergeCell ref="M6:N6"/>
    <mergeCell ref="M5:N5"/>
    <mergeCell ref="M4:N4"/>
    <mergeCell ref="M3:N3"/>
    <mergeCell ref="L2:N2"/>
  </mergeCells>
  <phoneticPr fontId="68" type="noConversion"/>
  <conditionalFormatting sqref="D18:D26 K101:L106">
    <cfRule type="expression" dxfId="58" priority="168">
      <formula>#REF!="Canada"</formula>
    </cfRule>
    <cfRule type="expression" dxfId="57" priority="169">
      <formula>#REF!="India"</formula>
    </cfRule>
    <cfRule type="expression" dxfId="56" priority="170">
      <formula>#REF!="US"</formula>
    </cfRule>
    <cfRule type="expression" dxfId="55" priority="171">
      <formula>#REF!="UK"</formula>
    </cfRule>
  </conditionalFormatting>
  <conditionalFormatting sqref="L9:L28 K28:L28 S29:T30 M32 M34:R34 S35:T1048576">
    <cfRule type="containsText" dxfId="54" priority="37" operator="containsText" text="Yes">
      <formula>NOT(ISERROR(SEARCH("Yes",K9)))</formula>
    </cfRule>
  </conditionalFormatting>
  <conditionalFormatting sqref="M35:M52">
    <cfRule type="containsText" dxfId="53" priority="20" operator="containsText" text="NO">
      <formula>NOT(ISERROR(SEARCH("NO",M35)))</formula>
    </cfRule>
    <cfRule type="containsText" dxfId="52" priority="21" operator="containsText" text="YES">
      <formula>NOT(ISERROR(SEARCH("YES",M35)))</formula>
    </cfRule>
  </conditionalFormatting>
  <conditionalFormatting sqref="M101:M106">
    <cfRule type="expression" dxfId="51" priority="30">
      <formula>$L101="Hrs"</formula>
    </cfRule>
  </conditionalFormatting>
  <conditionalFormatting sqref="N35:N49">
    <cfRule type="containsText" dxfId="50" priority="2" operator="containsText" text="NO">
      <formula>NOT(ISERROR(SEARCH("NO",N35)))</formula>
    </cfRule>
    <cfRule type="containsText" dxfId="49" priority="3" operator="containsText" text="YES">
      <formula>NOT(ISERROR(SEARCH("YES",N35)))</formula>
    </cfRule>
  </conditionalFormatting>
  <conditionalFormatting sqref="N50:R52 M53:R95">
    <cfRule type="containsText" dxfId="48" priority="33" operator="containsText" text="NO">
      <formula>NOT(ISERROR(SEARCH("NO",M50)))</formula>
    </cfRule>
    <cfRule type="containsText" dxfId="47" priority="34" operator="containsText" text="YES">
      <formula>NOT(ISERROR(SEARCH("YES",M50)))</formula>
    </cfRule>
  </conditionalFormatting>
  <conditionalFormatting sqref="O1:R13">
    <cfRule type="expression" dxfId="46" priority="22">
      <formula>$T$1="Canada"</formula>
    </cfRule>
    <cfRule type="expression" dxfId="45" priority="23">
      <formula>$T$1="India"</formula>
    </cfRule>
    <cfRule type="expression" dxfId="44" priority="24">
      <formula>$T$1="US"</formula>
    </cfRule>
    <cfRule type="expression" dxfId="43" priority="25">
      <formula>$T$1="UK"</formula>
    </cfRule>
  </conditionalFormatting>
  <conditionalFormatting sqref="O15:R15">
    <cfRule type="expression" dxfId="42" priority="26">
      <formula>$T$1="Canada"</formula>
    </cfRule>
    <cfRule type="expression" dxfId="41" priority="27">
      <formula>$T$1="India"</formula>
    </cfRule>
    <cfRule type="expression" dxfId="40" priority="28">
      <formula>$T$1="US"</formula>
    </cfRule>
    <cfRule type="expression" dxfId="39" priority="29">
      <formula>$T$1="UK"</formula>
    </cfRule>
  </conditionalFormatting>
  <conditionalFormatting sqref="O35:R49">
    <cfRule type="containsText" dxfId="38" priority="16" operator="containsText" text="NO">
      <formula>NOT(ISERROR(SEARCH("NO",O35)))</formula>
    </cfRule>
    <cfRule type="containsText" dxfId="37" priority="17" operator="containsText" text="YES">
      <formula>NOT(ISERROR(SEARCH("YES",O35)))</formula>
    </cfRule>
  </conditionalFormatting>
  <dataValidations count="2">
    <dataValidation allowBlank="1" showInputMessage="1" showErrorMessage="1" prompt="Select CMS" sqref="D101" xr:uid="{5BEC0731-CFFB-4576-875E-7842A3A56491}"/>
    <dataValidation type="list" allowBlank="1" showInputMessage="1" showErrorMessage="1" sqref="W7:W27"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legacyDrawing r:id="rId2"/>
  <tableParts count="1">
    <tablePart r:id="rId3"/>
  </tableParts>
  <extLs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K35:K52</xm:sqref>
        </x14:dataValidation>
        <x14:dataValidation type="list" allowBlank="1" showInputMessage="1" showErrorMessage="1" xr:uid="{766CE45A-D01D-4030-BD70-720D0BDDC13B}">
          <x14:formula1>
            <xm:f>'Standard Rate Cards'!$X$8:$X$14</xm:f>
          </x14:formula1>
          <xm:sqref>O3:R3 O1:R1 O7:R12 O15:R15</xm:sqref>
        </x14:dataValidation>
        <x14:dataValidation type="list" allowBlank="1" showInputMessage="1" showErrorMessage="1" xr:uid="{CB88B68E-0666-4BE1-8AF2-08FDC25F147C}">
          <x14:formula1>
            <xm:f>IF($D$9='Complexity Factors'!$D$11,'Complexity Factors'!$D$12:$D$16,'Complexity Factors'!$B$12:$B$18)</xm:f>
          </x14:formula1>
          <xm:sqref>H41:J44</xm:sqref>
        </x14:dataValidation>
        <x14:dataValidation type="list" allowBlank="1" showInputMessage="1" showErrorMessage="1" xr:uid="{8E117C5B-3660-4EFA-9825-20FCBC1C6915}">
          <x14:formula1>
            <xm:f>'Standard Rate Cards'!$Y$8:$Y$13</xm:f>
          </x14:formula1>
          <xm:sqref>C120:C133</xm:sqref>
        </x14:dataValidation>
        <x14:dataValidation type="list" allowBlank="1" showInputMessage="1" showErrorMessage="1" xr:uid="{C50099EC-F260-4CA2-BCEF-10BE82F7C5F1}">
          <x14:formula1>
            <xm:f>IF(C120="Services/Integrations",'Complexity Factors'!$D$12:$D$16,'Complexity Factors'!$B$12:$B$18)</xm:f>
          </x14:formula1>
          <xm:sqref>E120:E133</xm:sqref>
        </x14:dataValidation>
        <x14:dataValidation type="list" allowBlank="1" showInputMessage="1" showErrorMessage="1" xr:uid="{79C7563C-E620-4F03-ADC0-07B1E423C3E4}">
          <x14:formula1>
            <xm:f>'Standard Rate Cards'!#REF!</xm:f>
          </x14:formula1>
          <xm:sqref>N50:O95 M53:M95</xm:sqref>
        </x14:dataValidation>
        <x14:dataValidation type="list" allowBlank="1" showInputMessage="1" xr:uid="{F948A5ED-636A-4924-AA0B-9D986CF7B7B9}">
          <x14:formula1>
            <xm:f>IF($D$12="Consulting",$G$7:$G$18,'Standard Rate Cards'!$Y$8:$Y$13)</xm:f>
          </x14:formula1>
          <xm:sqref>C57:C95</xm:sqref>
        </x14:dataValidation>
        <x14:dataValidation type="list" allowBlank="1" showInputMessage="1" showErrorMessage="1" xr:uid="{C51D80F9-14DD-4958-BD8C-4404F97C903A}">
          <x14:formula1>
            <xm:f>IF(D35='Complexity Factors'!$D$11,'Complexity Factors'!$D$12:$D$16,'Complexity Factors'!$B$12:$B$18)</xm:f>
          </x14:formula1>
          <xm:sqref>J35:J39</xm:sqref>
        </x14:dataValidation>
        <x14:dataValidation type="list" allowBlank="1" showInputMessage="1" showErrorMessage="1" xr:uid="{1771FDFB-632B-462B-BA66-4AD1E8D9F5CE}">
          <x14:formula1>
            <xm:f>IF(C35='Complexity Factors'!$D$11,'Complexity Factors'!$D$12:$D$16,'Complexity Factors'!$B$12:$B$18)</xm:f>
          </x14:formula1>
          <xm:sqref>H35:H39 G35:G52</xm:sqref>
        </x14:dataValidation>
        <x14:dataValidation type="list" allowBlank="1" showInputMessage="1" showErrorMessage="1" xr:uid="{A66CAE19-3DB2-403B-AF63-AD3BE0DC7796}">
          <x14:formula1>
            <xm:f>IF(D35='Complexity Factors'!$D$11,'Complexity Factors'!$D$12:$D$16,'Complexity Factors'!$B$12:$B$18)</xm:f>
          </x14:formula1>
          <xm:sqref>I35:I39</xm:sqref>
        </x14:dataValidation>
        <x14:dataValidation type="list" allowBlank="1" showInputMessage="1" showErrorMessage="1" xr:uid="{8DD1FEE3-CB30-465F-87E3-57770C132751}">
          <x14:formula1>
            <xm:f>'Standard Rate Cards'!$P$8:$P$10</xm:f>
          </x14:formula1>
          <xm:sqref>M35:M52 N35:O49</xm:sqref>
        </x14:dataValidation>
        <x14:dataValidation type="list" allowBlank="1" showInputMessage="1" xr:uid="{4AF9759C-74BC-4DE5-B551-92222E28764E}">
          <x14:formula1>
            <xm:f>'Standard Rate Cards'!$AH$8:$AH$38</xm:f>
          </x14:formula1>
          <xm:sqref>C35:C56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A1:AV98"/>
  <sheetViews>
    <sheetView showGridLines="0" zoomScale="64" zoomScaleNormal="86" workbookViewId="0">
      <selection activeCell="C57" sqref="C57"/>
    </sheetView>
  </sheetViews>
  <sheetFormatPr defaultColWidth="8.77734375" defaultRowHeight="14.4" x14ac:dyDescent="0.3"/>
  <cols>
    <col min="1" max="1" width="7.77734375" style="94" customWidth="1"/>
    <col min="2" max="2" width="24.5546875" bestFit="1" customWidth="1"/>
    <col min="3" max="3" width="38.33203125" bestFit="1" customWidth="1"/>
    <col min="4" max="5" width="23.77734375" bestFit="1" customWidth="1"/>
    <col min="6" max="6" width="21.77734375" bestFit="1" customWidth="1"/>
    <col min="7" max="7" width="11.44140625" customWidth="1"/>
    <col min="8" max="8" width="4.77734375" style="176" customWidth="1"/>
    <col min="9" max="9" width="10.77734375" customWidth="1"/>
    <col min="10" max="10" width="21.21875" bestFit="1" customWidth="1"/>
    <col min="11" max="11" width="39.44140625" bestFit="1" customWidth="1"/>
    <col min="12" max="12" width="18.21875" customWidth="1"/>
    <col min="13" max="13" width="14.44140625" bestFit="1" customWidth="1"/>
    <col min="14" max="14" width="10.44140625" bestFit="1" customWidth="1"/>
    <col min="15" max="15" width="3.44140625" style="94" customWidth="1"/>
    <col min="16" max="16" width="12.77734375" customWidth="1"/>
    <col min="17" max="17" width="4.21875" style="145" customWidth="1"/>
    <col min="18" max="18" width="7.44140625" customWidth="1"/>
    <col min="19" max="19" width="21.21875" bestFit="1" customWidth="1"/>
    <col min="20" max="20" width="39.44140625" bestFit="1" customWidth="1"/>
    <col min="21" max="21" width="13.77734375" bestFit="1" customWidth="1"/>
    <col min="22" max="22" width="14.44140625" bestFit="1" customWidth="1"/>
    <col min="23" max="23" width="11.21875" customWidth="1"/>
    <col min="24" max="24" width="15.44140625" bestFit="1" customWidth="1"/>
    <col min="25" max="25" width="16.44140625" bestFit="1" customWidth="1"/>
    <col min="26" max="47" width="10.44140625" customWidth="1"/>
  </cols>
  <sheetData>
    <row r="1" spans="1:24" x14ac:dyDescent="0.3">
      <c r="G1" s="215"/>
      <c r="H1" s="211"/>
      <c r="I1" s="215"/>
      <c r="J1" s="215"/>
      <c r="K1" s="215"/>
      <c r="L1" s="215"/>
      <c r="M1" s="215"/>
      <c r="N1" s="215"/>
      <c r="O1" s="211"/>
      <c r="P1" s="215"/>
      <c r="Q1" s="215"/>
      <c r="R1" s="215"/>
    </row>
    <row r="2" spans="1:24" ht="14.55" customHeight="1" x14ac:dyDescent="0.3">
      <c r="B2" s="1786" t="s">
        <v>184</v>
      </c>
      <c r="C2" s="1786"/>
      <c r="D2" s="1786"/>
      <c r="E2" s="1786"/>
      <c r="G2" s="215"/>
      <c r="H2" s="211"/>
      <c r="I2" s="215"/>
      <c r="J2" s="215"/>
      <c r="K2" s="215"/>
      <c r="L2" s="215"/>
      <c r="M2" s="215"/>
      <c r="N2" s="215"/>
      <c r="O2" s="211"/>
      <c r="P2" s="215"/>
      <c r="Q2" s="215"/>
      <c r="R2" s="215"/>
    </row>
    <row r="3" spans="1:24" ht="26.55" customHeight="1" x14ac:dyDescent="0.3">
      <c r="B3" s="1786"/>
      <c r="C3" s="1786"/>
      <c r="D3" s="1786"/>
      <c r="E3" s="1786"/>
      <c r="G3" s="215"/>
      <c r="H3" s="211"/>
      <c r="I3" s="215"/>
      <c r="J3" s="215"/>
      <c r="K3" s="215"/>
      <c r="L3" s="215"/>
      <c r="M3" s="215"/>
      <c r="N3" s="215"/>
      <c r="O3" s="211"/>
      <c r="P3" s="215"/>
      <c r="Q3" s="215"/>
    </row>
    <row r="4" spans="1:24" x14ac:dyDescent="0.3">
      <c r="G4" s="215"/>
      <c r="H4" s="211"/>
      <c r="I4" s="215"/>
      <c r="J4" s="215"/>
      <c r="K4" s="215"/>
      <c r="L4" s="215"/>
      <c r="M4" s="215"/>
      <c r="N4" s="215"/>
      <c r="O4" s="211"/>
      <c r="P4" s="215"/>
      <c r="Q4" s="215"/>
    </row>
    <row r="5" spans="1:24" x14ac:dyDescent="0.3">
      <c r="A5" s="176"/>
      <c r="B5" s="145"/>
      <c r="C5" s="145"/>
      <c r="D5" s="145"/>
      <c r="E5" s="145"/>
      <c r="F5" s="145"/>
      <c r="G5" s="145"/>
      <c r="I5" s="145"/>
      <c r="J5" s="145"/>
      <c r="K5" s="145"/>
      <c r="L5" s="145"/>
      <c r="M5" s="145"/>
      <c r="N5" s="145"/>
      <c r="O5" s="176"/>
      <c r="P5" s="145"/>
      <c r="R5" s="145"/>
      <c r="S5" s="145"/>
      <c r="T5" s="145"/>
      <c r="U5" s="145"/>
      <c r="V5" s="145"/>
      <c r="W5" s="145"/>
    </row>
    <row r="6" spans="1:24" ht="14.25" customHeight="1" x14ac:dyDescent="0.35">
      <c r="B6" s="196"/>
      <c r="C6" s="196"/>
      <c r="D6" s="196"/>
      <c r="E6" s="196"/>
      <c r="F6" s="196"/>
      <c r="G6" s="196"/>
    </row>
    <row r="7" spans="1:24" ht="24" customHeight="1" x14ac:dyDescent="0.35">
      <c r="B7" s="940" t="s">
        <v>185</v>
      </c>
      <c r="C7" s="940"/>
      <c r="D7" s="274" t="s">
        <v>63</v>
      </c>
      <c r="E7" s="196"/>
      <c r="F7" s="196"/>
      <c r="G7" s="196"/>
    </row>
    <row r="8" spans="1:24" ht="20.25" customHeight="1" thickBot="1" x14ac:dyDescent="0.35">
      <c r="B8" s="549" t="s">
        <v>186</v>
      </c>
      <c r="C8" s="8"/>
      <c r="D8" s="8"/>
      <c r="E8" s="8"/>
      <c r="F8" s="8"/>
      <c r="G8" s="8"/>
      <c r="I8" s="94"/>
      <c r="J8" s="8"/>
      <c r="K8" s="8"/>
      <c r="L8" s="8"/>
      <c r="M8" s="8"/>
      <c r="N8" s="8"/>
      <c r="O8" s="8"/>
      <c r="R8" s="94"/>
      <c r="S8" s="8"/>
      <c r="T8" s="8"/>
      <c r="U8" s="8"/>
      <c r="V8" s="8"/>
      <c r="W8" s="8"/>
      <c r="X8" s="8"/>
    </row>
    <row r="9" spans="1:24" ht="18" thickBot="1" x14ac:dyDescent="0.35">
      <c r="B9" s="1788" t="s">
        <v>187</v>
      </c>
      <c r="C9" s="1789"/>
      <c r="D9" s="8"/>
      <c r="E9" s="8"/>
      <c r="F9" s="8"/>
      <c r="G9" s="8"/>
      <c r="I9" s="94"/>
      <c r="J9" s="1790" t="s">
        <v>188</v>
      </c>
      <c r="K9" s="1791"/>
      <c r="L9" s="8"/>
      <c r="M9" s="8"/>
      <c r="N9" s="8"/>
      <c r="O9" s="8"/>
      <c r="R9" s="94"/>
      <c r="S9" s="1788" t="s">
        <v>189</v>
      </c>
      <c r="T9" s="1789"/>
      <c r="U9" s="8"/>
      <c r="V9" s="8"/>
      <c r="W9" s="8"/>
      <c r="X9" s="8"/>
    </row>
    <row r="10" spans="1:24" ht="15" thickTop="1" x14ac:dyDescent="0.3">
      <c r="B10" s="467" t="s">
        <v>190</v>
      </c>
      <c r="C10" s="468" t="str">
        <f>IF('1. Project Inputs'!C58="Manual Entry","No Approach Named",'1. Project Inputs'!C58)</f>
        <v>Manual Entry Option 1 Name</v>
      </c>
      <c r="D10" s="8"/>
      <c r="E10" s="8"/>
      <c r="F10" s="8"/>
      <c r="G10" s="8"/>
      <c r="I10" s="94"/>
      <c r="J10" s="401" t="s">
        <v>190</v>
      </c>
      <c r="K10" s="405" t="str">
        <f>IF('1. Project Inputs'!C59="Manual Entry","No Approach Named",'1. Project Inputs'!C59)</f>
        <v>Manual Entry Option 2 Name</v>
      </c>
      <c r="L10" s="8"/>
      <c r="M10" s="8"/>
      <c r="N10" s="8"/>
      <c r="O10" s="8"/>
      <c r="R10" s="94"/>
      <c r="S10" s="467" t="s">
        <v>190</v>
      </c>
      <c r="T10" s="472" t="str">
        <f>IF('1. Project Inputs'!C60="Manual Entry","No Approach Named",'1. Project Inputs'!C60)</f>
        <v>Manual Entry Option 3 Name</v>
      </c>
      <c r="U10" s="8"/>
      <c r="V10" s="8"/>
      <c r="W10" s="8"/>
      <c r="X10" s="8"/>
    </row>
    <row r="11" spans="1:24" x14ac:dyDescent="0.3">
      <c r="B11" s="469" t="s">
        <v>191</v>
      </c>
      <c r="C11" s="470" t="s">
        <v>10</v>
      </c>
      <c r="D11" s="8"/>
      <c r="E11" s="8"/>
      <c r="F11" s="8"/>
      <c r="G11" s="8"/>
      <c r="I11" s="94"/>
      <c r="J11" s="402" t="s">
        <v>191</v>
      </c>
      <c r="K11" s="403" t="s">
        <v>10</v>
      </c>
      <c r="L11" s="8"/>
      <c r="M11" s="8"/>
      <c r="N11" s="8"/>
      <c r="O11" s="8"/>
      <c r="R11" s="94"/>
      <c r="S11" s="473" t="s">
        <v>191</v>
      </c>
      <c r="T11" s="470" t="s">
        <v>10</v>
      </c>
      <c r="U11" s="8"/>
      <c r="V11" s="8"/>
      <c r="W11" s="8"/>
      <c r="X11" s="8"/>
    </row>
    <row r="12" spans="1:24" ht="15" thickBot="1" x14ac:dyDescent="0.35">
      <c r="B12" s="471" t="s">
        <v>192</v>
      </c>
      <c r="C12" s="574">
        <f>C57</f>
        <v>4.5999999999999996</v>
      </c>
      <c r="D12" s="8"/>
      <c r="E12" s="8"/>
      <c r="F12" s="8"/>
      <c r="G12" s="8"/>
      <c r="I12" s="94"/>
      <c r="J12" s="404" t="s">
        <v>192</v>
      </c>
      <c r="K12" s="575">
        <f>K57</f>
        <v>4.5999999999999996</v>
      </c>
      <c r="L12" s="8"/>
      <c r="M12" s="8"/>
      <c r="N12" s="8"/>
      <c r="O12" s="8"/>
      <c r="R12" s="94"/>
      <c r="S12" s="471" t="s">
        <v>192</v>
      </c>
      <c r="T12" s="574">
        <f>T57</f>
        <v>4.5999999999999996</v>
      </c>
      <c r="U12" s="8"/>
      <c r="V12" s="8"/>
      <c r="W12" s="8"/>
      <c r="X12" s="8"/>
    </row>
    <row r="13" spans="1:24" x14ac:dyDescent="0.3">
      <c r="B13" s="462"/>
      <c r="C13" s="461"/>
      <c r="D13" s="8"/>
      <c r="E13" s="8"/>
      <c r="F13" s="8"/>
      <c r="G13" s="8"/>
      <c r="I13" s="94"/>
      <c r="J13" s="462"/>
      <c r="K13" s="461"/>
      <c r="L13" s="8"/>
      <c r="M13" s="8"/>
      <c r="N13" s="8"/>
      <c r="O13" s="8"/>
      <c r="R13" s="94"/>
      <c r="S13" s="462"/>
      <c r="T13" s="461"/>
      <c r="U13" s="8"/>
      <c r="V13" s="8"/>
      <c r="W13" s="8"/>
      <c r="X13" s="8"/>
    </row>
    <row r="14" spans="1:24" ht="22.05" customHeight="1" x14ac:dyDescent="0.3">
      <c r="B14" s="1010" t="s">
        <v>193</v>
      </c>
      <c r="C14" s="1011"/>
      <c r="D14" s="977"/>
      <c r="E14" s="977"/>
      <c r="F14" s="977"/>
      <c r="G14" s="977"/>
      <c r="H14" s="1012"/>
      <c r="I14" s="1013"/>
      <c r="J14" s="1014"/>
      <c r="K14" s="1011"/>
      <c r="L14" s="977"/>
      <c r="M14" s="977"/>
      <c r="N14" s="977"/>
      <c r="O14" s="977"/>
      <c r="P14" s="935"/>
      <c r="Q14" s="1015"/>
      <c r="R14" s="1013"/>
      <c r="S14" s="1014"/>
      <c r="T14" s="1011"/>
      <c r="U14" s="977"/>
      <c r="V14" s="977"/>
      <c r="W14" s="977"/>
      <c r="X14" s="8"/>
    </row>
    <row r="16" spans="1:24" x14ac:dyDescent="0.3">
      <c r="B16" s="481" t="s">
        <v>194</v>
      </c>
      <c r="C16" s="8" t="s">
        <v>195</v>
      </c>
      <c r="G16" s="8"/>
      <c r="H16" s="482"/>
      <c r="I16" s="8"/>
      <c r="J16" s="481" t="s">
        <v>196</v>
      </c>
      <c r="K16" s="8" t="s">
        <v>1624</v>
      </c>
      <c r="O16" s="8"/>
      <c r="P16" s="8"/>
      <c r="Q16" s="483"/>
      <c r="R16" s="171"/>
      <c r="S16" s="481" t="s">
        <v>196</v>
      </c>
      <c r="T16" s="8" t="s">
        <v>1625</v>
      </c>
      <c r="X16" s="8"/>
    </row>
    <row r="17" spans="2:24" x14ac:dyDescent="0.3">
      <c r="B17" s="14" t="s">
        <v>197</v>
      </c>
      <c r="C17" s="8">
        <v>18</v>
      </c>
      <c r="G17" s="8"/>
      <c r="H17" s="482"/>
      <c r="I17" s="8"/>
      <c r="J17" s="14" t="s">
        <v>197</v>
      </c>
      <c r="K17" s="8">
        <v>18</v>
      </c>
      <c r="O17" s="8"/>
      <c r="P17" s="8"/>
      <c r="Q17" s="483"/>
      <c r="R17" s="171"/>
      <c r="S17" s="14" t="s">
        <v>197</v>
      </c>
      <c r="T17" s="8">
        <v>18</v>
      </c>
      <c r="X17" s="8"/>
    </row>
    <row r="18" spans="2:24" x14ac:dyDescent="0.3">
      <c r="B18" s="14" t="s">
        <v>2353</v>
      </c>
      <c r="C18" s="8">
        <v>5</v>
      </c>
      <c r="G18" s="8"/>
      <c r="H18" s="482"/>
      <c r="I18" s="8"/>
      <c r="J18" s="14" t="s">
        <v>2353</v>
      </c>
      <c r="K18" s="8">
        <v>5</v>
      </c>
      <c r="O18" s="8"/>
      <c r="P18" s="8"/>
      <c r="Q18" s="484"/>
      <c r="R18" s="171"/>
      <c r="S18" s="14" t="s">
        <v>2353</v>
      </c>
      <c r="T18" s="8">
        <v>5</v>
      </c>
      <c r="X18" s="8"/>
    </row>
    <row r="19" spans="2:24" x14ac:dyDescent="0.3">
      <c r="B19" s="14" t="s">
        <v>198</v>
      </c>
      <c r="C19" s="8">
        <v>23</v>
      </c>
      <c r="G19" s="8"/>
      <c r="H19" s="482"/>
      <c r="I19" s="8"/>
      <c r="J19" s="14" t="s">
        <v>198</v>
      </c>
      <c r="K19" s="8">
        <v>23</v>
      </c>
      <c r="O19" s="8"/>
      <c r="P19" s="8"/>
      <c r="Q19" s="485"/>
      <c r="R19" s="171"/>
      <c r="S19" s="14" t="s">
        <v>198</v>
      </c>
      <c r="T19" s="8">
        <v>23</v>
      </c>
      <c r="X19" s="8"/>
    </row>
    <row r="20" spans="2:24" x14ac:dyDescent="0.3">
      <c r="G20" s="8"/>
      <c r="H20" s="482"/>
      <c r="I20" s="8"/>
      <c r="O20" s="8"/>
      <c r="P20" s="8"/>
      <c r="Q20" s="485"/>
      <c r="R20" s="171"/>
      <c r="X20" s="8"/>
    </row>
    <row r="21" spans="2:24" x14ac:dyDescent="0.3">
      <c r="G21" s="8"/>
      <c r="H21" s="482"/>
      <c r="I21" s="8"/>
      <c r="O21" s="8"/>
      <c r="P21" s="8"/>
      <c r="Q21" s="485"/>
      <c r="R21" s="171"/>
      <c r="X21" s="8"/>
    </row>
    <row r="22" spans="2:24" x14ac:dyDescent="0.3">
      <c r="G22" s="8"/>
      <c r="H22" s="482"/>
      <c r="I22" s="8"/>
      <c r="O22" s="8"/>
      <c r="P22" s="8"/>
      <c r="Q22" s="485"/>
      <c r="R22" s="171"/>
      <c r="X22" s="8"/>
    </row>
    <row r="23" spans="2:24" x14ac:dyDescent="0.3">
      <c r="G23" s="8"/>
      <c r="H23" s="482"/>
      <c r="I23" s="8"/>
      <c r="O23" s="8"/>
      <c r="P23" s="8"/>
      <c r="Q23" s="485"/>
      <c r="R23" s="171"/>
      <c r="X23" s="8"/>
    </row>
    <row r="24" spans="2:24" x14ac:dyDescent="0.3">
      <c r="G24" s="8"/>
      <c r="H24" s="482"/>
      <c r="I24" s="8"/>
      <c r="O24" s="8"/>
      <c r="P24" s="8"/>
      <c r="Q24" s="485"/>
      <c r="R24" s="171"/>
      <c r="X24" s="8"/>
    </row>
    <row r="25" spans="2:24" x14ac:dyDescent="0.3">
      <c r="G25" s="8"/>
      <c r="H25" s="482"/>
      <c r="I25" s="8"/>
      <c r="O25" s="8"/>
      <c r="P25" s="8"/>
      <c r="Q25" s="485"/>
      <c r="R25" s="171"/>
      <c r="X25" s="8"/>
    </row>
    <row r="26" spans="2:24" x14ac:dyDescent="0.3">
      <c r="G26" s="8"/>
      <c r="H26" s="482"/>
      <c r="I26" s="8"/>
      <c r="O26" s="8"/>
      <c r="P26" s="8"/>
      <c r="Q26" s="485"/>
      <c r="R26" s="171"/>
      <c r="X26" s="8"/>
    </row>
    <row r="27" spans="2:24" x14ac:dyDescent="0.3">
      <c r="G27" s="8"/>
      <c r="H27" s="482"/>
      <c r="I27" s="8"/>
      <c r="O27" s="8"/>
      <c r="P27" s="8"/>
      <c r="Q27" s="485"/>
      <c r="R27" s="171"/>
      <c r="X27" s="8"/>
    </row>
    <row r="28" spans="2:24" x14ac:dyDescent="0.3">
      <c r="G28" s="8"/>
      <c r="H28" s="482"/>
      <c r="I28" s="8"/>
      <c r="O28" s="8"/>
      <c r="P28" s="8"/>
      <c r="Q28" s="485"/>
      <c r="R28" s="171"/>
      <c r="X28" s="8"/>
    </row>
    <row r="29" spans="2:24" x14ac:dyDescent="0.3">
      <c r="G29" s="8"/>
      <c r="H29" s="482"/>
      <c r="I29" s="8"/>
      <c r="O29" s="8"/>
      <c r="P29" s="8"/>
      <c r="Q29" s="485"/>
      <c r="R29" s="171"/>
      <c r="X29" s="8"/>
    </row>
    <row r="30" spans="2:24" x14ac:dyDescent="0.3">
      <c r="G30" s="8"/>
      <c r="H30" s="482"/>
      <c r="I30" s="8"/>
      <c r="O30" s="8"/>
      <c r="P30" s="8"/>
      <c r="Q30" s="485"/>
      <c r="R30" s="171"/>
      <c r="X30" s="8"/>
    </row>
    <row r="31" spans="2:24" x14ac:dyDescent="0.3">
      <c r="G31" s="8"/>
      <c r="H31" s="482"/>
      <c r="I31" s="8"/>
      <c r="O31" s="8"/>
      <c r="P31" s="8"/>
      <c r="Q31" s="485"/>
      <c r="R31" s="171"/>
      <c r="X31" s="8"/>
    </row>
    <row r="32" spans="2:24" x14ac:dyDescent="0.3">
      <c r="G32" s="8"/>
      <c r="H32" s="482"/>
      <c r="I32" s="8"/>
      <c r="O32" s="8"/>
      <c r="P32" s="8"/>
      <c r="Q32" s="485"/>
      <c r="R32" s="171"/>
      <c r="X32" s="8"/>
    </row>
    <row r="33" spans="1:48" x14ac:dyDescent="0.3">
      <c r="G33" s="8"/>
      <c r="H33" s="482"/>
      <c r="I33" s="8"/>
      <c r="O33" s="171"/>
      <c r="P33" s="8"/>
      <c r="Q33" s="483"/>
      <c r="R33" s="8"/>
    </row>
    <row r="34" spans="1:48" x14ac:dyDescent="0.3">
      <c r="G34" s="8"/>
      <c r="H34" s="482"/>
      <c r="I34" s="8"/>
      <c r="O34" s="171"/>
      <c r="P34" s="8"/>
      <c r="Q34" s="483"/>
      <c r="R34" s="8"/>
    </row>
    <row r="35" spans="1:48" x14ac:dyDescent="0.3">
      <c r="G35" s="8"/>
      <c r="H35" s="482"/>
      <c r="I35" s="8"/>
      <c r="O35" s="171"/>
      <c r="P35" s="8"/>
      <c r="Q35" s="483"/>
      <c r="R35" s="8"/>
    </row>
    <row r="36" spans="1:48" x14ac:dyDescent="0.3">
      <c r="G36" s="8"/>
      <c r="H36" s="482"/>
      <c r="I36" s="8"/>
      <c r="O36" s="171"/>
      <c r="P36" s="8"/>
      <c r="Q36" s="483"/>
      <c r="R36" s="8"/>
    </row>
    <row r="37" spans="1:48" x14ac:dyDescent="0.3">
      <c r="S37" s="8"/>
      <c r="T37" s="8"/>
    </row>
    <row r="38" spans="1:48" ht="25.05" customHeight="1" x14ac:dyDescent="0.3">
      <c r="B38" s="1010" t="s">
        <v>199</v>
      </c>
      <c r="C38" s="1010"/>
      <c r="D38" s="1010"/>
      <c r="E38" s="1010"/>
      <c r="F38" s="1010"/>
      <c r="G38" s="1010"/>
      <c r="H38" s="1016"/>
      <c r="I38" s="1010"/>
      <c r="J38" s="1017"/>
      <c r="K38" s="1017"/>
      <c r="L38" s="1017"/>
      <c r="M38" s="1017"/>
      <c r="N38" s="1017"/>
      <c r="O38" s="1017"/>
      <c r="P38" s="1010"/>
      <c r="Q38" s="1016"/>
      <c r="R38" s="1010"/>
      <c r="S38" s="1010"/>
      <c r="T38" s="1010"/>
      <c r="U38" s="977"/>
      <c r="V38" s="977"/>
      <c r="W38" s="977"/>
      <c r="X38" s="8"/>
    </row>
    <row r="39" spans="1:48" x14ac:dyDescent="0.3">
      <c r="I39" s="94"/>
      <c r="M39" s="182"/>
      <c r="O39" s="8"/>
      <c r="Q39" s="178"/>
      <c r="R39" s="94"/>
      <c r="V39" s="184"/>
      <c r="X39" s="8"/>
      <c r="Z39" s="109"/>
      <c r="AA39" s="109"/>
      <c r="AB39" s="109"/>
      <c r="AC39" s="109"/>
      <c r="AD39" s="109"/>
      <c r="AE39" s="109"/>
      <c r="AF39" s="109"/>
      <c r="AG39" s="109"/>
      <c r="AH39" s="109"/>
      <c r="AI39" s="109"/>
      <c r="AJ39" s="109"/>
      <c r="AK39" s="109"/>
      <c r="AL39" s="109"/>
      <c r="AM39" s="109"/>
      <c r="AN39" s="109"/>
      <c r="AO39" s="109"/>
      <c r="AP39" s="109"/>
      <c r="AQ39" s="109"/>
      <c r="AR39" s="109"/>
      <c r="AS39" s="109"/>
      <c r="AT39" s="109"/>
      <c r="AU39" s="109"/>
      <c r="AV39" s="94"/>
    </row>
    <row r="40" spans="1:48" ht="27.6" x14ac:dyDescent="0.3">
      <c r="A40" s="50"/>
      <c r="B40" s="572" t="s">
        <v>86</v>
      </c>
      <c r="C40" s="571" t="s">
        <v>87</v>
      </c>
      <c r="D40" s="572" t="s">
        <v>200</v>
      </c>
      <c r="E40" s="570"/>
      <c r="F40" s="465"/>
      <c r="G40" s="465"/>
      <c r="I40" s="50"/>
      <c r="J40" s="189" t="s">
        <v>86</v>
      </c>
      <c r="K40" s="190" t="s">
        <v>87</v>
      </c>
      <c r="L40" s="189" t="s">
        <v>200</v>
      </c>
      <c r="M40" s="171"/>
      <c r="O40" s="8"/>
      <c r="Q40" s="178"/>
      <c r="R40" s="50"/>
      <c r="S40" s="189" t="s">
        <v>86</v>
      </c>
      <c r="T40" s="190" t="s">
        <v>87</v>
      </c>
      <c r="U40" s="189" t="s">
        <v>200</v>
      </c>
      <c r="V40" s="171"/>
      <c r="X40" s="8"/>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94"/>
    </row>
    <row r="41" spans="1:48" x14ac:dyDescent="0.3">
      <c r="A41" s="186"/>
      <c r="B41" s="506" t="str">
        <f>'1. Project Inputs'!F34</f>
        <v>Manual Entry</v>
      </c>
      <c r="C41" s="616" t="str">
        <f>'1. Project Inputs'!G34</f>
        <v>Manual Entry %</v>
      </c>
      <c r="D41" s="187" t="str">
        <f>IF(C41="Manual Entry %","",C41*(GETPIVOTDATA("Weighted Effort Days",$B$16)*8))</f>
        <v/>
      </c>
      <c r="E41" s="431"/>
      <c r="F41" s="431"/>
      <c r="G41" s="431"/>
      <c r="I41" s="186"/>
      <c r="J41" s="466" t="str">
        <f>'1. Project Inputs'!F34</f>
        <v>Manual Entry</v>
      </c>
      <c r="K41" s="616" t="str">
        <f>'1. Project Inputs'!G34</f>
        <v>Manual Entry %</v>
      </c>
      <c r="L41" s="400" t="str">
        <f>IF(K41="Manual Entry %","",K41*(GETPIVOTDATA("Weighted Effort Days",$B$16)*8))</f>
        <v/>
      </c>
      <c r="M41" s="171"/>
      <c r="O41" s="8"/>
      <c r="Q41" s="178"/>
      <c r="R41" s="186"/>
      <c r="S41" s="466" t="str">
        <f>'1. Project Inputs'!F34</f>
        <v>Manual Entry</v>
      </c>
      <c r="T41" s="617" t="str">
        <f>'1. Project Inputs'!G34</f>
        <v>Manual Entry %</v>
      </c>
      <c r="U41" s="400" t="str">
        <f>IF(T41="Manual Entry %","",T41*(GETPIVOTDATA("Weighted Effort Days",$B$16)*8))</f>
        <v/>
      </c>
      <c r="V41" s="171"/>
      <c r="X41" s="8"/>
      <c r="Z41" s="109"/>
      <c r="AA41" s="109"/>
      <c r="AB41" s="109"/>
      <c r="AC41" s="109"/>
      <c r="AD41" s="109"/>
      <c r="AE41" s="109"/>
      <c r="AF41" s="109"/>
      <c r="AG41" s="109"/>
      <c r="AH41" s="109"/>
      <c r="AI41" s="109"/>
      <c r="AJ41" s="109"/>
      <c r="AK41" s="109"/>
      <c r="AL41" s="109"/>
      <c r="AM41" s="109"/>
      <c r="AN41" s="109"/>
      <c r="AO41" s="109"/>
      <c r="AP41" s="109"/>
      <c r="AQ41" s="109"/>
      <c r="AR41" s="109"/>
      <c r="AS41" s="109"/>
      <c r="AT41" s="109"/>
      <c r="AU41" s="109"/>
      <c r="AV41" s="94"/>
    </row>
    <row r="42" spans="1:48" x14ac:dyDescent="0.3">
      <c r="A42" s="186"/>
      <c r="B42" s="506" t="str">
        <f>'1. Project Inputs'!F35</f>
        <v>Manual Entry</v>
      </c>
      <c r="C42" s="616" t="str">
        <f>'1. Project Inputs'!G35</f>
        <v>Manual Entry %</v>
      </c>
      <c r="D42" s="187" t="str">
        <f t="shared" ref="D42:D50" si="0">IF(C42="Manual Entry %","",C42*(GETPIVOTDATA("Weighted Effort Days",$B$16)*8))</f>
        <v/>
      </c>
      <c r="E42" s="431"/>
      <c r="F42" s="431"/>
      <c r="G42" s="431"/>
      <c r="I42" s="186"/>
      <c r="J42" s="466" t="str">
        <f>'1. Project Inputs'!F35</f>
        <v>Manual Entry</v>
      </c>
      <c r="K42" s="616" t="str">
        <f>'1. Project Inputs'!G35</f>
        <v>Manual Entry %</v>
      </c>
      <c r="L42" s="400" t="str">
        <f t="shared" ref="L42:L50" si="1">IF(K42="Manual Entry %","",K42*(GETPIVOTDATA("Weighted Effort Days",$B$16)*8))</f>
        <v/>
      </c>
      <c r="R42" s="186"/>
      <c r="S42" s="466" t="str">
        <f>'1. Project Inputs'!F35</f>
        <v>Manual Entry</v>
      </c>
      <c r="T42" s="617" t="str">
        <f>'1. Project Inputs'!G35</f>
        <v>Manual Entry %</v>
      </c>
      <c r="U42" s="400" t="str">
        <f t="shared" ref="U42:U50" si="2">IF(T42="Manual Entry %","",T42*(GETPIVOTDATA("Weighted Effort Days",$B$16)*8))</f>
        <v/>
      </c>
      <c r="X42" s="8"/>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94"/>
    </row>
    <row r="43" spans="1:48" x14ac:dyDescent="0.3">
      <c r="A43" s="186"/>
      <c r="B43" s="506" t="str">
        <f>'1. Project Inputs'!F36</f>
        <v>Manual Entry</v>
      </c>
      <c r="C43" s="616" t="str">
        <f>'1. Project Inputs'!G36</f>
        <v>Manual Entry %</v>
      </c>
      <c r="D43" s="187" t="str">
        <f t="shared" si="0"/>
        <v/>
      </c>
      <c r="E43" s="431"/>
      <c r="F43" s="431"/>
      <c r="G43" s="431"/>
      <c r="I43" s="186"/>
      <c r="J43" s="466" t="str">
        <f>'1. Project Inputs'!F36</f>
        <v>Manual Entry</v>
      </c>
      <c r="K43" s="616" t="str">
        <f>'1. Project Inputs'!G36</f>
        <v>Manual Entry %</v>
      </c>
      <c r="L43" s="400" t="str">
        <f t="shared" si="1"/>
        <v/>
      </c>
      <c r="R43" s="186"/>
      <c r="S43" s="466" t="str">
        <f>'1. Project Inputs'!F36</f>
        <v>Manual Entry</v>
      </c>
      <c r="T43" s="617" t="str">
        <f>'1. Project Inputs'!G36</f>
        <v>Manual Entry %</v>
      </c>
      <c r="U43" s="400" t="str">
        <f t="shared" si="2"/>
        <v/>
      </c>
      <c r="X43" s="8"/>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94"/>
    </row>
    <row r="44" spans="1:48" x14ac:dyDescent="0.3">
      <c r="A44" s="186"/>
      <c r="B44" s="506" t="str">
        <f>'1. Project Inputs'!F37</f>
        <v>Manual Entry</v>
      </c>
      <c r="C44" s="616" t="str">
        <f>'1. Project Inputs'!G37</f>
        <v>Manual Entry %</v>
      </c>
      <c r="D44" s="187" t="str">
        <f t="shared" si="0"/>
        <v/>
      </c>
      <c r="E44" s="431"/>
      <c r="F44" s="431"/>
      <c r="G44" s="431"/>
      <c r="I44" s="186"/>
      <c r="J44" s="466" t="str">
        <f>'1. Project Inputs'!F37</f>
        <v>Manual Entry</v>
      </c>
      <c r="K44" s="616" t="str">
        <f>'1. Project Inputs'!G37</f>
        <v>Manual Entry %</v>
      </c>
      <c r="L44" s="400" t="str">
        <f t="shared" si="1"/>
        <v/>
      </c>
      <c r="R44" s="186"/>
      <c r="S44" s="466" t="str">
        <f>'1. Project Inputs'!F37</f>
        <v>Manual Entry</v>
      </c>
      <c r="T44" s="617" t="str">
        <f>'1. Project Inputs'!G37</f>
        <v>Manual Entry %</v>
      </c>
      <c r="U44" s="400" t="str">
        <f t="shared" si="2"/>
        <v/>
      </c>
      <c r="X44" s="8"/>
      <c r="Z44" s="109"/>
      <c r="AA44" s="109"/>
      <c r="AB44" s="109"/>
      <c r="AC44" s="109"/>
      <c r="AD44" s="109"/>
      <c r="AE44" s="109"/>
      <c r="AF44" s="109"/>
      <c r="AG44" s="109"/>
      <c r="AH44" s="109"/>
      <c r="AI44" s="109"/>
      <c r="AJ44" s="109"/>
      <c r="AK44" s="109"/>
      <c r="AL44" s="109"/>
      <c r="AM44" s="109"/>
      <c r="AN44" s="109"/>
      <c r="AO44" s="109"/>
      <c r="AP44" s="109"/>
      <c r="AQ44" s="109"/>
      <c r="AR44" s="109"/>
      <c r="AS44" s="109"/>
      <c r="AT44" s="109"/>
      <c r="AU44" s="109"/>
      <c r="AV44" s="94"/>
    </row>
    <row r="45" spans="1:48" x14ac:dyDescent="0.3">
      <c r="A45" s="186"/>
      <c r="B45" s="506" t="str">
        <f>'1. Project Inputs'!F38</f>
        <v>Manual Entry</v>
      </c>
      <c r="C45" s="616" t="str">
        <f>'1. Project Inputs'!G38</f>
        <v>Manual Entry %</v>
      </c>
      <c r="D45" s="187" t="str">
        <f t="shared" si="0"/>
        <v/>
      </c>
      <c r="E45" s="431"/>
      <c r="F45" s="431"/>
      <c r="G45" s="431"/>
      <c r="I45" s="186"/>
      <c r="J45" s="466" t="str">
        <f>'1. Project Inputs'!F38</f>
        <v>Manual Entry</v>
      </c>
      <c r="K45" s="616" t="str">
        <f>'1. Project Inputs'!G38</f>
        <v>Manual Entry %</v>
      </c>
      <c r="L45" s="400" t="str">
        <f t="shared" si="1"/>
        <v/>
      </c>
      <c r="R45" s="186"/>
      <c r="S45" s="466" t="str">
        <f>'1. Project Inputs'!F38</f>
        <v>Manual Entry</v>
      </c>
      <c r="T45" s="617" t="str">
        <f>'1. Project Inputs'!G38</f>
        <v>Manual Entry %</v>
      </c>
      <c r="U45" s="400" t="str">
        <f t="shared" si="2"/>
        <v/>
      </c>
      <c r="X45" s="8"/>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94"/>
    </row>
    <row r="46" spans="1:48" x14ac:dyDescent="0.3">
      <c r="A46" s="186"/>
      <c r="B46" s="506" t="str">
        <f>'1. Project Inputs'!F39</f>
        <v>Manual Entry</v>
      </c>
      <c r="C46" s="616" t="str">
        <f>'1. Project Inputs'!G39</f>
        <v>Manual Entry %</v>
      </c>
      <c r="D46" s="187" t="str">
        <f t="shared" si="0"/>
        <v/>
      </c>
      <c r="E46" s="431"/>
      <c r="F46" s="431"/>
      <c r="G46" s="431"/>
      <c r="I46" s="186"/>
      <c r="J46" s="466" t="str">
        <f>'1. Project Inputs'!F39</f>
        <v>Manual Entry</v>
      </c>
      <c r="K46" s="616" t="str">
        <f>'1. Project Inputs'!G39</f>
        <v>Manual Entry %</v>
      </c>
      <c r="L46" s="400" t="str">
        <f t="shared" si="1"/>
        <v/>
      </c>
      <c r="R46" s="186"/>
      <c r="S46" s="466" t="str">
        <f>'1. Project Inputs'!F39</f>
        <v>Manual Entry</v>
      </c>
      <c r="T46" s="617" t="str">
        <f>'1. Project Inputs'!G39</f>
        <v>Manual Entry %</v>
      </c>
      <c r="U46" s="400" t="str">
        <f t="shared" si="2"/>
        <v/>
      </c>
      <c r="X46" s="8"/>
      <c r="Z46" s="109"/>
      <c r="AA46" s="109"/>
      <c r="AB46" s="109"/>
      <c r="AC46" s="109"/>
      <c r="AD46" s="109"/>
      <c r="AE46" s="109"/>
      <c r="AF46" s="109"/>
      <c r="AG46" s="109"/>
      <c r="AH46" s="109"/>
      <c r="AI46" s="109"/>
      <c r="AJ46" s="109"/>
      <c r="AK46" s="109"/>
      <c r="AL46" s="109"/>
      <c r="AM46" s="109"/>
      <c r="AN46" s="109"/>
      <c r="AO46" s="109"/>
      <c r="AP46" s="109"/>
      <c r="AQ46" s="109"/>
      <c r="AR46" s="109"/>
      <c r="AS46" s="109"/>
      <c r="AT46" s="109"/>
      <c r="AU46" s="109"/>
      <c r="AV46" s="94"/>
    </row>
    <row r="47" spans="1:48" x14ac:dyDescent="0.3">
      <c r="A47" s="186"/>
      <c r="B47" s="506" t="str">
        <f>'1. Project Inputs'!F40</f>
        <v>Manual Entry</v>
      </c>
      <c r="C47" s="616" t="str">
        <f>'1. Project Inputs'!G40</f>
        <v>Manual Entry %</v>
      </c>
      <c r="D47" s="187" t="str">
        <f t="shared" si="0"/>
        <v/>
      </c>
      <c r="E47" s="431"/>
      <c r="F47" s="431"/>
      <c r="G47" s="431"/>
      <c r="I47" s="186"/>
      <c r="J47" s="466" t="str">
        <f>'1. Project Inputs'!F40</f>
        <v>Manual Entry</v>
      </c>
      <c r="K47" s="616" t="str">
        <f>'1. Project Inputs'!G40</f>
        <v>Manual Entry %</v>
      </c>
      <c r="L47" s="400" t="str">
        <f t="shared" si="1"/>
        <v/>
      </c>
      <c r="R47" s="186"/>
      <c r="S47" s="466" t="str">
        <f>'1. Project Inputs'!F40</f>
        <v>Manual Entry</v>
      </c>
      <c r="T47" s="617" t="str">
        <f>'1. Project Inputs'!G40</f>
        <v>Manual Entry %</v>
      </c>
      <c r="U47" s="400" t="str">
        <f t="shared" si="2"/>
        <v/>
      </c>
      <c r="X47" s="8"/>
      <c r="Z47" s="109"/>
      <c r="AA47" s="109"/>
      <c r="AB47" s="109"/>
      <c r="AC47" s="109"/>
      <c r="AD47" s="109"/>
      <c r="AE47" s="109"/>
      <c r="AF47" s="109"/>
      <c r="AG47" s="109"/>
      <c r="AH47" s="109"/>
      <c r="AI47" s="109"/>
      <c r="AJ47" s="109"/>
      <c r="AK47" s="109"/>
      <c r="AL47" s="109"/>
      <c r="AM47" s="109"/>
      <c r="AN47" s="109"/>
      <c r="AO47" s="109"/>
      <c r="AP47" s="109"/>
      <c r="AQ47" s="109"/>
      <c r="AR47" s="109"/>
      <c r="AS47" s="109"/>
      <c r="AT47" s="109"/>
      <c r="AU47" s="109"/>
      <c r="AV47" s="94"/>
    </row>
    <row r="48" spans="1:48" x14ac:dyDescent="0.3">
      <c r="A48" s="186"/>
      <c r="B48" s="506" t="str">
        <f>'1. Project Inputs'!F41</f>
        <v>Manual Entry</v>
      </c>
      <c r="C48" s="616" t="str">
        <f>'1. Project Inputs'!G41</f>
        <v>Manual Entry %</v>
      </c>
      <c r="D48" s="187" t="str">
        <f t="shared" si="0"/>
        <v/>
      </c>
      <c r="E48" s="431"/>
      <c r="F48" s="431"/>
      <c r="G48" s="431"/>
      <c r="I48" s="186"/>
      <c r="J48" s="466" t="str">
        <f>'1. Project Inputs'!F41</f>
        <v>Manual Entry</v>
      </c>
      <c r="K48" s="616" t="str">
        <f>'1. Project Inputs'!G41</f>
        <v>Manual Entry %</v>
      </c>
      <c r="L48" s="400" t="str">
        <f t="shared" si="1"/>
        <v/>
      </c>
      <c r="R48" s="186"/>
      <c r="S48" s="466" t="str">
        <f>'1. Project Inputs'!F41</f>
        <v>Manual Entry</v>
      </c>
      <c r="T48" s="617" t="str">
        <f>'1. Project Inputs'!G41</f>
        <v>Manual Entry %</v>
      </c>
      <c r="U48" s="400" t="str">
        <f t="shared" si="2"/>
        <v/>
      </c>
      <c r="X48" s="8"/>
      <c r="Z48" s="109"/>
      <c r="AA48" s="109"/>
      <c r="AB48" s="109"/>
      <c r="AC48" s="109"/>
      <c r="AD48" s="109"/>
      <c r="AE48" s="109"/>
      <c r="AF48" s="109"/>
      <c r="AG48" s="109"/>
      <c r="AH48" s="109"/>
      <c r="AI48" s="109"/>
      <c r="AJ48" s="109"/>
      <c r="AK48" s="109"/>
      <c r="AL48" s="109"/>
      <c r="AM48" s="109"/>
      <c r="AN48" s="109"/>
      <c r="AO48" s="109"/>
      <c r="AP48" s="109"/>
      <c r="AQ48" s="109"/>
      <c r="AR48" s="109"/>
      <c r="AS48" s="109"/>
      <c r="AT48" s="109"/>
      <c r="AU48" s="109"/>
      <c r="AV48" s="94"/>
    </row>
    <row r="49" spans="1:48" x14ac:dyDescent="0.3">
      <c r="A49" s="186"/>
      <c r="B49" s="506" t="str">
        <f>'1. Project Inputs'!F42</f>
        <v>Manual Entry</v>
      </c>
      <c r="C49" s="616" t="str">
        <f>'1. Project Inputs'!G42</f>
        <v>Manual Entry %</v>
      </c>
      <c r="D49" s="187" t="str">
        <f t="shared" si="0"/>
        <v/>
      </c>
      <c r="E49" s="431"/>
      <c r="F49" s="431"/>
      <c r="G49" s="431"/>
      <c r="I49" s="186"/>
      <c r="J49" s="466" t="str">
        <f>'1. Project Inputs'!F42</f>
        <v>Manual Entry</v>
      </c>
      <c r="K49" s="616" t="str">
        <f>'1. Project Inputs'!G42</f>
        <v>Manual Entry %</v>
      </c>
      <c r="L49" s="400" t="str">
        <f t="shared" si="1"/>
        <v/>
      </c>
      <c r="R49" s="186"/>
      <c r="S49" s="466" t="str">
        <f>'1. Project Inputs'!F42</f>
        <v>Manual Entry</v>
      </c>
      <c r="T49" s="617" t="str">
        <f>'1. Project Inputs'!G42</f>
        <v>Manual Entry %</v>
      </c>
      <c r="U49" s="400" t="str">
        <f t="shared" si="2"/>
        <v/>
      </c>
      <c r="X49" s="94"/>
      <c r="Z49" s="109"/>
      <c r="AA49" s="109"/>
      <c r="AB49" s="109"/>
      <c r="AC49" s="109"/>
      <c r="AD49" s="109"/>
      <c r="AE49" s="109"/>
      <c r="AF49" s="109"/>
      <c r="AG49" s="109"/>
      <c r="AH49" s="109"/>
      <c r="AI49" s="109"/>
      <c r="AJ49" s="109"/>
      <c r="AK49" s="109"/>
      <c r="AL49" s="109"/>
      <c r="AM49" s="109"/>
      <c r="AN49" s="109"/>
      <c r="AO49" s="109"/>
      <c r="AP49" s="109"/>
      <c r="AQ49" s="109"/>
      <c r="AR49" s="109"/>
      <c r="AS49" s="109"/>
      <c r="AT49" s="109"/>
      <c r="AU49" s="109"/>
      <c r="AV49" s="94"/>
    </row>
    <row r="50" spans="1:48" x14ac:dyDescent="0.3">
      <c r="A50" s="186"/>
      <c r="B50" s="506" t="str">
        <f>'1. Project Inputs'!F43</f>
        <v>Manual Entry</v>
      </c>
      <c r="C50" s="616" t="str">
        <f>'1. Project Inputs'!G43</f>
        <v>Manual Entry %</v>
      </c>
      <c r="D50" s="187" t="str">
        <f t="shared" si="0"/>
        <v/>
      </c>
      <c r="E50" s="431"/>
      <c r="F50" s="431"/>
      <c r="G50" s="431"/>
      <c r="I50" s="186"/>
      <c r="J50" s="466" t="str">
        <f>'1. Project Inputs'!F43</f>
        <v>Manual Entry</v>
      </c>
      <c r="K50" s="616" t="str">
        <f>'1. Project Inputs'!G43</f>
        <v>Manual Entry %</v>
      </c>
      <c r="L50" s="400" t="str">
        <f t="shared" si="1"/>
        <v/>
      </c>
      <c r="Q50" s="178"/>
      <c r="R50" s="186"/>
      <c r="S50" s="466" t="str">
        <f>'1. Project Inputs'!F43</f>
        <v>Manual Entry</v>
      </c>
      <c r="T50" s="617" t="str">
        <f>'1. Project Inputs'!G43</f>
        <v>Manual Entry %</v>
      </c>
      <c r="U50" s="400" t="str">
        <f t="shared" si="2"/>
        <v/>
      </c>
      <c r="X50" s="94"/>
      <c r="Z50" s="109"/>
      <c r="AA50" s="109"/>
      <c r="AB50" s="109"/>
      <c r="AC50" s="109"/>
      <c r="AD50" s="109"/>
      <c r="AE50" s="109"/>
      <c r="AF50" s="109"/>
      <c r="AG50" s="109"/>
      <c r="AH50" s="109"/>
      <c r="AI50" s="109"/>
      <c r="AJ50" s="109"/>
      <c r="AK50" s="109"/>
      <c r="AL50" s="109"/>
      <c r="AM50" s="109"/>
      <c r="AN50" s="109"/>
      <c r="AO50" s="109"/>
      <c r="AP50" s="109"/>
      <c r="AQ50" s="109"/>
      <c r="AR50" s="109"/>
      <c r="AS50" s="109"/>
      <c r="AT50" s="109"/>
      <c r="AU50" s="109"/>
      <c r="AV50" s="94"/>
    </row>
    <row r="51" spans="1:48" x14ac:dyDescent="0.3">
      <c r="A51" s="50"/>
      <c r="B51" s="188" t="s">
        <v>201</v>
      </c>
      <c r="C51" s="406"/>
      <c r="D51" s="406">
        <f>SUM(D41:D50)</f>
        <v>0</v>
      </c>
      <c r="E51" s="460"/>
      <c r="F51" s="460"/>
      <c r="G51" s="460"/>
      <c r="I51" s="50"/>
      <c r="J51" s="188" t="s">
        <v>201</v>
      </c>
      <c r="K51" s="406"/>
      <c r="L51" s="406">
        <f>SUM(L41:L50)</f>
        <v>0</v>
      </c>
      <c r="Q51" s="178"/>
      <c r="R51" s="50"/>
      <c r="S51" s="188" t="s">
        <v>201</v>
      </c>
      <c r="T51" s="406"/>
      <c r="U51" s="406">
        <f>SUM(U41:U50)</f>
        <v>0</v>
      </c>
      <c r="X51" s="94"/>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94"/>
    </row>
    <row r="52" spans="1:48" x14ac:dyDescent="0.3">
      <c r="A52" s="211"/>
      <c r="B52" s="15"/>
      <c r="C52" s="212"/>
      <c r="D52" s="212"/>
      <c r="E52" s="212"/>
      <c r="F52" s="212"/>
      <c r="G52" s="212"/>
      <c r="Q52" s="178"/>
      <c r="X52" s="94"/>
      <c r="Z52" s="109"/>
      <c r="AA52" s="109"/>
      <c r="AB52" s="109"/>
      <c r="AC52" s="109"/>
      <c r="AD52" s="109"/>
      <c r="AE52" s="109"/>
      <c r="AF52" s="109"/>
      <c r="AG52" s="109"/>
      <c r="AH52" s="109"/>
      <c r="AI52" s="109"/>
      <c r="AJ52" s="109"/>
      <c r="AK52" s="109"/>
      <c r="AL52" s="109"/>
      <c r="AM52" s="109"/>
      <c r="AN52" s="109"/>
      <c r="AO52" s="109"/>
      <c r="AP52" s="109"/>
      <c r="AQ52" s="109"/>
      <c r="AR52" s="109"/>
      <c r="AS52" s="109"/>
      <c r="AT52" s="109"/>
      <c r="AU52" s="109"/>
      <c r="AV52" s="94"/>
    </row>
    <row r="53" spans="1:48" ht="17.399999999999999" x14ac:dyDescent="0.3">
      <c r="A53" s="211"/>
      <c r="B53" s="478" t="s">
        <v>183</v>
      </c>
      <c r="C53" s="478"/>
      <c r="D53" s="478"/>
      <c r="E53" s="478"/>
      <c r="F53" s="478"/>
      <c r="G53" s="478"/>
      <c r="J53" s="1787" t="s">
        <v>183</v>
      </c>
      <c r="K53" s="1787"/>
      <c r="L53" s="1787"/>
      <c r="M53" s="1787"/>
      <c r="N53" s="1787"/>
      <c r="Q53" s="178"/>
      <c r="S53" s="1787" t="s">
        <v>183</v>
      </c>
      <c r="T53" s="1787"/>
      <c r="U53" s="1787"/>
      <c r="V53" s="1787"/>
      <c r="W53" s="1787"/>
      <c r="X53" s="94"/>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94"/>
    </row>
    <row r="54" spans="1:48" ht="17.399999999999999" thickBot="1" x14ac:dyDescent="0.35">
      <c r="A54" s="211"/>
      <c r="B54" s="464" t="s">
        <v>1622</v>
      </c>
      <c r="C54" s="315">
        <f>GETPIVOTDATA("Weighted Effort Days",$B$16)</f>
        <v>23</v>
      </c>
      <c r="D54" s="174"/>
      <c r="E54" s="269"/>
      <c r="F54" s="269"/>
      <c r="G54" s="269"/>
      <c r="J54" s="464" t="s">
        <v>1622</v>
      </c>
      <c r="K54" s="315">
        <f>GETPIVOTDATA("Weighted Effort Days",$J$16)</f>
        <v>23</v>
      </c>
      <c r="L54" s="174"/>
      <c r="M54" s="479"/>
      <c r="Q54" s="178"/>
      <c r="S54" s="464" t="s">
        <v>1622</v>
      </c>
      <c r="T54" s="315">
        <f>GETPIVOTDATA("Weighted Effort Days",$S$16)</f>
        <v>23</v>
      </c>
      <c r="U54" s="174"/>
      <c r="V54" s="479"/>
      <c r="X54" s="94"/>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c r="AV54" s="94"/>
    </row>
    <row r="55" spans="1:48" ht="15" thickTop="1" x14ac:dyDescent="0.3">
      <c r="A55" s="211"/>
      <c r="B55" s="172" t="s">
        <v>1623</v>
      </c>
      <c r="C55" s="316">
        <f>IFERROR(D51,"")/8</f>
        <v>0</v>
      </c>
      <c r="D55" s="203"/>
      <c r="E55" s="203"/>
      <c r="F55" s="203"/>
      <c r="G55" s="203"/>
      <c r="J55" s="172" t="s">
        <v>1623</v>
      </c>
      <c r="K55" s="316">
        <f>IFERROR(L51,"")/8</f>
        <v>0</v>
      </c>
      <c r="L55" s="203"/>
      <c r="Q55" s="178"/>
      <c r="S55" s="172" t="s">
        <v>1623</v>
      </c>
      <c r="T55" s="316">
        <f>IFERROR(U51,"")/8</f>
        <v>0</v>
      </c>
      <c r="U55" s="203"/>
      <c r="X55" s="94"/>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94"/>
    </row>
    <row r="56" spans="1:48" ht="17.399999999999999" thickBot="1" x14ac:dyDescent="0.35">
      <c r="A56" s="211"/>
      <c r="B56" s="175" t="s">
        <v>202</v>
      </c>
      <c r="C56" s="573">
        <f>SUM(C54:C55)</f>
        <v>23</v>
      </c>
      <c r="D56" s="175"/>
      <c r="E56" s="268"/>
      <c r="F56" s="268"/>
      <c r="G56" s="268"/>
      <c r="I56" s="94"/>
      <c r="J56" s="175" t="s">
        <v>202</v>
      </c>
      <c r="K56" s="573">
        <f>SUM(K54:K55)</f>
        <v>23</v>
      </c>
      <c r="L56" s="175"/>
      <c r="M56" s="480"/>
      <c r="O56" s="8"/>
      <c r="Q56" s="178"/>
      <c r="R56" s="94"/>
      <c r="S56" s="175" t="s">
        <v>202</v>
      </c>
      <c r="T56" s="573">
        <f>SUM(T54:T55)</f>
        <v>23</v>
      </c>
      <c r="U56" s="175"/>
      <c r="V56" s="480"/>
      <c r="X56" s="94"/>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94"/>
    </row>
    <row r="57" spans="1:48" ht="18" x14ac:dyDescent="0.35">
      <c r="A57" s="211"/>
      <c r="B57" s="438" t="s">
        <v>203</v>
      </c>
      <c r="C57" s="474">
        <f>C56/5</f>
        <v>4.5999999999999996</v>
      </c>
      <c r="D57" s="475"/>
      <c r="E57" s="475"/>
      <c r="F57" s="475"/>
      <c r="G57" s="475"/>
      <c r="H57" s="476"/>
      <c r="I57" s="477"/>
      <c r="J57" s="438" t="s">
        <v>203</v>
      </c>
      <c r="K57" s="219">
        <f>K56/5</f>
        <v>4.5999999999999996</v>
      </c>
      <c r="L57" s="214"/>
      <c r="N57" s="212"/>
      <c r="O57" s="8"/>
      <c r="Q57" s="178"/>
      <c r="R57" s="94"/>
      <c r="S57" s="438" t="s">
        <v>203</v>
      </c>
      <c r="T57" s="219">
        <f>T56/5</f>
        <v>4.5999999999999996</v>
      </c>
      <c r="U57" s="214"/>
      <c r="W57" s="212"/>
      <c r="X57" s="109"/>
      <c r="Y57" s="109"/>
      <c r="Z57" s="109"/>
      <c r="AA57" s="109"/>
      <c r="AB57" s="109"/>
      <c r="AC57" s="109"/>
      <c r="AD57" s="109"/>
      <c r="AE57" s="109"/>
      <c r="AF57" s="109"/>
      <c r="AG57" s="109"/>
      <c r="AH57" s="109"/>
      <c r="AI57" s="109"/>
      <c r="AJ57" s="109"/>
      <c r="AK57" s="109"/>
      <c r="AL57" s="109"/>
      <c r="AM57" s="109"/>
      <c r="AN57" s="109"/>
      <c r="AO57" s="109"/>
      <c r="AP57" s="109"/>
      <c r="AQ57" s="109"/>
      <c r="AR57" s="109"/>
      <c r="AS57" s="109"/>
      <c r="AT57" s="109"/>
      <c r="AU57" s="109"/>
      <c r="AV57" s="94"/>
    </row>
    <row r="58" spans="1:48" x14ac:dyDescent="0.3">
      <c r="A58" s="211"/>
      <c r="B58" s="213"/>
      <c r="C58" s="214"/>
      <c r="D58" s="214"/>
      <c r="E58" s="214"/>
      <c r="F58" s="214"/>
      <c r="G58" s="214"/>
      <c r="I58" s="94"/>
      <c r="J58" s="213"/>
      <c r="K58" s="214"/>
      <c r="L58" s="214"/>
      <c r="N58" s="215"/>
      <c r="O58" s="8"/>
      <c r="Q58" s="178"/>
      <c r="R58" s="94"/>
      <c r="S58" s="213"/>
      <c r="T58" s="214"/>
      <c r="U58" s="214"/>
      <c r="W58" s="215"/>
      <c r="X58" s="109"/>
      <c r="Y58" s="109"/>
      <c r="Z58" s="109"/>
      <c r="AA58" s="109"/>
      <c r="AB58" s="109"/>
      <c r="AC58" s="109"/>
      <c r="AD58" s="109"/>
      <c r="AE58" s="109"/>
      <c r="AF58" s="109"/>
      <c r="AG58" s="109"/>
      <c r="AH58" s="109"/>
      <c r="AI58" s="109"/>
      <c r="AJ58" s="109"/>
      <c r="AK58" s="109"/>
      <c r="AL58" s="109"/>
      <c r="AM58" s="109"/>
      <c r="AN58" s="109"/>
      <c r="AO58" s="109"/>
      <c r="AP58" s="109"/>
      <c r="AQ58" s="109"/>
      <c r="AR58" s="109"/>
      <c r="AS58" s="109"/>
      <c r="AT58" s="109"/>
      <c r="AU58" s="109"/>
      <c r="AV58" s="94"/>
    </row>
    <row r="59" spans="1:48" x14ac:dyDescent="0.3">
      <c r="A59" s="211"/>
      <c r="B59" s="213"/>
      <c r="C59" s="214"/>
      <c r="D59" s="214"/>
      <c r="E59" s="214"/>
      <c r="F59" s="214"/>
      <c r="G59" s="214"/>
      <c r="I59" s="94"/>
      <c r="J59" s="213"/>
      <c r="K59" s="214"/>
      <c r="L59" s="214"/>
      <c r="M59" s="215"/>
      <c r="N59" s="215"/>
      <c r="O59" s="8"/>
      <c r="Q59" s="178"/>
      <c r="R59" s="94"/>
      <c r="S59" s="213"/>
      <c r="T59" s="214"/>
      <c r="U59" s="214"/>
      <c r="W59" s="215"/>
      <c r="X59" s="109"/>
      <c r="Y59" s="109"/>
      <c r="Z59" s="109"/>
      <c r="AA59" s="109"/>
      <c r="AB59" s="109"/>
      <c r="AC59" s="109"/>
      <c r="AD59" s="109"/>
      <c r="AE59" s="109"/>
      <c r="AF59" s="109"/>
      <c r="AG59" s="109"/>
      <c r="AH59" s="109"/>
      <c r="AI59" s="109"/>
      <c r="AJ59" s="109"/>
      <c r="AK59" s="109"/>
      <c r="AL59" s="109"/>
      <c r="AM59" s="109"/>
      <c r="AN59" s="109"/>
      <c r="AO59" s="109"/>
      <c r="AP59" s="109"/>
      <c r="AQ59" s="109"/>
      <c r="AR59" s="109"/>
      <c r="AS59" s="109"/>
      <c r="AT59" s="109"/>
      <c r="AU59" s="109"/>
      <c r="AV59" s="94"/>
    </row>
    <row r="60" spans="1:48" x14ac:dyDescent="0.3">
      <c r="A60" s="211"/>
      <c r="B60" s="213"/>
      <c r="C60" s="214"/>
      <c r="D60" s="214"/>
      <c r="E60" s="214"/>
      <c r="F60" s="214"/>
      <c r="G60" s="214"/>
      <c r="I60" s="94"/>
      <c r="J60" s="213"/>
      <c r="K60" s="214"/>
      <c r="L60" s="214"/>
      <c r="M60" s="15"/>
      <c r="N60" s="215"/>
      <c r="O60" s="8"/>
      <c r="Q60" s="178"/>
      <c r="R60" s="94"/>
      <c r="S60" s="213"/>
      <c r="T60" s="214"/>
      <c r="U60" s="214"/>
      <c r="V60" s="8"/>
      <c r="W60" s="215"/>
      <c r="X60" s="109"/>
      <c r="Y60" s="109"/>
      <c r="Z60" s="109"/>
      <c r="AA60" s="109"/>
      <c r="AB60" s="109"/>
      <c r="AC60" s="109"/>
      <c r="AD60" s="109"/>
      <c r="AE60" s="109"/>
      <c r="AF60" s="109"/>
      <c r="AG60" s="109"/>
      <c r="AH60" s="109"/>
      <c r="AI60" s="109"/>
      <c r="AJ60" s="109"/>
      <c r="AK60" s="109"/>
      <c r="AL60" s="109"/>
      <c r="AM60" s="109"/>
      <c r="AN60" s="109"/>
      <c r="AO60" s="109"/>
      <c r="AP60" s="109"/>
      <c r="AQ60" s="109"/>
      <c r="AR60" s="109"/>
      <c r="AS60" s="109"/>
      <c r="AT60" s="109"/>
      <c r="AU60" s="109"/>
      <c r="AV60" s="94"/>
    </row>
    <row r="61" spans="1:48" x14ac:dyDescent="0.3">
      <c r="A61" s="211"/>
      <c r="C61" s="214"/>
      <c r="D61" s="214"/>
      <c r="E61" s="214"/>
      <c r="F61" s="214"/>
      <c r="G61" s="214"/>
      <c r="I61" s="94"/>
      <c r="J61" s="213"/>
      <c r="K61" s="214"/>
      <c r="L61" s="214"/>
      <c r="M61" s="15"/>
      <c r="N61" s="215"/>
      <c r="O61" s="8"/>
      <c r="Q61" s="178"/>
      <c r="R61" s="94"/>
      <c r="S61" s="213"/>
      <c r="T61" s="214"/>
      <c r="U61" s="214"/>
      <c r="V61" s="8"/>
      <c r="W61" s="215"/>
    </row>
    <row r="62" spans="1:48" x14ac:dyDescent="0.3">
      <c r="A62" s="211"/>
      <c r="B62" s="213"/>
      <c r="C62" s="214"/>
      <c r="D62" s="214"/>
      <c r="E62" s="214"/>
      <c r="F62" s="214"/>
      <c r="G62" s="214"/>
      <c r="I62" s="94"/>
      <c r="J62" s="213"/>
      <c r="K62" s="214"/>
      <c r="L62" s="214"/>
      <c r="M62" s="216"/>
      <c r="N62" s="215"/>
      <c r="O62" s="8"/>
      <c r="Q62" s="178"/>
      <c r="R62" s="94"/>
      <c r="S62" s="213"/>
      <c r="T62" s="214"/>
      <c r="U62" s="214"/>
      <c r="V62" s="216"/>
      <c r="W62" s="215"/>
    </row>
    <row r="63" spans="1:48" x14ac:dyDescent="0.3">
      <c r="A63" s="211"/>
      <c r="B63" s="213"/>
      <c r="C63" s="214"/>
      <c r="D63" s="214"/>
      <c r="E63" s="214"/>
      <c r="F63" s="214"/>
      <c r="G63" s="214"/>
      <c r="J63" s="213"/>
      <c r="K63" s="214"/>
      <c r="L63" s="214"/>
      <c r="M63" s="217"/>
      <c r="N63" s="217"/>
      <c r="Q63" s="178"/>
      <c r="S63" s="213"/>
      <c r="T63" s="214"/>
      <c r="U63" s="214"/>
      <c r="V63" s="217"/>
      <c r="W63" s="217"/>
    </row>
    <row r="64" spans="1:48" x14ac:dyDescent="0.3">
      <c r="A64" s="211"/>
      <c r="B64" s="218"/>
      <c r="C64" s="219"/>
      <c r="D64" s="219"/>
      <c r="E64" s="219"/>
      <c r="F64" s="219"/>
      <c r="G64" s="219"/>
      <c r="J64" s="218"/>
      <c r="K64" s="219"/>
      <c r="L64" s="219"/>
      <c r="M64" s="15"/>
      <c r="N64" s="15"/>
      <c r="S64" s="218"/>
      <c r="T64" s="219"/>
      <c r="U64" s="219"/>
      <c r="V64" s="15"/>
      <c r="W64" s="15"/>
    </row>
    <row r="65" spans="2:23" x14ac:dyDescent="0.3">
      <c r="B65" s="8"/>
      <c r="C65" s="8"/>
      <c r="D65" s="8"/>
      <c r="E65" s="8"/>
      <c r="F65" s="8"/>
      <c r="G65" s="8"/>
      <c r="J65" s="8"/>
      <c r="K65" s="8"/>
      <c r="L65" s="8"/>
      <c r="M65" s="8"/>
      <c r="N65" s="8"/>
      <c r="S65" s="8"/>
      <c r="T65" s="8"/>
      <c r="U65" s="8"/>
      <c r="V65" s="8"/>
      <c r="W65" s="8"/>
    </row>
    <row r="66" spans="2:23" ht="16.8" x14ac:dyDescent="0.3">
      <c r="J66" s="268"/>
      <c r="K66" s="268"/>
      <c r="L66" s="269"/>
      <c r="M66" s="270"/>
      <c r="S66" s="268"/>
      <c r="T66" s="268"/>
      <c r="U66" s="269"/>
      <c r="V66" s="270"/>
    </row>
    <row r="67" spans="2:23" x14ac:dyDescent="0.3">
      <c r="J67" s="172"/>
      <c r="K67" s="171"/>
      <c r="L67" s="171"/>
      <c r="M67" s="173"/>
      <c r="S67" s="172"/>
      <c r="T67" s="171"/>
      <c r="U67" s="171"/>
      <c r="V67" s="173"/>
    </row>
    <row r="68" spans="2:23" x14ac:dyDescent="0.3">
      <c r="J68" s="171"/>
      <c r="K68" s="171"/>
      <c r="L68" s="171"/>
      <c r="M68" s="171"/>
      <c r="S68" s="171"/>
      <c r="T68" s="171"/>
      <c r="U68" s="171"/>
      <c r="V68" s="171"/>
    </row>
    <row r="69" spans="2:23" ht="16.8" x14ac:dyDescent="0.3">
      <c r="J69" s="268"/>
      <c r="K69" s="268"/>
      <c r="L69" s="268"/>
      <c r="M69" s="270"/>
      <c r="S69" s="268"/>
      <c r="T69" s="268"/>
      <c r="U69" s="268"/>
      <c r="V69" s="270"/>
    </row>
    <row r="70" spans="2:23" x14ac:dyDescent="0.3">
      <c r="B70" s="8"/>
      <c r="C70" s="8"/>
      <c r="D70" s="8"/>
      <c r="E70" s="8"/>
      <c r="F70" s="8"/>
      <c r="G70" s="8"/>
      <c r="J70" s="1649"/>
      <c r="K70" s="1649"/>
      <c r="L70" s="1649"/>
      <c r="M70" s="1649"/>
    </row>
    <row r="71" spans="2:23" x14ac:dyDescent="0.3">
      <c r="J71" s="1649"/>
      <c r="K71" s="1649"/>
      <c r="L71" s="1649"/>
      <c r="M71" s="1649"/>
    </row>
    <row r="72" spans="2:23" x14ac:dyDescent="0.3">
      <c r="J72" s="1649"/>
      <c r="K72" s="1649"/>
      <c r="L72" s="1649"/>
      <c r="M72" s="1649"/>
    </row>
    <row r="73" spans="2:23" x14ac:dyDescent="0.3">
      <c r="J73" s="1649"/>
      <c r="K73" s="1649"/>
      <c r="L73" s="1649"/>
      <c r="M73" s="1649"/>
    </row>
    <row r="74" spans="2:23" x14ac:dyDescent="0.3">
      <c r="J74" s="1649"/>
      <c r="K74" s="1649"/>
      <c r="L74" s="1649"/>
      <c r="M74" s="1649"/>
    </row>
    <row r="75" spans="2:23" x14ac:dyDescent="0.3">
      <c r="J75" s="1649"/>
      <c r="K75" s="1649"/>
      <c r="L75" s="1649"/>
      <c r="M75" s="1649"/>
    </row>
    <row r="76" spans="2:23" x14ac:dyDescent="0.3">
      <c r="J76" s="1649"/>
      <c r="K76" s="1649"/>
      <c r="L76" s="1649"/>
      <c r="M76" s="1649"/>
    </row>
    <row r="77" spans="2:23" x14ac:dyDescent="0.3">
      <c r="J77" s="1649"/>
      <c r="K77" s="1649"/>
      <c r="L77" s="1649"/>
      <c r="M77" s="1649"/>
    </row>
    <row r="78" spans="2:23" x14ac:dyDescent="0.3">
      <c r="J78" s="1649"/>
      <c r="K78" s="1649"/>
      <c r="L78" s="1649"/>
      <c r="M78" s="1649"/>
    </row>
    <row r="79" spans="2:23" x14ac:dyDescent="0.3">
      <c r="C79" s="135"/>
      <c r="D79" s="162"/>
      <c r="E79" s="162"/>
      <c r="F79" s="162"/>
      <c r="G79" s="162"/>
      <c r="J79" s="1649"/>
      <c r="K79" s="1649"/>
      <c r="L79" s="1649"/>
      <c r="M79" s="1649"/>
    </row>
    <row r="80" spans="2:23" x14ac:dyDescent="0.3">
      <c r="B80" s="192"/>
      <c r="C80" s="193"/>
      <c r="D80" s="151"/>
      <c r="E80" s="151"/>
      <c r="F80" s="151"/>
      <c r="G80" s="151"/>
      <c r="J80" s="1649"/>
      <c r="K80" s="1649"/>
      <c r="L80" s="1649"/>
      <c r="M80" s="1649"/>
    </row>
    <row r="81" spans="2:13" x14ac:dyDescent="0.3">
      <c r="B81" s="192"/>
      <c r="C81" s="193"/>
      <c r="D81" s="151"/>
      <c r="E81" s="151"/>
      <c r="F81" s="151"/>
      <c r="G81" s="151"/>
      <c r="J81" s="1649"/>
      <c r="K81" s="1649"/>
      <c r="L81" s="1649"/>
      <c r="M81" s="1649"/>
    </row>
    <row r="82" spans="2:13" x14ac:dyDescent="0.3">
      <c r="B82" s="192"/>
      <c r="C82" s="193"/>
      <c r="D82" s="151"/>
      <c r="E82" s="151"/>
      <c r="F82" s="151"/>
      <c r="G82" s="151"/>
      <c r="J82" s="1649"/>
      <c r="K82" s="1649"/>
      <c r="L82" s="1649"/>
      <c r="M82" s="1649"/>
    </row>
    <row r="83" spans="2:13" x14ac:dyDescent="0.3">
      <c r="B83" s="192"/>
      <c r="C83" s="193"/>
      <c r="D83" s="151"/>
      <c r="E83" s="151"/>
      <c r="F83" s="151"/>
      <c r="G83" s="151"/>
      <c r="J83" s="1649"/>
      <c r="K83" s="1649"/>
      <c r="L83" s="1649"/>
      <c r="M83" s="1649"/>
    </row>
    <row r="84" spans="2:13" x14ac:dyDescent="0.3">
      <c r="B84" s="192"/>
      <c r="C84" s="193"/>
      <c r="D84" s="151"/>
      <c r="E84" s="151"/>
      <c r="F84" s="151"/>
      <c r="G84" s="151"/>
      <c r="J84" s="1649"/>
      <c r="K84" s="1649"/>
      <c r="L84" s="1649"/>
      <c r="M84" s="1649"/>
    </row>
    <row r="85" spans="2:13" x14ac:dyDescent="0.3">
      <c r="B85" s="192"/>
      <c r="C85" s="193"/>
      <c r="D85" s="151"/>
      <c r="E85" s="151"/>
      <c r="F85" s="151"/>
      <c r="G85" s="151"/>
      <c r="J85" s="1649"/>
      <c r="K85" s="1649"/>
      <c r="L85" s="1649"/>
      <c r="M85" s="1649"/>
    </row>
    <row r="86" spans="2:13" x14ac:dyDescent="0.3">
      <c r="B86" s="192"/>
      <c r="C86" s="193"/>
      <c r="D86" s="151"/>
      <c r="E86" s="151"/>
      <c r="F86" s="151"/>
      <c r="G86" s="151"/>
      <c r="J86" s="1649"/>
      <c r="K86" s="1649"/>
      <c r="L86" s="1649"/>
      <c r="M86" s="1649"/>
    </row>
    <row r="87" spans="2:13" x14ac:dyDescent="0.3">
      <c r="B87" s="192"/>
      <c r="C87" s="193"/>
      <c r="D87" s="151"/>
      <c r="E87" s="151"/>
      <c r="F87" s="151"/>
      <c r="G87" s="151"/>
      <c r="J87" s="1649"/>
      <c r="K87" s="1649"/>
      <c r="L87" s="1649"/>
      <c r="M87" s="1649"/>
    </row>
    <row r="88" spans="2:13" x14ac:dyDescent="0.3">
      <c r="B88" s="192"/>
      <c r="C88" s="193"/>
      <c r="D88" s="151"/>
      <c r="E88" s="151"/>
      <c r="F88" s="151"/>
      <c r="G88" s="151"/>
      <c r="J88" s="1649"/>
      <c r="K88" s="1649"/>
      <c r="L88" s="1649"/>
      <c r="M88" s="1649"/>
    </row>
    <row r="89" spans="2:13" x14ac:dyDescent="0.3">
      <c r="B89" s="192"/>
      <c r="C89" s="193"/>
      <c r="D89" s="151"/>
      <c r="E89" s="151"/>
      <c r="F89" s="151"/>
      <c r="G89" s="151"/>
    </row>
    <row r="90" spans="2:13" x14ac:dyDescent="0.3">
      <c r="C90" s="191"/>
      <c r="D90" s="194"/>
      <c r="E90" s="194"/>
      <c r="F90" s="194"/>
      <c r="G90" s="194"/>
    </row>
    <row r="95" spans="2:13" ht="16.8" x14ac:dyDescent="0.3">
      <c r="B95" s="204"/>
      <c r="C95" s="204"/>
      <c r="D95" s="205"/>
      <c r="E95" s="205"/>
      <c r="F95" s="205"/>
      <c r="G95" s="205"/>
    </row>
    <row r="96" spans="2:13" x14ac:dyDescent="0.3">
      <c r="B96" s="172"/>
      <c r="C96" s="171"/>
      <c r="D96" s="171"/>
      <c r="E96" s="171"/>
      <c r="F96" s="171"/>
      <c r="G96" s="171"/>
    </row>
    <row r="97" spans="2:7" x14ac:dyDescent="0.3">
      <c r="B97" s="171"/>
      <c r="C97" s="171"/>
      <c r="D97" s="171"/>
      <c r="E97" s="171"/>
      <c r="F97" s="171"/>
      <c r="G97" s="171"/>
    </row>
    <row r="98" spans="2:7" ht="16.8" x14ac:dyDescent="0.3">
      <c r="B98" s="204"/>
      <c r="C98" s="204"/>
      <c r="D98" s="204"/>
      <c r="E98" s="204"/>
      <c r="F98" s="204"/>
      <c r="G98" s="204"/>
    </row>
  </sheetData>
  <sheetProtection sort="0" autoFilter="0" pivotTables="0"/>
  <mergeCells count="25">
    <mergeCell ref="J87:M87"/>
    <mergeCell ref="J88:M88"/>
    <mergeCell ref="J70:M70"/>
    <mergeCell ref="J71:M71"/>
    <mergeCell ref="J84:M84"/>
    <mergeCell ref="J85:M85"/>
    <mergeCell ref="J82:M82"/>
    <mergeCell ref="J83:M83"/>
    <mergeCell ref="J72:M72"/>
    <mergeCell ref="J73:M73"/>
    <mergeCell ref="J74:M74"/>
    <mergeCell ref="J75:M75"/>
    <mergeCell ref="J76:M76"/>
    <mergeCell ref="J77:M77"/>
    <mergeCell ref="J78:M78"/>
    <mergeCell ref="S53:W53"/>
    <mergeCell ref="B9:C9"/>
    <mergeCell ref="J9:K9"/>
    <mergeCell ref="S9:T9"/>
    <mergeCell ref="J86:M86"/>
    <mergeCell ref="B2:E3"/>
    <mergeCell ref="J53:N53"/>
    <mergeCell ref="J79:M79"/>
    <mergeCell ref="J80:M80"/>
    <mergeCell ref="J81:M81"/>
  </mergeCells>
  <conditionalFormatting sqref="B41:B45 B46:C50">
    <cfRule type="beginsWith" dxfId="36" priority="20" operator="beginsWith" text="[">
      <formula>LEFT(B41,LEN("["))="["</formula>
    </cfRule>
  </conditionalFormatting>
  <conditionalFormatting sqref="D80:G89">
    <cfRule type="expression" dxfId="35" priority="22">
      <formula>$I80="%"</formula>
    </cfRule>
  </conditionalFormatting>
  <conditionalFormatting sqref="F41:G45 E46:G50">
    <cfRule type="expression" dxfId="34" priority="18">
      <formula>$I41="Hrs"</formula>
    </cfRule>
  </conditionalFormatting>
  <conditionalFormatting sqref="J41:K50">
    <cfRule type="beginsWith" dxfId="33" priority="2" operator="beginsWith" text="[">
      <formula>LEFT(J41,LEN("["))="["</formula>
    </cfRule>
  </conditionalFormatting>
  <conditionalFormatting sqref="L41:L50">
    <cfRule type="expression" dxfId="32" priority="6">
      <formula>$I41="Hrs"</formula>
    </cfRule>
  </conditionalFormatting>
  <conditionalFormatting sqref="Q19:Q32">
    <cfRule type="beginsWith" dxfId="31" priority="28" operator="beginsWith" text="[">
      <formula>LEFT(Q19,LEN("["))="["</formula>
    </cfRule>
  </conditionalFormatting>
  <conditionalFormatting sqref="Q38 C80:C89">
    <cfRule type="beginsWith" dxfId="30" priority="23" operator="beginsWith" text="[">
      <formula>LEFT(C38,LEN("["))="["</formula>
    </cfRule>
  </conditionalFormatting>
  <conditionalFormatting sqref="S41:T50">
    <cfRule type="beginsWith" dxfId="29" priority="1" operator="beginsWith" text="[">
      <formula>LEFT(S41,LEN("["))="["</formula>
    </cfRule>
  </conditionalFormatting>
  <conditionalFormatting sqref="U41:U50">
    <cfRule type="expression" dxfId="28" priority="3">
      <formula>$I41="Hrs"</formula>
    </cfRule>
  </conditionalFormatting>
  <pageMargins left="0.7" right="0.7" top="0.75" bottom="0.75" header="0.3" footer="0.3"/>
  <pageSetup orientation="portrait" r:id="rId4"/>
  <headerFooter>
    <oddFooter>&amp;C_x000D_&amp;1#&amp;"Calibri"&amp;10&amp;K000000 Confidential - Not for Public Consumption or Distribution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dimension ref="A1:BJ75"/>
  <sheetViews>
    <sheetView tabSelected="1" topLeftCell="A2" zoomScaleNormal="100" workbookViewId="0">
      <selection activeCell="H9" sqref="H9"/>
    </sheetView>
  </sheetViews>
  <sheetFormatPr defaultColWidth="9.21875" defaultRowHeight="14.4" x14ac:dyDescent="0.3"/>
  <cols>
    <col min="1" max="1" width="6.44140625" style="86" customWidth="1"/>
    <col min="2" max="2" width="5" style="1402" hidden="1" customWidth="1"/>
    <col min="3" max="3" width="19.44140625" style="1402" hidden="1" customWidth="1"/>
    <col min="4" max="4" width="21.44140625" style="1402" hidden="1" customWidth="1"/>
    <col min="5" max="5" width="10" style="1402" hidden="1" customWidth="1"/>
    <col min="6" max="6" width="14.21875" style="1402" hidden="1" customWidth="1"/>
    <col min="7" max="7" width="26.21875" style="85" bestFit="1" customWidth="1"/>
    <col min="8" max="8" width="21.21875" style="85" bestFit="1" customWidth="1"/>
    <col min="9" max="9" width="24.21875" style="85" bestFit="1" customWidth="1"/>
    <col min="10" max="10" width="24.77734375" style="85" bestFit="1" customWidth="1"/>
    <col min="11" max="11" width="10.5546875" style="85" customWidth="1"/>
    <col min="12" max="12" width="6.21875" style="85" bestFit="1" customWidth="1"/>
    <col min="13" max="13" width="24.21875" style="85" bestFit="1" customWidth="1"/>
    <col min="14" max="14" width="15.77734375" style="85" customWidth="1"/>
    <col min="15" max="33" width="10.77734375" style="85" customWidth="1"/>
    <col min="34" max="34" width="11.21875" style="85" customWidth="1"/>
    <col min="35" max="35" width="12.21875" style="85" customWidth="1"/>
    <col min="36" max="36" width="13.21875" style="85" bestFit="1" customWidth="1"/>
    <col min="37" max="37" width="16.88671875" style="85" customWidth="1"/>
    <col min="38" max="38" width="12.44140625" style="86" customWidth="1"/>
    <col min="39" max="39" width="13.77734375" style="87" customWidth="1"/>
    <col min="40" max="40" width="16.21875" style="87" customWidth="1"/>
    <col min="41" max="41" width="13" style="87" customWidth="1"/>
    <col min="42" max="42" width="19" style="87" customWidth="1"/>
    <col min="43" max="43" width="42.21875" style="87" customWidth="1"/>
    <col min="44" max="16384" width="9.21875" style="87"/>
  </cols>
  <sheetData>
    <row r="1" spans="1:62" s="89" customFormat="1" ht="28.8" thickBot="1" x14ac:dyDescent="0.35">
      <c r="A1" s="1260"/>
      <c r="B1" s="1261"/>
      <c r="C1" s="1261"/>
      <c r="D1" s="1261"/>
      <c r="E1" s="1261"/>
      <c r="F1" s="1261"/>
      <c r="G1" s="1262" t="s">
        <v>206</v>
      </c>
      <c r="H1" s="1262"/>
      <c r="I1" s="1263" t="s">
        <v>2175</v>
      </c>
      <c r="J1" s="1264" t="s">
        <v>2176</v>
      </c>
      <c r="K1" s="1263" t="s">
        <v>2177</v>
      </c>
      <c r="L1" s="1264" t="s">
        <v>368</v>
      </c>
      <c r="N1" s="1265" t="s">
        <v>29</v>
      </c>
      <c r="O1" s="1265"/>
      <c r="P1" s="1265"/>
      <c r="Q1" s="1265"/>
      <c r="R1" s="1265"/>
      <c r="S1" s="1265"/>
      <c r="T1" s="1265"/>
      <c r="U1" s="1265"/>
      <c r="V1" s="1265"/>
      <c r="W1" s="1265"/>
      <c r="X1" s="1265"/>
      <c r="Y1" s="1265"/>
      <c r="Z1" s="1265"/>
      <c r="AA1" s="1265"/>
      <c r="AB1" s="1265"/>
      <c r="AC1" s="1265"/>
      <c r="AD1" s="1265"/>
      <c r="AE1" s="1265"/>
      <c r="AF1" s="1265"/>
      <c r="AG1" s="1265"/>
      <c r="AH1" s="1266"/>
      <c r="AI1" s="1266"/>
      <c r="AL1" s="90"/>
    </row>
    <row r="2" spans="1:62" s="89" customFormat="1" ht="28.2" x14ac:dyDescent="0.3">
      <c r="A2" s="1267"/>
      <c r="B2" s="1261"/>
      <c r="C2" s="1261"/>
      <c r="D2" s="1261"/>
      <c r="E2" s="1261"/>
      <c r="F2" s="1261"/>
      <c r="G2" s="89" t="s">
        <v>2462</v>
      </c>
      <c r="N2" s="91" t="s">
        <v>2178</v>
      </c>
      <c r="O2" s="92"/>
      <c r="P2" s="92"/>
      <c r="Q2" s="92"/>
      <c r="R2" s="92"/>
      <c r="S2" s="92"/>
      <c r="T2" s="92"/>
      <c r="U2" s="92"/>
      <c r="V2" s="92"/>
      <c r="W2" s="92"/>
      <c r="X2" s="92"/>
      <c r="Y2" s="92"/>
      <c r="Z2" s="92"/>
      <c r="AA2" s="92"/>
      <c r="AB2" s="92"/>
      <c r="AC2" s="92"/>
      <c r="AD2" s="92"/>
      <c r="AE2" s="92"/>
      <c r="AF2" s="92"/>
      <c r="AG2" s="92"/>
      <c r="AH2" s="91" t="s">
        <v>2178</v>
      </c>
      <c r="AL2" s="90"/>
    </row>
    <row r="3" spans="1:62" s="85" customFormat="1" ht="28.2" x14ac:dyDescent="0.3">
      <c r="A3" s="1267"/>
      <c r="B3" s="1268"/>
      <c r="C3" s="1268"/>
      <c r="D3" s="1268"/>
      <c r="E3" s="1268"/>
      <c r="F3" s="1268"/>
      <c r="G3" s="1023" t="s">
        <v>2463</v>
      </c>
      <c r="H3" s="85" t="str">
        <f>'1. Project Inputs'!C17</f>
        <v>AEM Implementation Soyum Foods</v>
      </c>
      <c r="J3" s="1269"/>
      <c r="N3" s="93"/>
      <c r="O3" s="93"/>
      <c r="P3" s="93"/>
      <c r="Q3" s="93"/>
      <c r="R3" s="93"/>
      <c r="S3" s="93"/>
      <c r="T3" s="93"/>
      <c r="U3" s="93"/>
      <c r="V3" s="93"/>
      <c r="W3" s="93"/>
      <c r="X3" s="93"/>
      <c r="Y3" s="93"/>
      <c r="Z3" s="93"/>
      <c r="AA3" s="93"/>
      <c r="AB3" s="93"/>
      <c r="AC3" s="93"/>
      <c r="AD3" s="93"/>
      <c r="AE3" s="93"/>
      <c r="AF3" s="93"/>
      <c r="AG3" s="93"/>
      <c r="AL3" s="86"/>
    </row>
    <row r="4" spans="1:62" s="85" customFormat="1" ht="28.2" x14ac:dyDescent="0.3">
      <c r="A4" s="1267"/>
      <c r="B4" s="1268"/>
      <c r="C4" s="1268"/>
      <c r="D4" s="1268"/>
      <c r="E4" s="1268"/>
      <c r="F4" s="1268"/>
      <c r="G4" s="1023" t="s">
        <v>2464</v>
      </c>
      <c r="H4" s="1566">
        <f>'1. Project Inputs'!C21</f>
        <v>45776</v>
      </c>
      <c r="N4" s="93"/>
      <c r="O4" s="93"/>
      <c r="P4" s="93"/>
      <c r="Q4" s="93"/>
      <c r="R4" s="93"/>
      <c r="S4" s="93"/>
      <c r="T4" s="93"/>
      <c r="U4" s="93"/>
      <c r="V4" s="93"/>
      <c r="W4" s="93"/>
      <c r="X4" s="93"/>
      <c r="Y4" s="93"/>
      <c r="Z4" s="93"/>
      <c r="AA4" s="93"/>
      <c r="AB4" s="93"/>
      <c r="AC4" s="93"/>
      <c r="AD4" s="93"/>
      <c r="AE4" s="93"/>
      <c r="AF4" s="93"/>
      <c r="AG4" s="93"/>
      <c r="AL4" s="86"/>
    </row>
    <row r="5" spans="1:62" s="85" customFormat="1" ht="28.2" x14ac:dyDescent="0.3">
      <c r="A5" s="1267"/>
      <c r="B5" s="1268"/>
      <c r="C5" s="1268"/>
      <c r="D5" s="1268"/>
      <c r="E5" s="1268"/>
      <c r="F5" s="1268"/>
      <c r="G5" s="1023" t="s">
        <v>2465</v>
      </c>
      <c r="H5" s="85" t="str">
        <f>IF('1. Project Inputs'!C22="Fixed Fee","Fixed Price",IF('1. Project Inputs'!C22="T&amp;M","Time and Materials"))</f>
        <v>Fixed Price</v>
      </c>
      <c r="N5" s="93"/>
      <c r="O5" s="93"/>
      <c r="P5" s="93"/>
      <c r="Q5" s="93"/>
      <c r="R5" s="93"/>
      <c r="S5" s="93"/>
      <c r="T5" s="93"/>
      <c r="U5" s="93"/>
      <c r="V5" s="93"/>
      <c r="W5" s="93"/>
      <c r="X5" s="93"/>
      <c r="Y5" s="93"/>
      <c r="Z5" s="93"/>
      <c r="AA5" s="93"/>
      <c r="AB5" s="93"/>
      <c r="AC5" s="93"/>
      <c r="AD5" s="93"/>
      <c r="AE5" s="93"/>
      <c r="AF5" s="93"/>
      <c r="AG5" s="93"/>
      <c r="AL5" s="86"/>
    </row>
    <row r="6" spans="1:62" s="85" customFormat="1" ht="28.2" x14ac:dyDescent="0.3">
      <c r="A6" s="1267"/>
      <c r="B6" s="1268"/>
      <c r="C6" s="1268"/>
      <c r="D6" s="1268"/>
      <c r="E6" s="1268"/>
      <c r="F6" s="1268"/>
      <c r="G6" s="1023" t="s">
        <v>2466</v>
      </c>
      <c r="H6" s="85" t="str">
        <f>'1. Project Inputs'!C25</f>
        <v>CR</v>
      </c>
      <c r="N6" s="93"/>
      <c r="O6" s="93"/>
      <c r="P6" s="93"/>
      <c r="Q6" s="93"/>
      <c r="R6" s="93"/>
      <c r="S6" s="93"/>
      <c r="T6" s="93"/>
      <c r="U6" s="93"/>
      <c r="V6" s="93"/>
      <c r="W6" s="93"/>
      <c r="X6" s="93"/>
      <c r="Y6" s="93"/>
      <c r="Z6" s="93"/>
      <c r="AA6" s="93"/>
      <c r="AB6" s="93"/>
      <c r="AC6" s="93"/>
      <c r="AD6" s="93"/>
      <c r="AE6" s="93"/>
      <c r="AF6" s="93"/>
      <c r="AG6" s="93"/>
      <c r="AL6" s="86"/>
    </row>
    <row r="7" spans="1:62" s="85" customFormat="1" ht="28.2" x14ac:dyDescent="0.3">
      <c r="A7" s="1267"/>
      <c r="B7" s="1268"/>
      <c r="C7" s="1268"/>
      <c r="D7" s="1268"/>
      <c r="E7" s="1268"/>
      <c r="F7" s="1268"/>
      <c r="G7" s="1023" t="s">
        <v>2467</v>
      </c>
      <c r="H7" s="85" t="str">
        <f>'1. Project Inputs'!C24</f>
        <v>Paid CR</v>
      </c>
      <c r="N7" s="93"/>
      <c r="O7" s="93"/>
      <c r="P7" s="93"/>
      <c r="Q7" s="93"/>
      <c r="R7" s="93"/>
      <c r="S7" s="93"/>
      <c r="T7" s="93"/>
      <c r="U7" s="93"/>
      <c r="V7" s="93"/>
      <c r="W7" s="93"/>
      <c r="X7" s="93"/>
      <c r="Y7" s="93"/>
      <c r="Z7" s="93"/>
      <c r="AA7" s="93"/>
      <c r="AB7" s="93"/>
      <c r="AC7" s="93"/>
      <c r="AD7" s="93"/>
      <c r="AE7" s="93"/>
      <c r="AF7" s="93"/>
      <c r="AG7" s="93"/>
      <c r="AL7" s="86"/>
    </row>
    <row r="8" spans="1:62" s="85" customFormat="1" ht="28.2" x14ac:dyDescent="0.3">
      <c r="A8" s="1267"/>
      <c r="B8" s="1268"/>
      <c r="C8" s="1268"/>
      <c r="D8" s="1268"/>
      <c r="E8" s="1268"/>
      <c r="F8" s="1268"/>
      <c r="G8" s="1023" t="s">
        <v>2468</v>
      </c>
      <c r="H8" s="1577">
        <f>'1. Project Inputs'!C21</f>
        <v>45776</v>
      </c>
      <c r="N8" s="93"/>
      <c r="O8" s="93"/>
      <c r="P8" s="93"/>
      <c r="Q8" s="93"/>
      <c r="R8" s="93"/>
      <c r="S8" s="93"/>
      <c r="T8" s="93"/>
      <c r="U8" s="93"/>
      <c r="V8" s="93"/>
      <c r="W8" s="93"/>
      <c r="X8" s="93"/>
      <c r="Y8" s="93"/>
      <c r="Z8" s="93"/>
      <c r="AA8" s="93"/>
      <c r="AB8" s="93"/>
      <c r="AC8" s="93"/>
      <c r="AD8" s="93"/>
      <c r="AE8" s="93"/>
      <c r="AF8" s="93"/>
      <c r="AG8" s="93"/>
      <c r="AL8" s="86"/>
    </row>
    <row r="9" spans="1:62" s="85" customFormat="1" ht="28.8" thickBot="1" x14ac:dyDescent="0.35">
      <c r="A9" s="1267"/>
      <c r="B9" s="1268"/>
      <c r="C9" s="1268"/>
      <c r="D9" s="1268"/>
      <c r="E9" s="1268"/>
      <c r="F9" s="1268"/>
      <c r="G9" s="1023" t="s">
        <v>2483</v>
      </c>
      <c r="H9" s="1023" t="s">
        <v>2484</v>
      </c>
      <c r="N9" s="93"/>
      <c r="O9" s="93"/>
      <c r="P9" s="93"/>
      <c r="Q9" s="93"/>
      <c r="R9" s="93"/>
      <c r="S9" s="93"/>
      <c r="T9" s="93"/>
      <c r="U9" s="93"/>
      <c r="V9" s="93"/>
      <c r="W9" s="93"/>
      <c r="X9" s="93"/>
      <c r="Y9" s="93"/>
      <c r="Z9" s="93"/>
      <c r="AA9" s="93"/>
      <c r="AB9" s="93"/>
      <c r="AC9" s="93"/>
      <c r="AD9" s="93"/>
      <c r="AE9" s="93"/>
      <c r="AF9" s="93"/>
      <c r="AG9" s="93"/>
      <c r="AL9" s="86"/>
    </row>
    <row r="10" spans="1:62" s="85" customFormat="1" ht="28.2" customHeight="1" x14ac:dyDescent="0.3">
      <c r="A10" s="1267"/>
      <c r="B10" s="1268"/>
      <c r="C10" s="1268"/>
      <c r="D10" s="1268"/>
      <c r="E10" s="1268"/>
      <c r="F10" s="1268"/>
      <c r="G10" s="1792" t="s">
        <v>2179</v>
      </c>
      <c r="H10" s="1793"/>
      <c r="I10" s="1793"/>
      <c r="J10" s="1793"/>
      <c r="K10" s="1794"/>
      <c r="N10" s="93"/>
      <c r="O10" s="93"/>
      <c r="P10" s="1270"/>
      <c r="Q10" s="93"/>
      <c r="R10" s="93"/>
      <c r="S10" s="93"/>
      <c r="T10" s="93"/>
      <c r="U10" s="93"/>
      <c r="V10" s="93"/>
      <c r="W10" s="93"/>
      <c r="X10" s="93"/>
      <c r="Y10" s="93"/>
      <c r="Z10" s="93"/>
      <c r="AA10" s="93"/>
      <c r="AB10" s="93"/>
      <c r="AC10" s="93"/>
      <c r="AD10" s="93"/>
      <c r="AE10" s="93"/>
      <c r="AF10" s="93"/>
      <c r="AG10" s="93"/>
      <c r="AL10" s="86"/>
    </row>
    <row r="11" spans="1:62" s="1271" customFormat="1" ht="40.200000000000003" thickBot="1" x14ac:dyDescent="0.35">
      <c r="A11" s="1267"/>
      <c r="B11" s="1268"/>
      <c r="C11" s="1268"/>
      <c r="D11" s="1268"/>
      <c r="E11" s="1268"/>
      <c r="F11" s="1268"/>
      <c r="G11" s="1795"/>
      <c r="H11" s="1796"/>
      <c r="I11" s="1796"/>
      <c r="J11" s="1796"/>
      <c r="K11" s="1797"/>
      <c r="M11" s="115" t="s">
        <v>2180</v>
      </c>
      <c r="N11" s="1272">
        <v>45390</v>
      </c>
      <c r="O11" s="1273">
        <f>N11+7</f>
        <v>45397</v>
      </c>
      <c r="P11" s="1273">
        <f t="shared" ref="P11:AG11" si="0">O11+7</f>
        <v>45404</v>
      </c>
      <c r="Q11" s="1273">
        <f t="shared" si="0"/>
        <v>45411</v>
      </c>
      <c r="R11" s="1273">
        <f t="shared" si="0"/>
        <v>45418</v>
      </c>
      <c r="S11" s="1273">
        <f t="shared" si="0"/>
        <v>45425</v>
      </c>
      <c r="T11" s="1273">
        <f t="shared" si="0"/>
        <v>45432</v>
      </c>
      <c r="U11" s="1273">
        <f t="shared" si="0"/>
        <v>45439</v>
      </c>
      <c r="V11" s="1273">
        <f t="shared" si="0"/>
        <v>45446</v>
      </c>
      <c r="W11" s="1273">
        <f t="shared" si="0"/>
        <v>45453</v>
      </c>
      <c r="X11" s="1273">
        <f t="shared" si="0"/>
        <v>45460</v>
      </c>
      <c r="Y11" s="1273">
        <f t="shared" si="0"/>
        <v>45467</v>
      </c>
      <c r="Z11" s="1273">
        <f t="shared" si="0"/>
        <v>45474</v>
      </c>
      <c r="AA11" s="1273">
        <f t="shared" si="0"/>
        <v>45481</v>
      </c>
      <c r="AB11" s="1273">
        <f t="shared" si="0"/>
        <v>45488</v>
      </c>
      <c r="AC11" s="1273">
        <f t="shared" si="0"/>
        <v>45495</v>
      </c>
      <c r="AD11" s="1273">
        <f t="shared" si="0"/>
        <v>45502</v>
      </c>
      <c r="AE11" s="1273">
        <f t="shared" si="0"/>
        <v>45509</v>
      </c>
      <c r="AF11" s="1273">
        <f t="shared" si="0"/>
        <v>45516</v>
      </c>
      <c r="AG11" s="1273">
        <f t="shared" si="0"/>
        <v>45523</v>
      </c>
      <c r="AL11" s="1274"/>
    </row>
    <row r="12" spans="1:62" s="85" customFormat="1" ht="28.8" thickBot="1" x14ac:dyDescent="0.35">
      <c r="A12" s="1267"/>
      <c r="B12" s="1268"/>
      <c r="C12" s="1268"/>
      <c r="D12" s="1268"/>
      <c r="E12" s="1268"/>
      <c r="F12" s="1268"/>
      <c r="G12" s="1798"/>
      <c r="H12" s="1799"/>
      <c r="I12" s="1799"/>
      <c r="J12" s="1799"/>
      <c r="K12" s="1800"/>
      <c r="M12" s="115" t="s">
        <v>2181</v>
      </c>
      <c r="N12" s="1275">
        <f>N11+6-WEEKDAY(N11)</f>
        <v>45394</v>
      </c>
      <c r="O12" s="1275">
        <f t="shared" ref="O12:AG12" si="1">O11+6-WEEKDAY(O11)</f>
        <v>45401</v>
      </c>
      <c r="P12" s="1275">
        <f t="shared" si="1"/>
        <v>45408</v>
      </c>
      <c r="Q12" s="1275">
        <f t="shared" si="1"/>
        <v>45415</v>
      </c>
      <c r="R12" s="1275">
        <f t="shared" si="1"/>
        <v>45422</v>
      </c>
      <c r="S12" s="1275">
        <f t="shared" si="1"/>
        <v>45429</v>
      </c>
      <c r="T12" s="1275">
        <f t="shared" si="1"/>
        <v>45436</v>
      </c>
      <c r="U12" s="1275">
        <f t="shared" si="1"/>
        <v>45443</v>
      </c>
      <c r="V12" s="1275">
        <f t="shared" si="1"/>
        <v>45450</v>
      </c>
      <c r="W12" s="1275">
        <f t="shared" si="1"/>
        <v>45457</v>
      </c>
      <c r="X12" s="1275">
        <f t="shared" si="1"/>
        <v>45464</v>
      </c>
      <c r="Y12" s="1275">
        <f t="shared" si="1"/>
        <v>45471</v>
      </c>
      <c r="Z12" s="1275">
        <f t="shared" si="1"/>
        <v>45478</v>
      </c>
      <c r="AA12" s="1275">
        <f t="shared" si="1"/>
        <v>45485</v>
      </c>
      <c r="AB12" s="1275">
        <f t="shared" si="1"/>
        <v>45492</v>
      </c>
      <c r="AC12" s="1275">
        <f t="shared" si="1"/>
        <v>45499</v>
      </c>
      <c r="AD12" s="1275">
        <f t="shared" si="1"/>
        <v>45506</v>
      </c>
      <c r="AE12" s="1275">
        <f t="shared" si="1"/>
        <v>45513</v>
      </c>
      <c r="AF12" s="1275">
        <f t="shared" si="1"/>
        <v>45520</v>
      </c>
      <c r="AG12" s="1275">
        <f t="shared" si="1"/>
        <v>45527</v>
      </c>
      <c r="AL12" s="1801" t="s">
        <v>2182</v>
      </c>
    </row>
    <row r="13" spans="1:62" s="1271" customFormat="1" ht="28.8" thickBot="1" x14ac:dyDescent="0.35">
      <c r="A13" s="1267"/>
      <c r="B13" s="1268"/>
      <c r="C13" s="1268"/>
      <c r="D13" s="1268"/>
      <c r="E13" s="1268"/>
      <c r="F13" s="1268"/>
      <c r="G13" s="1803" t="s">
        <v>2183</v>
      </c>
      <c r="H13" s="1804"/>
      <c r="I13" s="1804"/>
      <c r="J13" s="1804"/>
      <c r="K13" s="1805"/>
      <c r="L13" s="1809" t="s">
        <v>2</v>
      </c>
      <c r="M13" s="1810"/>
      <c r="N13" s="1276" t="s">
        <v>2184</v>
      </c>
      <c r="O13" s="1813" t="s">
        <v>2185</v>
      </c>
      <c r="P13" s="1813"/>
      <c r="Q13" s="1814"/>
      <c r="R13" s="1815" t="s">
        <v>2186</v>
      </c>
      <c r="S13" s="1814"/>
      <c r="T13" s="1815" t="s">
        <v>2187</v>
      </c>
      <c r="U13" s="1814"/>
      <c r="V13" s="1815" t="s">
        <v>2188</v>
      </c>
      <c r="W13" s="1814"/>
      <c r="X13" s="1815" t="s">
        <v>2189</v>
      </c>
      <c r="Y13" s="1814"/>
      <c r="Z13" s="1815" t="s">
        <v>2190</v>
      </c>
      <c r="AA13" s="1814"/>
      <c r="AB13" s="1815" t="s">
        <v>2191</v>
      </c>
      <c r="AC13" s="1814"/>
      <c r="AD13" s="1815" t="s">
        <v>2192</v>
      </c>
      <c r="AE13" s="1814"/>
      <c r="AF13" s="1815" t="s">
        <v>2193</v>
      </c>
      <c r="AG13" s="1814"/>
      <c r="AI13" s="1271" t="s">
        <v>29</v>
      </c>
      <c r="AL13" s="1802"/>
      <c r="AM13" s="1819" t="s">
        <v>2194</v>
      </c>
      <c r="AN13" s="1820"/>
      <c r="AO13" s="1277"/>
    </row>
    <row r="14" spans="1:62" s="1271" customFormat="1" ht="28.8" thickBot="1" x14ac:dyDescent="0.35">
      <c r="A14" s="1267"/>
      <c r="B14" s="1268"/>
      <c r="C14" s="1268"/>
      <c r="D14" s="1268"/>
      <c r="E14" s="1268"/>
      <c r="F14" s="1268"/>
      <c r="G14" s="1806"/>
      <c r="H14" s="1807"/>
      <c r="I14" s="1807"/>
      <c r="J14" s="1807"/>
      <c r="K14" s="1808"/>
      <c r="L14" s="1811"/>
      <c r="M14" s="1812"/>
      <c r="N14" s="1278" t="s">
        <v>2195</v>
      </c>
      <c r="O14" s="1823" t="s">
        <v>2196</v>
      </c>
      <c r="P14" s="1823"/>
      <c r="Q14" s="1824"/>
      <c r="R14" s="1825" t="s">
        <v>2197</v>
      </c>
      <c r="S14" s="1826"/>
      <c r="T14" s="1825" t="s">
        <v>2197</v>
      </c>
      <c r="U14" s="1826"/>
      <c r="V14" s="1825" t="s">
        <v>2197</v>
      </c>
      <c r="W14" s="1826"/>
      <c r="X14" s="1825" t="s">
        <v>2197</v>
      </c>
      <c r="Y14" s="1826"/>
      <c r="Z14" s="1825" t="s">
        <v>2197</v>
      </c>
      <c r="AA14" s="1826"/>
      <c r="AB14" s="1825" t="s">
        <v>2197</v>
      </c>
      <c r="AC14" s="1826"/>
      <c r="AD14" s="1827" t="s">
        <v>2198</v>
      </c>
      <c r="AE14" s="1828"/>
      <c r="AF14" s="1827" t="s">
        <v>2199</v>
      </c>
      <c r="AG14" s="1828"/>
      <c r="AH14" s="1829" t="s">
        <v>2200</v>
      </c>
      <c r="AI14" s="1830"/>
      <c r="AJ14" s="1830"/>
      <c r="AK14" s="1830"/>
      <c r="AL14" s="1831"/>
      <c r="AM14" s="1821"/>
      <c r="AN14" s="1822"/>
      <c r="AO14" s="1277"/>
    </row>
    <row r="15" spans="1:62" s="1301" customFormat="1" ht="37.200000000000003" thickBot="1" x14ac:dyDescent="0.35">
      <c r="A15" s="1279" t="s">
        <v>2201</v>
      </c>
      <c r="B15" s="1280" t="s">
        <v>2202</v>
      </c>
      <c r="C15" s="1280" t="s">
        <v>2203</v>
      </c>
      <c r="D15" s="1280" t="s">
        <v>2204</v>
      </c>
      <c r="E15" s="1280" t="s">
        <v>2205</v>
      </c>
      <c r="F15" s="1280" t="s">
        <v>2206</v>
      </c>
      <c r="G15" s="1281" t="s">
        <v>393</v>
      </c>
      <c r="H15" s="1282" t="s">
        <v>2207</v>
      </c>
      <c r="I15" s="1283" t="s">
        <v>1314</v>
      </c>
      <c r="J15" s="1283" t="s">
        <v>2208</v>
      </c>
      <c r="K15" s="1284" t="s">
        <v>2177</v>
      </c>
      <c r="L15" s="1285" t="s">
        <v>2209</v>
      </c>
      <c r="M15" s="1286" t="s">
        <v>2210</v>
      </c>
      <c r="N15" s="1287" t="s">
        <v>2211</v>
      </c>
      <c r="O15" s="1288" t="s">
        <v>2212</v>
      </c>
      <c r="P15" s="1289" t="s">
        <v>2213</v>
      </c>
      <c r="Q15" s="1290" t="s">
        <v>2214</v>
      </c>
      <c r="R15" s="1291" t="s">
        <v>2215</v>
      </c>
      <c r="S15" s="1290" t="s">
        <v>2216</v>
      </c>
      <c r="T15" s="1291" t="s">
        <v>2217</v>
      </c>
      <c r="U15" s="1290" t="s">
        <v>2218</v>
      </c>
      <c r="V15" s="1291" t="s">
        <v>2219</v>
      </c>
      <c r="W15" s="1290" t="s">
        <v>2220</v>
      </c>
      <c r="X15" s="1291" t="s">
        <v>2221</v>
      </c>
      <c r="Y15" s="1290" t="s">
        <v>2222</v>
      </c>
      <c r="Z15" s="1291" t="s">
        <v>2223</v>
      </c>
      <c r="AA15" s="1290" t="s">
        <v>2224</v>
      </c>
      <c r="AB15" s="1291" t="s">
        <v>2225</v>
      </c>
      <c r="AC15" s="1290" t="s">
        <v>2226</v>
      </c>
      <c r="AD15" s="1291" t="s">
        <v>2227</v>
      </c>
      <c r="AE15" s="1290" t="s">
        <v>2228</v>
      </c>
      <c r="AF15" s="1291" t="s">
        <v>2229</v>
      </c>
      <c r="AG15" s="1290" t="s">
        <v>2230</v>
      </c>
      <c r="AH15" s="1292" t="s">
        <v>2231</v>
      </c>
      <c r="AI15" s="1293" t="s">
        <v>2232</v>
      </c>
      <c r="AJ15" s="1294" t="s">
        <v>2233</v>
      </c>
      <c r="AK15" s="1294" t="s">
        <v>2206</v>
      </c>
      <c r="AL15" s="1295" t="s">
        <v>2234</v>
      </c>
      <c r="AM15" s="1296" t="s">
        <v>2235</v>
      </c>
      <c r="AN15" s="1297" t="s">
        <v>2236</v>
      </c>
      <c r="AO15" s="1298" t="s">
        <v>2237</v>
      </c>
      <c r="AP15" s="1299" t="s">
        <v>2238</v>
      </c>
      <c r="AQ15" s="1300" t="s">
        <v>2239</v>
      </c>
    </row>
    <row r="16" spans="1:62" s="1317" customFormat="1" ht="20.399999999999999" x14ac:dyDescent="0.3">
      <c r="A16" s="1302">
        <v>1</v>
      </c>
      <c r="B16" s="1303">
        <v>3</v>
      </c>
      <c r="C16" s="1303" t="str">
        <f t="shared" ref="C16:C33" si="2">G16&amp;"__"&amp;H16</f>
        <v>Experience_Design__Design</v>
      </c>
      <c r="D16" s="1303" t="str">
        <f t="shared" ref="D16:D33" si="3">G16&amp;"__"&amp;H16&amp;"__"&amp;I16</f>
        <v>Experience_Design__Design__User_Experience</v>
      </c>
      <c r="E16" s="1303">
        <v>21</v>
      </c>
      <c r="F16" s="1303">
        <v>8</v>
      </c>
      <c r="G16" s="1304" t="s">
        <v>2240</v>
      </c>
      <c r="H16" s="1305" t="s">
        <v>1326</v>
      </c>
      <c r="I16" s="1306" t="s">
        <v>2241</v>
      </c>
      <c r="J16" s="1306" t="s">
        <v>686</v>
      </c>
      <c r="K16" s="1307" t="s">
        <v>235</v>
      </c>
      <c r="L16" s="1305"/>
      <c r="M16" s="1306"/>
      <c r="N16" s="1308">
        <v>1</v>
      </c>
      <c r="O16" s="1305"/>
      <c r="P16" s="1306"/>
      <c r="Q16" s="1307"/>
      <c r="R16" s="1304"/>
      <c r="S16" s="1307"/>
      <c r="T16" s="1304"/>
      <c r="U16" s="1307"/>
      <c r="V16" s="1304"/>
      <c r="W16" s="1307"/>
      <c r="X16" s="1304"/>
      <c r="Y16" s="1307"/>
      <c r="Z16" s="1304"/>
      <c r="AA16" s="1307"/>
      <c r="AB16" s="1304"/>
      <c r="AC16" s="1307"/>
      <c r="AD16" s="1304"/>
      <c r="AE16" s="1307"/>
      <c r="AF16" s="1304"/>
      <c r="AG16" s="1307"/>
      <c r="AH16" s="1309">
        <f t="shared" ref="AH16:AH33" si="4">SUM(N16:AG16)</f>
        <v>1</v>
      </c>
      <c r="AI16" s="1310">
        <f t="shared" ref="AI16:AI33" si="5">+AH16*5</f>
        <v>5</v>
      </c>
      <c r="AJ16" s="1311">
        <v>0</v>
      </c>
      <c r="AK16" s="1311">
        <v>0</v>
      </c>
      <c r="AL16" s="1312">
        <f t="shared" ref="AL16:AL33" si="6">IFERROR(AJ16/AI16/8,0)</f>
        <v>0</v>
      </c>
      <c r="AM16" s="1313">
        <f>AL16</f>
        <v>0</v>
      </c>
      <c r="AN16" s="1314">
        <f t="shared" ref="AN16:AN33" si="7">AI16*8*AM16</f>
        <v>0</v>
      </c>
      <c r="AO16" s="1315">
        <f t="shared" ref="AO16:AO33" si="8">AI16*8</f>
        <v>40</v>
      </c>
      <c r="AP16" s="1316"/>
      <c r="AQ16" s="1307"/>
      <c r="AR16" s="83"/>
      <c r="AS16" s="83"/>
      <c r="AT16" s="83"/>
      <c r="AU16" s="83"/>
      <c r="AV16" s="83"/>
      <c r="AW16" s="83"/>
      <c r="AX16" s="83"/>
      <c r="AY16" s="83"/>
      <c r="AZ16" s="83"/>
      <c r="BA16" s="83"/>
      <c r="BB16" s="83"/>
      <c r="BC16" s="83"/>
      <c r="BD16" s="83"/>
      <c r="BE16" s="83"/>
      <c r="BF16" s="83"/>
      <c r="BG16" s="83"/>
      <c r="BH16" s="83"/>
      <c r="BI16" s="83"/>
      <c r="BJ16" s="83"/>
    </row>
    <row r="17" spans="1:62" s="1317" customFormat="1" ht="20.399999999999999" x14ac:dyDescent="0.3">
      <c r="A17" s="1318">
        <v>2</v>
      </c>
      <c r="B17" s="1319">
        <v>3</v>
      </c>
      <c r="C17" s="1320" t="str">
        <f t="shared" si="2"/>
        <v>DOTNET__DOTNET_BA</v>
      </c>
      <c r="D17" s="1320" t="str">
        <f t="shared" si="3"/>
        <v>DOTNET__DOTNET_BA__MS_Dynamics</v>
      </c>
      <c r="E17" s="1320">
        <v>21</v>
      </c>
      <c r="F17" s="1320">
        <v>8</v>
      </c>
      <c r="G17" s="1321" t="s">
        <v>2029</v>
      </c>
      <c r="H17" s="1322" t="s">
        <v>2040</v>
      </c>
      <c r="I17" s="1323" t="s">
        <v>1927</v>
      </c>
      <c r="J17" s="1323" t="s">
        <v>532</v>
      </c>
      <c r="K17" s="1324" t="s">
        <v>235</v>
      </c>
      <c r="L17" s="1322"/>
      <c r="M17" s="1323"/>
      <c r="N17" s="1325">
        <v>1</v>
      </c>
      <c r="O17" s="1322"/>
      <c r="P17" s="1323"/>
      <c r="Q17" s="1324"/>
      <c r="R17" s="1321"/>
      <c r="S17" s="1324"/>
      <c r="T17" s="1321"/>
      <c r="U17" s="1324"/>
      <c r="V17" s="1321"/>
      <c r="W17" s="1324"/>
      <c r="X17" s="1321"/>
      <c r="Y17" s="1324"/>
      <c r="Z17" s="1321"/>
      <c r="AA17" s="1324"/>
      <c r="AB17" s="1321"/>
      <c r="AC17" s="1324"/>
      <c r="AD17" s="1321"/>
      <c r="AE17" s="1324"/>
      <c r="AF17" s="1321"/>
      <c r="AG17" s="1324"/>
      <c r="AH17" s="1326">
        <f t="shared" si="4"/>
        <v>1</v>
      </c>
      <c r="AI17" s="1327">
        <f t="shared" si="5"/>
        <v>5</v>
      </c>
      <c r="AJ17" s="1328">
        <v>2200</v>
      </c>
      <c r="AK17" s="1328">
        <v>900</v>
      </c>
      <c r="AL17" s="1329">
        <f t="shared" si="6"/>
        <v>55</v>
      </c>
      <c r="AM17" s="1330">
        <f t="shared" ref="AM17:AM33" si="9">AL17</f>
        <v>55</v>
      </c>
      <c r="AN17" s="1331">
        <f t="shared" si="7"/>
        <v>2200</v>
      </c>
      <c r="AO17" s="1332">
        <f t="shared" si="8"/>
        <v>40</v>
      </c>
      <c r="AP17" s="1333"/>
      <c r="AQ17" s="1324"/>
      <c r="AR17" s="83"/>
      <c r="AS17" s="83"/>
      <c r="AT17" s="83"/>
      <c r="AU17" s="83"/>
      <c r="AV17" s="83"/>
      <c r="AW17" s="83"/>
      <c r="AX17" s="83"/>
      <c r="AY17" s="83"/>
      <c r="AZ17" s="83"/>
      <c r="BA17" s="83"/>
      <c r="BB17" s="83"/>
      <c r="BC17" s="83"/>
      <c r="BD17" s="83"/>
      <c r="BE17" s="83"/>
      <c r="BF17" s="83"/>
      <c r="BG17" s="83"/>
      <c r="BH17" s="83"/>
      <c r="BI17" s="83"/>
      <c r="BJ17" s="83"/>
    </row>
    <row r="18" spans="1:62" s="1317" customFormat="1" ht="30.6" x14ac:dyDescent="0.3">
      <c r="A18" s="1318">
        <v>3</v>
      </c>
      <c r="B18" s="1319">
        <v>3</v>
      </c>
      <c r="C18" s="1320" t="str">
        <f t="shared" si="2"/>
        <v>Experience_Design__Content</v>
      </c>
      <c r="D18" s="1320" t="str">
        <f t="shared" si="3"/>
        <v>Experience_Design__Content__Editorial_and_Copywriting</v>
      </c>
      <c r="E18" s="1320">
        <v>20</v>
      </c>
      <c r="F18" s="1320">
        <v>10</v>
      </c>
      <c r="G18" s="1321" t="s">
        <v>2240</v>
      </c>
      <c r="H18" s="1322" t="s">
        <v>1324</v>
      </c>
      <c r="I18" s="1323" t="s">
        <v>2242</v>
      </c>
      <c r="J18" s="1323" t="s">
        <v>686</v>
      </c>
      <c r="K18" s="1324" t="s">
        <v>234</v>
      </c>
      <c r="L18" s="1322"/>
      <c r="M18" s="1323"/>
      <c r="N18" s="1325">
        <v>1</v>
      </c>
      <c r="O18" s="1322"/>
      <c r="P18" s="1323"/>
      <c r="Q18" s="1324"/>
      <c r="R18" s="1321"/>
      <c r="S18" s="1324"/>
      <c r="T18" s="1321"/>
      <c r="U18" s="1324"/>
      <c r="V18" s="1321"/>
      <c r="W18" s="1324"/>
      <c r="X18" s="1321"/>
      <c r="Y18" s="1324"/>
      <c r="Z18" s="1321"/>
      <c r="AA18" s="1324"/>
      <c r="AB18" s="1321"/>
      <c r="AC18" s="1324"/>
      <c r="AD18" s="1321"/>
      <c r="AE18" s="1324"/>
      <c r="AF18" s="1321"/>
      <c r="AG18" s="1324"/>
      <c r="AH18" s="1326">
        <f t="shared" si="4"/>
        <v>1</v>
      </c>
      <c r="AI18" s="1327">
        <f t="shared" si="5"/>
        <v>5</v>
      </c>
      <c r="AJ18" s="1328">
        <v>0</v>
      </c>
      <c r="AK18" s="1328">
        <v>0</v>
      </c>
      <c r="AL18" s="1329">
        <f t="shared" si="6"/>
        <v>0</v>
      </c>
      <c r="AM18" s="1330">
        <f t="shared" si="9"/>
        <v>0</v>
      </c>
      <c r="AN18" s="1331">
        <f t="shared" si="7"/>
        <v>0</v>
      </c>
      <c r="AO18" s="1332">
        <f t="shared" si="8"/>
        <v>40</v>
      </c>
      <c r="AP18" s="1333"/>
      <c r="AQ18" s="1324"/>
      <c r="AR18" s="83"/>
      <c r="AS18" s="83"/>
      <c r="AT18" s="83"/>
      <c r="AU18" s="83"/>
      <c r="AV18" s="83"/>
      <c r="AW18" s="83"/>
      <c r="AX18" s="83"/>
      <c r="AY18" s="83"/>
      <c r="AZ18" s="83"/>
      <c r="BA18" s="83"/>
      <c r="BB18" s="83"/>
      <c r="BC18" s="83"/>
      <c r="BD18" s="83"/>
      <c r="BE18" s="83"/>
      <c r="BF18" s="83"/>
      <c r="BG18" s="83"/>
      <c r="BH18" s="83"/>
      <c r="BI18" s="83"/>
      <c r="BJ18" s="83"/>
    </row>
    <row r="19" spans="1:62" s="1317" customFormat="1" ht="20.399999999999999" x14ac:dyDescent="0.3">
      <c r="A19" s="1318">
        <v>4</v>
      </c>
      <c r="B19" s="1319">
        <v>3</v>
      </c>
      <c r="C19" s="1320" t="str">
        <f t="shared" si="2"/>
        <v>Credera_Martech__Credera_Martech</v>
      </c>
      <c r="D19" s="1320" t="str">
        <f t="shared" si="3"/>
        <v>Credera_Martech__Credera_Martech__Credera_Martech</v>
      </c>
      <c r="E19" s="1320">
        <v>21</v>
      </c>
      <c r="F19" s="1320">
        <v>8</v>
      </c>
      <c r="G19" s="1321" t="s">
        <v>2243</v>
      </c>
      <c r="H19" s="1322" t="s">
        <v>2243</v>
      </c>
      <c r="I19" s="1323" t="s">
        <v>2243</v>
      </c>
      <c r="J19" s="1323" t="s">
        <v>686</v>
      </c>
      <c r="K19" s="1324" t="s">
        <v>235</v>
      </c>
      <c r="L19" s="1322"/>
      <c r="M19" s="1323"/>
      <c r="N19" s="1325">
        <v>1</v>
      </c>
      <c r="O19" s="1322"/>
      <c r="P19" s="1323"/>
      <c r="Q19" s="1324"/>
      <c r="R19" s="1321"/>
      <c r="S19" s="1324"/>
      <c r="T19" s="1321"/>
      <c r="U19" s="1324"/>
      <c r="V19" s="1321"/>
      <c r="W19" s="1324"/>
      <c r="X19" s="1321"/>
      <c r="Y19" s="1324"/>
      <c r="Z19" s="1321"/>
      <c r="AA19" s="1324"/>
      <c r="AB19" s="1321"/>
      <c r="AC19" s="1324"/>
      <c r="AD19" s="1321"/>
      <c r="AE19" s="1324"/>
      <c r="AF19" s="1321"/>
      <c r="AG19" s="1324"/>
      <c r="AH19" s="1326">
        <f t="shared" si="4"/>
        <v>1</v>
      </c>
      <c r="AI19" s="1327">
        <f t="shared" si="5"/>
        <v>5</v>
      </c>
      <c r="AJ19" s="1328">
        <v>0</v>
      </c>
      <c r="AK19" s="1328">
        <v>0</v>
      </c>
      <c r="AL19" s="1329">
        <f t="shared" si="6"/>
        <v>0</v>
      </c>
      <c r="AM19" s="1330">
        <f t="shared" si="9"/>
        <v>0</v>
      </c>
      <c r="AN19" s="1331">
        <f t="shared" si="7"/>
        <v>0</v>
      </c>
      <c r="AO19" s="1332">
        <f t="shared" si="8"/>
        <v>40</v>
      </c>
      <c r="AP19" s="1333"/>
      <c r="AQ19" s="1324"/>
      <c r="AR19" s="83"/>
      <c r="AS19" s="83"/>
      <c r="AT19" s="83"/>
      <c r="AU19" s="83"/>
      <c r="AV19" s="83"/>
      <c r="AW19" s="83"/>
      <c r="AX19" s="83"/>
      <c r="AY19" s="83"/>
      <c r="AZ19" s="83"/>
      <c r="BA19" s="83"/>
      <c r="BB19" s="83"/>
      <c r="BC19" s="83"/>
      <c r="BD19" s="83"/>
      <c r="BE19" s="83"/>
      <c r="BF19" s="83"/>
      <c r="BG19" s="83"/>
      <c r="BH19" s="83"/>
      <c r="BI19" s="83"/>
      <c r="BJ19" s="83"/>
    </row>
    <row r="20" spans="1:62" s="1317" customFormat="1" ht="20.399999999999999" x14ac:dyDescent="0.3">
      <c r="A20" s="1318">
        <v>5</v>
      </c>
      <c r="B20" s="1319">
        <v>3</v>
      </c>
      <c r="C20" s="1320" t="str">
        <f t="shared" si="2"/>
        <v>Technology_Solutions__Data_and_AI</v>
      </c>
      <c r="D20" s="1320" t="str">
        <f t="shared" si="3"/>
        <v>Technology_Solutions__Data_and_AI__Data</v>
      </c>
      <c r="E20" s="1320">
        <v>21</v>
      </c>
      <c r="F20" s="1320">
        <v>8</v>
      </c>
      <c r="G20" s="1321" t="s">
        <v>2244</v>
      </c>
      <c r="H20" s="1322" t="s">
        <v>2245</v>
      </c>
      <c r="I20" s="1323" t="s">
        <v>1334</v>
      </c>
      <c r="J20" s="1323" t="s">
        <v>2246</v>
      </c>
      <c r="K20" s="1324" t="s">
        <v>235</v>
      </c>
      <c r="L20" s="1322"/>
      <c r="M20" s="1323"/>
      <c r="N20" s="1325">
        <v>1</v>
      </c>
      <c r="O20" s="1322"/>
      <c r="P20" s="1323"/>
      <c r="Q20" s="1324"/>
      <c r="R20" s="1321"/>
      <c r="S20" s="1324"/>
      <c r="T20" s="1321"/>
      <c r="U20" s="1324"/>
      <c r="V20" s="1321"/>
      <c r="W20" s="1324"/>
      <c r="X20" s="1321"/>
      <c r="Y20" s="1324"/>
      <c r="Z20" s="1321"/>
      <c r="AA20" s="1324"/>
      <c r="AB20" s="1321"/>
      <c r="AC20" s="1324"/>
      <c r="AD20" s="1321"/>
      <c r="AE20" s="1324"/>
      <c r="AF20" s="1321"/>
      <c r="AG20" s="1324"/>
      <c r="AH20" s="1326">
        <f t="shared" si="4"/>
        <v>1</v>
      </c>
      <c r="AI20" s="1327">
        <f t="shared" si="5"/>
        <v>5</v>
      </c>
      <c r="AJ20" s="1328">
        <v>1400</v>
      </c>
      <c r="AK20" s="1328">
        <v>500</v>
      </c>
      <c r="AL20" s="1329">
        <f t="shared" si="6"/>
        <v>35</v>
      </c>
      <c r="AM20" s="1330">
        <f t="shared" si="9"/>
        <v>35</v>
      </c>
      <c r="AN20" s="1331">
        <f t="shared" si="7"/>
        <v>1400</v>
      </c>
      <c r="AO20" s="1332">
        <f t="shared" si="8"/>
        <v>40</v>
      </c>
      <c r="AP20" s="1333"/>
      <c r="AQ20" s="1324"/>
      <c r="AR20" s="83"/>
      <c r="AS20" s="83"/>
      <c r="AT20" s="83"/>
      <c r="AU20" s="83"/>
      <c r="AV20" s="83"/>
      <c r="AW20" s="83"/>
      <c r="AX20" s="83"/>
      <c r="AY20" s="83"/>
      <c r="AZ20" s="83"/>
      <c r="BA20" s="83"/>
      <c r="BB20" s="83"/>
      <c r="BC20" s="83"/>
      <c r="BD20" s="83"/>
      <c r="BE20" s="83"/>
      <c r="BF20" s="83"/>
      <c r="BG20" s="83"/>
      <c r="BH20" s="83"/>
      <c r="BI20" s="83"/>
      <c r="BJ20" s="83"/>
    </row>
    <row r="21" spans="1:62" s="1317" customFormat="1" ht="30.6" x14ac:dyDescent="0.3">
      <c r="A21" s="1318">
        <v>6</v>
      </c>
      <c r="B21" s="1319">
        <v>3</v>
      </c>
      <c r="C21" s="1320" t="str">
        <f t="shared" si="2"/>
        <v>Management_Consulting__Product_and_Innovation</v>
      </c>
      <c r="D21" s="1320" t="str">
        <f t="shared" si="3"/>
        <v>Management_Consulting__Product_and_Innovation__Product_and_Innovation</v>
      </c>
      <c r="E21" s="1320">
        <v>21</v>
      </c>
      <c r="F21" s="1320">
        <v>8</v>
      </c>
      <c r="G21" s="1321" t="s">
        <v>2247</v>
      </c>
      <c r="H21" s="1322" t="s">
        <v>2248</v>
      </c>
      <c r="I21" s="1323" t="s">
        <v>2248</v>
      </c>
      <c r="J21" s="1323" t="s">
        <v>2249</v>
      </c>
      <c r="K21" s="1324" t="s">
        <v>235</v>
      </c>
      <c r="L21" s="1322"/>
      <c r="M21" s="1323"/>
      <c r="N21" s="1325">
        <v>1</v>
      </c>
      <c r="O21" s="1322"/>
      <c r="P21" s="1323"/>
      <c r="Q21" s="1324"/>
      <c r="R21" s="1321"/>
      <c r="S21" s="1324"/>
      <c r="T21" s="1321"/>
      <c r="U21" s="1324"/>
      <c r="V21" s="1321"/>
      <c r="W21" s="1324"/>
      <c r="X21" s="1321"/>
      <c r="Y21" s="1324"/>
      <c r="Z21" s="1321"/>
      <c r="AA21" s="1324"/>
      <c r="AB21" s="1321"/>
      <c r="AC21" s="1324"/>
      <c r="AD21" s="1321"/>
      <c r="AE21" s="1324"/>
      <c r="AF21" s="1321"/>
      <c r="AG21" s="1324"/>
      <c r="AH21" s="1326">
        <f t="shared" si="4"/>
        <v>1</v>
      </c>
      <c r="AI21" s="1327">
        <f t="shared" si="5"/>
        <v>5</v>
      </c>
      <c r="AJ21" s="1328">
        <v>3000</v>
      </c>
      <c r="AK21" s="1328">
        <v>1600</v>
      </c>
      <c r="AL21" s="1329">
        <f t="shared" si="6"/>
        <v>75</v>
      </c>
      <c r="AM21" s="1330">
        <f t="shared" si="9"/>
        <v>75</v>
      </c>
      <c r="AN21" s="1331">
        <f t="shared" si="7"/>
        <v>3000</v>
      </c>
      <c r="AO21" s="1332">
        <f t="shared" si="8"/>
        <v>40</v>
      </c>
      <c r="AP21" s="1333"/>
      <c r="AQ21" s="1324"/>
      <c r="AR21" s="83"/>
      <c r="AS21" s="83"/>
      <c r="AT21" s="83"/>
      <c r="AU21" s="83"/>
      <c r="AV21" s="83"/>
      <c r="AW21" s="83"/>
      <c r="AX21" s="83"/>
      <c r="AY21" s="83"/>
      <c r="AZ21" s="83"/>
      <c r="BA21" s="83"/>
      <c r="BB21" s="83"/>
      <c r="BC21" s="83"/>
      <c r="BD21" s="83"/>
      <c r="BE21" s="83"/>
      <c r="BF21" s="83"/>
      <c r="BG21" s="83"/>
      <c r="BH21" s="83"/>
      <c r="BI21" s="83"/>
      <c r="BJ21" s="83"/>
    </row>
    <row r="22" spans="1:62" s="1317" customFormat="1" ht="20.399999999999999" x14ac:dyDescent="0.3">
      <c r="A22" s="1318">
        <v>7</v>
      </c>
      <c r="B22" s="1319">
        <v>3</v>
      </c>
      <c r="C22" s="1320" t="str">
        <f t="shared" si="2"/>
        <v>Delivery__Delivery</v>
      </c>
      <c r="D22" s="1320" t="str">
        <f t="shared" si="3"/>
        <v>Delivery__Delivery__Project_Management</v>
      </c>
      <c r="E22" s="1320">
        <v>21</v>
      </c>
      <c r="F22" s="1320">
        <v>8</v>
      </c>
      <c r="G22" s="1321" t="s">
        <v>488</v>
      </c>
      <c r="H22" s="1322" t="s">
        <v>488</v>
      </c>
      <c r="I22" s="1323" t="s">
        <v>2250</v>
      </c>
      <c r="J22" s="1323" t="s">
        <v>1516</v>
      </c>
      <c r="K22" s="1324" t="s">
        <v>235</v>
      </c>
      <c r="L22" s="1322"/>
      <c r="M22" s="1323"/>
      <c r="N22" s="1325">
        <v>1</v>
      </c>
      <c r="O22" s="1322"/>
      <c r="P22" s="1323"/>
      <c r="Q22" s="1324"/>
      <c r="R22" s="1321"/>
      <c r="S22" s="1324"/>
      <c r="T22" s="1321"/>
      <c r="U22" s="1324"/>
      <c r="V22" s="1321"/>
      <c r="W22" s="1324"/>
      <c r="X22" s="1321"/>
      <c r="Y22" s="1324"/>
      <c r="Z22" s="1321"/>
      <c r="AA22" s="1324"/>
      <c r="AB22" s="1321"/>
      <c r="AC22" s="1324"/>
      <c r="AD22" s="1321"/>
      <c r="AE22" s="1324"/>
      <c r="AF22" s="1321"/>
      <c r="AG22" s="1324"/>
      <c r="AH22" s="1326">
        <f t="shared" si="4"/>
        <v>1</v>
      </c>
      <c r="AI22" s="1327">
        <f t="shared" si="5"/>
        <v>5</v>
      </c>
      <c r="AJ22" s="1328">
        <v>2800</v>
      </c>
      <c r="AK22" s="1328">
        <v>1100</v>
      </c>
      <c r="AL22" s="1329">
        <f t="shared" si="6"/>
        <v>70</v>
      </c>
      <c r="AM22" s="1330">
        <f t="shared" si="9"/>
        <v>70</v>
      </c>
      <c r="AN22" s="1331">
        <f t="shared" si="7"/>
        <v>2800</v>
      </c>
      <c r="AO22" s="1332">
        <f t="shared" si="8"/>
        <v>40</v>
      </c>
      <c r="AP22" s="1333"/>
      <c r="AQ22" s="1324"/>
      <c r="AR22" s="83"/>
      <c r="AS22" s="83"/>
      <c r="AT22" s="83"/>
      <c r="AU22" s="83"/>
      <c r="AV22" s="83"/>
      <c r="AW22" s="83"/>
      <c r="AX22" s="83"/>
      <c r="AY22" s="83"/>
      <c r="AZ22" s="83"/>
      <c r="BA22" s="83"/>
      <c r="BB22" s="83"/>
      <c r="BC22" s="83"/>
      <c r="BD22" s="83"/>
      <c r="BE22" s="83"/>
      <c r="BF22" s="83"/>
      <c r="BG22" s="83"/>
      <c r="BH22" s="83"/>
      <c r="BI22" s="83"/>
      <c r="BJ22" s="83"/>
    </row>
    <row r="23" spans="1:62" s="1317" customFormat="1" ht="20.399999999999999" x14ac:dyDescent="0.3">
      <c r="A23" s="1318">
        <v>8</v>
      </c>
      <c r="B23" s="1319">
        <v>3</v>
      </c>
      <c r="C23" s="1320" t="str">
        <f t="shared" si="2"/>
        <v>DOTNET__DOTNET_BA</v>
      </c>
      <c r="D23" s="1320" t="str">
        <f t="shared" si="3"/>
        <v>DOTNET__DOTNET_BA__Optimizely</v>
      </c>
      <c r="E23" s="1320">
        <v>20</v>
      </c>
      <c r="F23" s="1320">
        <v>10</v>
      </c>
      <c r="G23" s="1321" t="s">
        <v>2029</v>
      </c>
      <c r="H23" s="1322" t="s">
        <v>2040</v>
      </c>
      <c r="I23" s="1323" t="s">
        <v>2039</v>
      </c>
      <c r="J23" s="1323" t="s">
        <v>715</v>
      </c>
      <c r="K23" s="1324" t="s">
        <v>234</v>
      </c>
      <c r="L23" s="1322"/>
      <c r="M23" s="1323"/>
      <c r="N23" s="1325">
        <v>1</v>
      </c>
      <c r="O23" s="1322"/>
      <c r="P23" s="1323"/>
      <c r="Q23" s="1324"/>
      <c r="R23" s="1321"/>
      <c r="S23" s="1324"/>
      <c r="T23" s="1321"/>
      <c r="U23" s="1324"/>
      <c r="V23" s="1321"/>
      <c r="W23" s="1324"/>
      <c r="X23" s="1321"/>
      <c r="Y23" s="1324"/>
      <c r="Z23" s="1321"/>
      <c r="AA23" s="1324"/>
      <c r="AB23" s="1321"/>
      <c r="AC23" s="1324"/>
      <c r="AD23" s="1321"/>
      <c r="AE23" s="1324"/>
      <c r="AF23" s="1321"/>
      <c r="AG23" s="1324"/>
      <c r="AH23" s="1326">
        <f t="shared" si="4"/>
        <v>1</v>
      </c>
      <c r="AI23" s="1327">
        <f t="shared" si="5"/>
        <v>5</v>
      </c>
      <c r="AJ23" s="1328">
        <v>7400</v>
      </c>
      <c r="AK23" s="1328">
        <v>4200</v>
      </c>
      <c r="AL23" s="1329">
        <f t="shared" si="6"/>
        <v>185</v>
      </c>
      <c r="AM23" s="1330">
        <f t="shared" si="9"/>
        <v>185</v>
      </c>
      <c r="AN23" s="1331">
        <f t="shared" si="7"/>
        <v>7400</v>
      </c>
      <c r="AO23" s="1332">
        <f t="shared" si="8"/>
        <v>40</v>
      </c>
      <c r="AP23" s="1333"/>
      <c r="AQ23" s="1324"/>
      <c r="AR23" s="83"/>
      <c r="AS23" s="83"/>
      <c r="AT23" s="83"/>
      <c r="AU23" s="83"/>
      <c r="AV23" s="83"/>
      <c r="AW23" s="83"/>
      <c r="AX23" s="83"/>
      <c r="AY23" s="83"/>
      <c r="AZ23" s="83"/>
      <c r="BA23" s="83"/>
      <c r="BB23" s="83"/>
      <c r="BC23" s="83"/>
      <c r="BD23" s="83"/>
      <c r="BE23" s="83"/>
      <c r="BF23" s="83"/>
      <c r="BG23" s="83"/>
      <c r="BH23" s="83"/>
      <c r="BI23" s="83"/>
      <c r="BJ23" s="83"/>
    </row>
    <row r="24" spans="1:62" s="1317" customFormat="1" ht="20.399999999999999" x14ac:dyDescent="0.3">
      <c r="A24" s="1318">
        <v>9</v>
      </c>
      <c r="B24" s="1319">
        <v>3</v>
      </c>
      <c r="C24" s="1320" t="str">
        <f t="shared" si="2"/>
        <v>Salesforce__Sales_Cloud</v>
      </c>
      <c r="D24" s="1320" t="str">
        <f t="shared" si="3"/>
        <v>Salesforce__Sales_Cloud__Sales_Cloud_Functional</v>
      </c>
      <c r="E24" s="1320">
        <v>21</v>
      </c>
      <c r="F24" s="1320">
        <v>8</v>
      </c>
      <c r="G24" s="1321" t="s">
        <v>425</v>
      </c>
      <c r="H24" s="1322" t="s">
        <v>1997</v>
      </c>
      <c r="I24" s="1323" t="s">
        <v>2251</v>
      </c>
      <c r="J24" s="1323" t="s">
        <v>740</v>
      </c>
      <c r="K24" s="1324" t="s">
        <v>235</v>
      </c>
      <c r="L24" s="1322"/>
      <c r="M24" s="1323"/>
      <c r="N24" s="1325">
        <v>1</v>
      </c>
      <c r="O24" s="1322"/>
      <c r="P24" s="1323"/>
      <c r="Q24" s="1324"/>
      <c r="R24" s="1321"/>
      <c r="S24" s="1324"/>
      <c r="T24" s="1321"/>
      <c r="U24" s="1324"/>
      <c r="V24" s="1321"/>
      <c r="W24" s="1324"/>
      <c r="X24" s="1321"/>
      <c r="Y24" s="1324"/>
      <c r="Z24" s="1321"/>
      <c r="AA24" s="1324"/>
      <c r="AB24" s="1321"/>
      <c r="AC24" s="1324"/>
      <c r="AD24" s="1321"/>
      <c r="AE24" s="1324"/>
      <c r="AF24" s="1321"/>
      <c r="AG24" s="1324"/>
      <c r="AH24" s="1326">
        <f t="shared" si="4"/>
        <v>1</v>
      </c>
      <c r="AI24" s="1327">
        <f t="shared" si="5"/>
        <v>5</v>
      </c>
      <c r="AJ24" s="1328">
        <v>3200</v>
      </c>
      <c r="AK24" s="1328">
        <v>1100</v>
      </c>
      <c r="AL24" s="1329">
        <f t="shared" si="6"/>
        <v>80</v>
      </c>
      <c r="AM24" s="1330">
        <f t="shared" si="9"/>
        <v>80</v>
      </c>
      <c r="AN24" s="1331">
        <f t="shared" si="7"/>
        <v>3200</v>
      </c>
      <c r="AO24" s="1332">
        <f t="shared" si="8"/>
        <v>40</v>
      </c>
      <c r="AP24" s="1333"/>
      <c r="AQ24" s="1324"/>
      <c r="AR24" s="83"/>
      <c r="AS24" s="83"/>
      <c r="AT24" s="83"/>
      <c r="AU24" s="83"/>
      <c r="AV24" s="83"/>
      <c r="AW24" s="83"/>
      <c r="AX24" s="83"/>
      <c r="AY24" s="83"/>
      <c r="AZ24" s="83"/>
      <c r="BA24" s="83"/>
      <c r="BB24" s="83"/>
      <c r="BC24" s="83"/>
      <c r="BD24" s="83"/>
      <c r="BE24" s="83"/>
      <c r="BF24" s="83"/>
      <c r="BG24" s="83"/>
      <c r="BH24" s="83"/>
      <c r="BI24" s="83"/>
      <c r="BJ24" s="83"/>
    </row>
    <row r="25" spans="1:62" s="1317" customFormat="1" ht="20.399999999999999" x14ac:dyDescent="0.3">
      <c r="A25" s="1318">
        <v>10</v>
      </c>
      <c r="B25" s="1319">
        <v>3</v>
      </c>
      <c r="C25" s="1320" t="str">
        <f t="shared" si="2"/>
        <v>DOTNET__DOTNET_UI</v>
      </c>
      <c r="D25" s="1320" t="str">
        <f t="shared" si="3"/>
        <v>DOTNET__DOTNET_UI__ReactJS</v>
      </c>
      <c r="E25" s="1320">
        <v>20</v>
      </c>
      <c r="F25" s="1320">
        <v>10</v>
      </c>
      <c r="G25" s="1321" t="s">
        <v>2029</v>
      </c>
      <c r="H25" s="1322" t="s">
        <v>2043</v>
      </c>
      <c r="I25" s="1323" t="s">
        <v>1949</v>
      </c>
      <c r="J25" s="1323" t="s">
        <v>684</v>
      </c>
      <c r="K25" s="1324" t="s">
        <v>234</v>
      </c>
      <c r="L25" s="1322"/>
      <c r="M25" s="1323"/>
      <c r="N25" s="1325">
        <v>1</v>
      </c>
      <c r="O25" s="1322"/>
      <c r="P25" s="1323"/>
      <c r="Q25" s="1324"/>
      <c r="R25" s="1321"/>
      <c r="S25" s="1324"/>
      <c r="T25" s="1321"/>
      <c r="U25" s="1324"/>
      <c r="V25" s="1321"/>
      <c r="W25" s="1324"/>
      <c r="X25" s="1321"/>
      <c r="Y25" s="1324"/>
      <c r="Z25" s="1321"/>
      <c r="AA25" s="1324"/>
      <c r="AB25" s="1321"/>
      <c r="AC25" s="1324"/>
      <c r="AD25" s="1321"/>
      <c r="AE25" s="1324"/>
      <c r="AF25" s="1321"/>
      <c r="AG25" s="1324"/>
      <c r="AH25" s="1326">
        <f t="shared" si="4"/>
        <v>1</v>
      </c>
      <c r="AI25" s="1327">
        <f t="shared" si="5"/>
        <v>5</v>
      </c>
      <c r="AJ25" s="1328">
        <v>6400</v>
      </c>
      <c r="AK25" s="1328">
        <v>3200</v>
      </c>
      <c r="AL25" s="1329">
        <f t="shared" si="6"/>
        <v>160</v>
      </c>
      <c r="AM25" s="1330">
        <f t="shared" si="9"/>
        <v>160</v>
      </c>
      <c r="AN25" s="1331">
        <f t="shared" si="7"/>
        <v>6400</v>
      </c>
      <c r="AO25" s="1332">
        <f t="shared" si="8"/>
        <v>40</v>
      </c>
      <c r="AP25" s="1333"/>
      <c r="AQ25" s="1324"/>
      <c r="AR25" s="83"/>
      <c r="AS25" s="83"/>
      <c r="AT25" s="83"/>
      <c r="AU25" s="83"/>
      <c r="AV25" s="83"/>
      <c r="AW25" s="83"/>
      <c r="AX25" s="83"/>
      <c r="AY25" s="83"/>
      <c r="AZ25" s="83"/>
      <c r="BA25" s="83"/>
      <c r="BB25" s="83"/>
      <c r="BC25" s="83"/>
      <c r="BD25" s="83"/>
      <c r="BE25" s="83"/>
      <c r="BF25" s="83"/>
      <c r="BG25" s="83"/>
      <c r="BH25" s="83"/>
      <c r="BI25" s="83"/>
      <c r="BJ25" s="83"/>
    </row>
    <row r="26" spans="1:62" s="1317" customFormat="1" ht="20.399999999999999" x14ac:dyDescent="0.3">
      <c r="A26" s="1318">
        <v>11</v>
      </c>
      <c r="B26" s="1319">
        <v>3</v>
      </c>
      <c r="C26" s="1320" t="str">
        <f t="shared" si="2"/>
        <v>DOTNET__Optimizely_CMS</v>
      </c>
      <c r="D26" s="1320" t="str">
        <f t="shared" si="3"/>
        <v>DOTNET__Optimizely_CMS__Optimizely_CMS_Fullstack</v>
      </c>
      <c r="E26" s="1320">
        <v>20</v>
      </c>
      <c r="F26" s="1320">
        <v>10</v>
      </c>
      <c r="G26" s="1321" t="s">
        <v>2029</v>
      </c>
      <c r="H26" s="1322" t="s">
        <v>1926</v>
      </c>
      <c r="I26" s="1323" t="s">
        <v>2032</v>
      </c>
      <c r="J26" s="1323" t="s">
        <v>684</v>
      </c>
      <c r="K26" s="1324" t="s">
        <v>234</v>
      </c>
      <c r="L26" s="1322"/>
      <c r="M26" s="1323"/>
      <c r="N26" s="1325">
        <v>1</v>
      </c>
      <c r="O26" s="1322"/>
      <c r="P26" s="1323"/>
      <c r="Q26" s="1324"/>
      <c r="R26" s="1321"/>
      <c r="S26" s="1324"/>
      <c r="T26" s="1321"/>
      <c r="U26" s="1324"/>
      <c r="V26" s="1321"/>
      <c r="W26" s="1324"/>
      <c r="X26" s="1321"/>
      <c r="Y26" s="1324"/>
      <c r="Z26" s="1321"/>
      <c r="AA26" s="1324"/>
      <c r="AB26" s="1321"/>
      <c r="AC26" s="1324"/>
      <c r="AD26" s="1321"/>
      <c r="AE26" s="1324"/>
      <c r="AF26" s="1321"/>
      <c r="AG26" s="1324"/>
      <c r="AH26" s="1326">
        <f t="shared" si="4"/>
        <v>1</v>
      </c>
      <c r="AI26" s="1327">
        <f t="shared" si="5"/>
        <v>5</v>
      </c>
      <c r="AJ26" s="1328">
        <v>6400</v>
      </c>
      <c r="AK26" s="1328">
        <v>3200</v>
      </c>
      <c r="AL26" s="1329">
        <f t="shared" si="6"/>
        <v>160</v>
      </c>
      <c r="AM26" s="1330">
        <f t="shared" si="9"/>
        <v>160</v>
      </c>
      <c r="AN26" s="1331">
        <f t="shared" si="7"/>
        <v>6400</v>
      </c>
      <c r="AO26" s="1332">
        <f t="shared" si="8"/>
        <v>40</v>
      </c>
      <c r="AP26" s="1333"/>
      <c r="AQ26" s="1324"/>
      <c r="AR26" s="83"/>
      <c r="AS26" s="83"/>
      <c r="AT26" s="83"/>
      <c r="AU26" s="83"/>
      <c r="AV26" s="83"/>
      <c r="AW26" s="83"/>
      <c r="AX26" s="83"/>
      <c r="AY26" s="83"/>
      <c r="AZ26" s="83"/>
      <c r="BA26" s="83"/>
      <c r="BB26" s="83"/>
      <c r="BC26" s="83"/>
      <c r="BD26" s="83"/>
      <c r="BE26" s="83"/>
      <c r="BF26" s="83"/>
      <c r="BG26" s="83"/>
      <c r="BH26" s="83"/>
      <c r="BI26" s="83"/>
      <c r="BJ26" s="83"/>
    </row>
    <row r="27" spans="1:62" s="1317" customFormat="1" ht="20.399999999999999" x14ac:dyDescent="0.3">
      <c r="A27" s="1318">
        <v>12</v>
      </c>
      <c r="B27" s="1319">
        <v>3</v>
      </c>
      <c r="C27" s="1320" t="str">
        <f t="shared" si="2"/>
        <v>MACH__MACH_Content</v>
      </c>
      <c r="D27" s="1320" t="str">
        <f t="shared" si="3"/>
        <v>MACH__MACH_Content__Contentstack</v>
      </c>
      <c r="E27" s="1320">
        <v>20</v>
      </c>
      <c r="F27" s="1320">
        <v>10</v>
      </c>
      <c r="G27" s="1321" t="s">
        <v>437</v>
      </c>
      <c r="H27" s="1322" t="s">
        <v>2252</v>
      </c>
      <c r="I27" s="1323" t="s">
        <v>2007</v>
      </c>
      <c r="J27" s="1323" t="s">
        <v>2253</v>
      </c>
      <c r="K27" s="1324" t="s">
        <v>234</v>
      </c>
      <c r="L27" s="1322"/>
      <c r="M27" s="1323"/>
      <c r="N27" s="1325">
        <v>1</v>
      </c>
      <c r="O27" s="1322"/>
      <c r="P27" s="1323"/>
      <c r="Q27" s="1324"/>
      <c r="R27" s="1321"/>
      <c r="S27" s="1324"/>
      <c r="T27" s="1321"/>
      <c r="U27" s="1324"/>
      <c r="V27" s="1321"/>
      <c r="W27" s="1324"/>
      <c r="X27" s="1321"/>
      <c r="Y27" s="1324"/>
      <c r="Z27" s="1321"/>
      <c r="AA27" s="1324"/>
      <c r="AB27" s="1321"/>
      <c r="AC27" s="1324"/>
      <c r="AD27" s="1321"/>
      <c r="AE27" s="1324"/>
      <c r="AF27" s="1321"/>
      <c r="AG27" s="1324"/>
      <c r="AH27" s="1326">
        <f t="shared" si="4"/>
        <v>1</v>
      </c>
      <c r="AI27" s="1327">
        <f t="shared" si="5"/>
        <v>5</v>
      </c>
      <c r="AJ27" s="1328">
        <v>14800</v>
      </c>
      <c r="AK27" s="1328">
        <v>6900</v>
      </c>
      <c r="AL27" s="1329">
        <f t="shared" si="6"/>
        <v>370</v>
      </c>
      <c r="AM27" s="1330">
        <f t="shared" si="9"/>
        <v>370</v>
      </c>
      <c r="AN27" s="1331">
        <f t="shared" si="7"/>
        <v>14800</v>
      </c>
      <c r="AO27" s="1332">
        <f t="shared" si="8"/>
        <v>40</v>
      </c>
      <c r="AP27" s="1333"/>
      <c r="AQ27" s="1324"/>
      <c r="AR27" s="83"/>
      <c r="AS27" s="83"/>
      <c r="AT27" s="83"/>
      <c r="AU27" s="83"/>
      <c r="AV27" s="83"/>
      <c r="AW27" s="83"/>
      <c r="AX27" s="83"/>
      <c r="AY27" s="83"/>
      <c r="AZ27" s="83"/>
      <c r="BA27" s="83"/>
      <c r="BB27" s="83"/>
      <c r="BC27" s="83"/>
      <c r="BD27" s="83"/>
      <c r="BE27" s="83"/>
      <c r="BF27" s="83"/>
      <c r="BG27" s="83"/>
      <c r="BH27" s="83"/>
      <c r="BI27" s="83"/>
      <c r="BJ27" s="83"/>
    </row>
    <row r="28" spans="1:62" s="1317" customFormat="1" ht="20.399999999999999" x14ac:dyDescent="0.3">
      <c r="A28" s="1318">
        <v>13</v>
      </c>
      <c r="B28" s="1319">
        <v>3</v>
      </c>
      <c r="C28" s="1320" t="str">
        <f t="shared" si="2"/>
        <v>DOTNET__Optimizely_CMS</v>
      </c>
      <c r="D28" s="1320" t="str">
        <f t="shared" si="3"/>
        <v>DOTNET__Optimizely_CMS__Optimizely_CMS_Fullstack</v>
      </c>
      <c r="E28" s="1320">
        <v>20</v>
      </c>
      <c r="F28" s="1320">
        <v>10</v>
      </c>
      <c r="G28" s="1321" t="s">
        <v>2029</v>
      </c>
      <c r="H28" s="1322" t="s">
        <v>1926</v>
      </c>
      <c r="I28" s="1323" t="s">
        <v>2032</v>
      </c>
      <c r="J28" s="1323" t="s">
        <v>684</v>
      </c>
      <c r="K28" s="1324" t="s">
        <v>234</v>
      </c>
      <c r="L28" s="1322"/>
      <c r="M28" s="1323"/>
      <c r="N28" s="1325">
        <v>1</v>
      </c>
      <c r="O28" s="1322"/>
      <c r="P28" s="1323"/>
      <c r="Q28" s="1324"/>
      <c r="R28" s="1321"/>
      <c r="S28" s="1324"/>
      <c r="T28" s="1321"/>
      <c r="U28" s="1324"/>
      <c r="V28" s="1321"/>
      <c r="W28" s="1324"/>
      <c r="X28" s="1321"/>
      <c r="Y28" s="1324"/>
      <c r="Z28" s="1321"/>
      <c r="AA28" s="1324"/>
      <c r="AB28" s="1321"/>
      <c r="AC28" s="1324"/>
      <c r="AD28" s="1321"/>
      <c r="AE28" s="1324"/>
      <c r="AF28" s="1321"/>
      <c r="AG28" s="1324"/>
      <c r="AH28" s="1326">
        <f t="shared" si="4"/>
        <v>1</v>
      </c>
      <c r="AI28" s="1327">
        <f t="shared" si="5"/>
        <v>5</v>
      </c>
      <c r="AJ28" s="1328">
        <v>6400</v>
      </c>
      <c r="AK28" s="1328">
        <v>3200</v>
      </c>
      <c r="AL28" s="1329">
        <f t="shared" si="6"/>
        <v>160</v>
      </c>
      <c r="AM28" s="1330">
        <f t="shared" si="9"/>
        <v>160</v>
      </c>
      <c r="AN28" s="1331">
        <f t="shared" si="7"/>
        <v>6400</v>
      </c>
      <c r="AO28" s="1332">
        <f t="shared" si="8"/>
        <v>40</v>
      </c>
      <c r="AP28" s="1333"/>
      <c r="AQ28" s="1324"/>
      <c r="AR28" s="83"/>
      <c r="AS28" s="83"/>
      <c r="AT28" s="83"/>
      <c r="AU28" s="83"/>
      <c r="AV28" s="83"/>
      <c r="AW28" s="83"/>
      <c r="AX28" s="83"/>
      <c r="AY28" s="83"/>
      <c r="AZ28" s="83"/>
      <c r="BA28" s="83"/>
      <c r="BB28" s="83"/>
      <c r="BC28" s="83"/>
      <c r="BD28" s="83"/>
      <c r="BE28" s="83"/>
      <c r="BF28" s="83"/>
      <c r="BG28" s="83"/>
      <c r="BH28" s="83"/>
      <c r="BI28" s="83"/>
      <c r="BJ28" s="83"/>
    </row>
    <row r="29" spans="1:62" s="1317" customFormat="1" ht="20.399999999999999" x14ac:dyDescent="0.3">
      <c r="A29" s="1318">
        <v>14</v>
      </c>
      <c r="B29" s="1319">
        <v>3</v>
      </c>
      <c r="C29" s="1320" t="str">
        <f t="shared" si="2"/>
        <v>Delivery__Delivery</v>
      </c>
      <c r="D29" s="1320" t="str">
        <f t="shared" si="3"/>
        <v>Delivery__Delivery__Project_Management</v>
      </c>
      <c r="E29" s="1320">
        <v>20</v>
      </c>
      <c r="F29" s="1320">
        <v>10</v>
      </c>
      <c r="G29" s="1321" t="s">
        <v>488</v>
      </c>
      <c r="H29" s="1322" t="s">
        <v>488</v>
      </c>
      <c r="I29" s="1323" t="s">
        <v>2250</v>
      </c>
      <c r="J29" s="1323" t="s">
        <v>2254</v>
      </c>
      <c r="K29" s="1324" t="s">
        <v>234</v>
      </c>
      <c r="L29" s="1322"/>
      <c r="M29" s="1323"/>
      <c r="N29" s="1325">
        <v>1</v>
      </c>
      <c r="O29" s="1322"/>
      <c r="P29" s="1323"/>
      <c r="Q29" s="1324"/>
      <c r="R29" s="1321"/>
      <c r="S29" s="1324"/>
      <c r="T29" s="1321"/>
      <c r="U29" s="1324"/>
      <c r="V29" s="1321"/>
      <c r="W29" s="1324"/>
      <c r="X29" s="1321"/>
      <c r="Y29" s="1324"/>
      <c r="Z29" s="1321"/>
      <c r="AA29" s="1324"/>
      <c r="AB29" s="1321"/>
      <c r="AC29" s="1324"/>
      <c r="AD29" s="1321"/>
      <c r="AE29" s="1324"/>
      <c r="AF29" s="1321"/>
      <c r="AG29" s="1324"/>
      <c r="AH29" s="1326">
        <f t="shared" si="4"/>
        <v>1</v>
      </c>
      <c r="AI29" s="1327">
        <f t="shared" si="5"/>
        <v>5</v>
      </c>
      <c r="AJ29" s="1328">
        <v>12600</v>
      </c>
      <c r="AK29" s="1328">
        <v>6600</v>
      </c>
      <c r="AL29" s="1329">
        <f t="shared" si="6"/>
        <v>315</v>
      </c>
      <c r="AM29" s="1330">
        <f t="shared" si="9"/>
        <v>315</v>
      </c>
      <c r="AN29" s="1331">
        <f t="shared" si="7"/>
        <v>12600</v>
      </c>
      <c r="AO29" s="1332">
        <f t="shared" si="8"/>
        <v>40</v>
      </c>
      <c r="AP29" s="1333"/>
      <c r="AQ29" s="1324"/>
      <c r="AR29" s="83"/>
      <c r="AS29" s="83"/>
      <c r="AT29" s="83"/>
      <c r="AU29" s="83"/>
      <c r="AV29" s="83"/>
      <c r="AW29" s="83"/>
      <c r="AX29" s="83"/>
      <c r="AY29" s="83"/>
      <c r="AZ29" s="83"/>
      <c r="BA29" s="83"/>
      <c r="BB29" s="83"/>
      <c r="BC29" s="83"/>
      <c r="BD29" s="83"/>
      <c r="BE29" s="83"/>
      <c r="BF29" s="83"/>
      <c r="BG29" s="83"/>
      <c r="BH29" s="83"/>
      <c r="BI29" s="83"/>
      <c r="BJ29" s="83"/>
    </row>
    <row r="30" spans="1:62" s="1317" customFormat="1" ht="20.399999999999999" x14ac:dyDescent="0.3">
      <c r="A30" s="1318">
        <v>15</v>
      </c>
      <c r="B30" s="1319">
        <v>3</v>
      </c>
      <c r="C30" s="1320" t="str">
        <f t="shared" si="2"/>
        <v>DOTNET__Optimizely_CMS</v>
      </c>
      <c r="D30" s="1320" t="str">
        <f t="shared" si="3"/>
        <v>DOTNET__Optimizely_CMS__Optimizely_CMS_Fullstack</v>
      </c>
      <c r="E30" s="1320">
        <v>20</v>
      </c>
      <c r="F30" s="1320">
        <v>10</v>
      </c>
      <c r="G30" s="1321" t="s">
        <v>2029</v>
      </c>
      <c r="H30" s="1322" t="s">
        <v>1926</v>
      </c>
      <c r="I30" s="1323" t="s">
        <v>2032</v>
      </c>
      <c r="J30" s="1323" t="s">
        <v>684</v>
      </c>
      <c r="K30" s="1324" t="s">
        <v>234</v>
      </c>
      <c r="L30" s="1322"/>
      <c r="M30" s="1323"/>
      <c r="N30" s="1325">
        <v>1</v>
      </c>
      <c r="O30" s="1322"/>
      <c r="P30" s="1323"/>
      <c r="Q30" s="1324"/>
      <c r="R30" s="1321"/>
      <c r="S30" s="1324"/>
      <c r="T30" s="1321"/>
      <c r="U30" s="1324"/>
      <c r="V30" s="1321"/>
      <c r="W30" s="1324"/>
      <c r="X30" s="1321"/>
      <c r="Y30" s="1324"/>
      <c r="Z30" s="1321"/>
      <c r="AA30" s="1324"/>
      <c r="AB30" s="1321"/>
      <c r="AC30" s="1324"/>
      <c r="AD30" s="1321"/>
      <c r="AE30" s="1324"/>
      <c r="AF30" s="1321"/>
      <c r="AG30" s="1324"/>
      <c r="AH30" s="1326">
        <f t="shared" si="4"/>
        <v>1</v>
      </c>
      <c r="AI30" s="1327">
        <f t="shared" si="5"/>
        <v>5</v>
      </c>
      <c r="AJ30" s="1328">
        <v>6400</v>
      </c>
      <c r="AK30" s="1328">
        <v>3200</v>
      </c>
      <c r="AL30" s="1329">
        <f t="shared" si="6"/>
        <v>160</v>
      </c>
      <c r="AM30" s="1330">
        <f t="shared" si="9"/>
        <v>160</v>
      </c>
      <c r="AN30" s="1331">
        <f t="shared" si="7"/>
        <v>6400</v>
      </c>
      <c r="AO30" s="1332">
        <f t="shared" si="8"/>
        <v>40</v>
      </c>
      <c r="AP30" s="1333"/>
      <c r="AQ30" s="1324"/>
      <c r="AR30" s="83"/>
      <c r="AS30" s="83"/>
      <c r="AT30" s="83"/>
      <c r="AU30" s="83"/>
      <c r="AV30" s="83"/>
      <c r="AW30" s="83"/>
      <c r="AX30" s="83"/>
      <c r="AY30" s="83"/>
      <c r="AZ30" s="83"/>
      <c r="BA30" s="83"/>
      <c r="BB30" s="83"/>
      <c r="BC30" s="83"/>
      <c r="BD30" s="83"/>
      <c r="BE30" s="83"/>
      <c r="BF30" s="83"/>
      <c r="BG30" s="83"/>
      <c r="BH30" s="83"/>
      <c r="BI30" s="83"/>
      <c r="BJ30" s="83"/>
    </row>
    <row r="31" spans="1:62" s="1317" customFormat="1" ht="15" thickBot="1" x14ac:dyDescent="0.35">
      <c r="A31" s="1334">
        <v>16</v>
      </c>
      <c r="B31" s="1335">
        <v>3</v>
      </c>
      <c r="C31" s="1336" t="str">
        <f t="shared" si="2"/>
        <v>Acquia__Acquia_CDP</v>
      </c>
      <c r="D31" s="1336" t="str">
        <f t="shared" si="3"/>
        <v>Acquia__Acquia_CDP__CDP</v>
      </c>
      <c r="E31" s="1336">
        <v>20</v>
      </c>
      <c r="F31" s="1336">
        <v>10</v>
      </c>
      <c r="G31" s="1337" t="s">
        <v>403</v>
      </c>
      <c r="H31" s="1338" t="s">
        <v>1976</v>
      </c>
      <c r="I31" s="1339" t="s">
        <v>1977</v>
      </c>
      <c r="J31" s="1339" t="s">
        <v>2253</v>
      </c>
      <c r="K31" s="1340" t="s">
        <v>234</v>
      </c>
      <c r="L31" s="1338"/>
      <c r="M31" s="1339"/>
      <c r="N31" s="1341">
        <v>1</v>
      </c>
      <c r="O31" s="1338"/>
      <c r="P31" s="1339"/>
      <c r="Q31" s="1340"/>
      <c r="R31" s="1337"/>
      <c r="S31" s="1340"/>
      <c r="T31" s="1337"/>
      <c r="U31" s="1340"/>
      <c r="V31" s="1337"/>
      <c r="W31" s="1340"/>
      <c r="X31" s="1337"/>
      <c r="Y31" s="1340"/>
      <c r="Z31" s="1337"/>
      <c r="AA31" s="1340"/>
      <c r="AB31" s="1337"/>
      <c r="AC31" s="1340"/>
      <c r="AD31" s="1337"/>
      <c r="AE31" s="1340"/>
      <c r="AF31" s="1337"/>
      <c r="AG31" s="1340"/>
      <c r="AH31" s="1342">
        <f t="shared" si="4"/>
        <v>1</v>
      </c>
      <c r="AI31" s="1343">
        <f t="shared" si="5"/>
        <v>5</v>
      </c>
      <c r="AJ31" s="1344">
        <v>14800</v>
      </c>
      <c r="AK31" s="1344">
        <v>6900</v>
      </c>
      <c r="AL31" s="1345">
        <f t="shared" si="6"/>
        <v>370</v>
      </c>
      <c r="AM31" s="1346">
        <f t="shared" si="9"/>
        <v>370</v>
      </c>
      <c r="AN31" s="1347">
        <f t="shared" si="7"/>
        <v>14800</v>
      </c>
      <c r="AO31" s="1348">
        <f t="shared" si="8"/>
        <v>40</v>
      </c>
      <c r="AP31" s="1349"/>
      <c r="AQ31" s="1340"/>
      <c r="AR31" s="83"/>
      <c r="AS31" s="83"/>
      <c r="AT31" s="83"/>
      <c r="AU31" s="83"/>
      <c r="AV31" s="83"/>
      <c r="AW31" s="83"/>
      <c r="AX31" s="83"/>
      <c r="AY31" s="83"/>
      <c r="AZ31" s="83"/>
      <c r="BA31" s="83"/>
      <c r="BB31" s="83"/>
      <c r="BC31" s="83"/>
      <c r="BD31" s="83"/>
      <c r="BE31" s="83"/>
      <c r="BF31" s="83"/>
      <c r="BG31" s="83"/>
      <c r="BH31" s="83"/>
      <c r="BI31" s="83"/>
      <c r="BJ31" s="83"/>
    </row>
    <row r="32" spans="1:62" s="1317" customFormat="1" ht="20.7" customHeight="1" x14ac:dyDescent="0.3">
      <c r="A32" s="1350">
        <v>17</v>
      </c>
      <c r="B32" s="1351">
        <v>3</v>
      </c>
      <c r="C32" s="1352" t="str">
        <f t="shared" si="2"/>
        <v>Delivery__Delivery</v>
      </c>
      <c r="D32" s="1352" t="str">
        <f t="shared" si="3"/>
        <v>Delivery__Delivery__Project_Management</v>
      </c>
      <c r="E32" s="1352">
        <v>21</v>
      </c>
      <c r="F32" s="1352">
        <v>8</v>
      </c>
      <c r="G32" s="1353" t="s">
        <v>488</v>
      </c>
      <c r="H32" s="1354" t="s">
        <v>488</v>
      </c>
      <c r="I32" s="1355" t="s">
        <v>2250</v>
      </c>
      <c r="J32" s="1355" t="s">
        <v>1516</v>
      </c>
      <c r="K32" s="1356" t="s">
        <v>235</v>
      </c>
      <c r="L32" s="1354"/>
      <c r="M32" s="1355"/>
      <c r="N32" s="1357">
        <v>1</v>
      </c>
      <c r="O32" s="1354"/>
      <c r="P32" s="1355"/>
      <c r="Q32" s="1356"/>
      <c r="R32" s="1353"/>
      <c r="S32" s="1356"/>
      <c r="T32" s="1353"/>
      <c r="U32" s="1356"/>
      <c r="V32" s="1353"/>
      <c r="W32" s="1356"/>
      <c r="X32" s="1353"/>
      <c r="Y32" s="1356"/>
      <c r="Z32" s="1353"/>
      <c r="AA32" s="1356"/>
      <c r="AB32" s="1353"/>
      <c r="AC32" s="1356"/>
      <c r="AD32" s="1353"/>
      <c r="AE32" s="1356"/>
      <c r="AF32" s="1353"/>
      <c r="AG32" s="1356"/>
      <c r="AH32" s="1358">
        <f t="shared" si="4"/>
        <v>1</v>
      </c>
      <c r="AI32" s="1359">
        <f t="shared" si="5"/>
        <v>5</v>
      </c>
      <c r="AJ32" s="1360">
        <v>2800</v>
      </c>
      <c r="AK32" s="1360">
        <v>1100</v>
      </c>
      <c r="AL32" s="1361">
        <f t="shared" si="6"/>
        <v>70</v>
      </c>
      <c r="AM32" s="1362">
        <f t="shared" si="9"/>
        <v>70</v>
      </c>
      <c r="AN32" s="1331">
        <f t="shared" si="7"/>
        <v>2800</v>
      </c>
      <c r="AO32" s="1363">
        <f t="shared" si="8"/>
        <v>40</v>
      </c>
      <c r="AP32" s="1364"/>
      <c r="AQ32" s="1841" t="s">
        <v>2255</v>
      </c>
      <c r="AR32" s="83"/>
      <c r="AS32" s="83"/>
      <c r="AT32" s="83"/>
      <c r="AU32" s="83"/>
      <c r="AV32" s="83"/>
      <c r="AW32" s="83"/>
      <c r="AX32" s="83"/>
      <c r="AY32" s="83"/>
      <c r="AZ32" s="83"/>
      <c r="BA32" s="83"/>
      <c r="BB32" s="83"/>
      <c r="BC32" s="83"/>
      <c r="BD32" s="83"/>
      <c r="BE32" s="83"/>
      <c r="BF32" s="83"/>
      <c r="BG32" s="83"/>
      <c r="BH32" s="83"/>
      <c r="BI32" s="83"/>
      <c r="BJ32" s="83"/>
    </row>
    <row r="33" spans="1:62" s="1317" customFormat="1" ht="21" thickBot="1" x14ac:dyDescent="0.35">
      <c r="A33" s="1365">
        <v>18</v>
      </c>
      <c r="B33" s="1366">
        <v>3</v>
      </c>
      <c r="C33" s="1367" t="str">
        <f t="shared" si="2"/>
        <v>Delivery__Delivery</v>
      </c>
      <c r="D33" s="1367" t="str">
        <f t="shared" si="3"/>
        <v>Delivery__Delivery__Project_Management</v>
      </c>
      <c r="E33" s="1367">
        <v>20</v>
      </c>
      <c r="F33" s="1367">
        <v>10</v>
      </c>
      <c r="G33" s="1368" t="s">
        <v>488</v>
      </c>
      <c r="H33" s="1369" t="s">
        <v>488</v>
      </c>
      <c r="I33" s="1370" t="s">
        <v>2250</v>
      </c>
      <c r="J33" s="1370" t="s">
        <v>1516</v>
      </c>
      <c r="K33" s="1371" t="s">
        <v>234</v>
      </c>
      <c r="L33" s="1369"/>
      <c r="M33" s="1370"/>
      <c r="N33" s="1372">
        <v>1</v>
      </c>
      <c r="O33" s="1369"/>
      <c r="P33" s="1370"/>
      <c r="Q33" s="1371"/>
      <c r="R33" s="1368"/>
      <c r="S33" s="1371"/>
      <c r="T33" s="1368"/>
      <c r="U33" s="1371"/>
      <c r="V33" s="1368"/>
      <c r="W33" s="1371"/>
      <c r="X33" s="1368"/>
      <c r="Y33" s="1371"/>
      <c r="Z33" s="1368"/>
      <c r="AA33" s="1371"/>
      <c r="AB33" s="1368"/>
      <c r="AC33" s="1371"/>
      <c r="AD33" s="1368"/>
      <c r="AE33" s="1371"/>
      <c r="AF33" s="1368"/>
      <c r="AG33" s="1371"/>
      <c r="AH33" s="1342">
        <f t="shared" si="4"/>
        <v>1</v>
      </c>
      <c r="AI33" s="1343">
        <f t="shared" si="5"/>
        <v>5</v>
      </c>
      <c r="AJ33" s="1344">
        <v>7600</v>
      </c>
      <c r="AK33" s="1344">
        <v>4500</v>
      </c>
      <c r="AL33" s="1345">
        <f t="shared" si="6"/>
        <v>190</v>
      </c>
      <c r="AM33" s="1346">
        <f t="shared" si="9"/>
        <v>190</v>
      </c>
      <c r="AN33" s="1373">
        <f t="shared" si="7"/>
        <v>7600</v>
      </c>
      <c r="AO33" s="1348">
        <f t="shared" si="8"/>
        <v>40</v>
      </c>
      <c r="AP33" s="1374"/>
      <c r="AQ33" s="1842"/>
      <c r="AR33" s="83"/>
      <c r="AS33" s="83"/>
      <c r="AT33" s="83"/>
      <c r="AU33" s="83"/>
      <c r="AV33" s="83"/>
      <c r="AW33" s="83"/>
      <c r="AX33" s="83"/>
      <c r="AY33" s="83"/>
      <c r="AZ33" s="83"/>
      <c r="BA33" s="83"/>
      <c r="BB33" s="83"/>
      <c r="BC33" s="83"/>
      <c r="BD33" s="83"/>
      <c r="BE33" s="83"/>
      <c r="BF33" s="83"/>
      <c r="BG33" s="83"/>
      <c r="BH33" s="83"/>
      <c r="BI33" s="83"/>
      <c r="BJ33" s="83"/>
    </row>
    <row r="34" spans="1:62" s="1317" customFormat="1" ht="15" thickBot="1" x14ac:dyDescent="0.35">
      <c r="A34" s="1816"/>
      <c r="B34" s="1817"/>
      <c r="C34" s="1817"/>
      <c r="D34" s="1817"/>
      <c r="E34" s="1817"/>
      <c r="F34" s="1817"/>
      <c r="G34" s="1817"/>
      <c r="H34" s="1817"/>
      <c r="I34" s="1818"/>
      <c r="J34" s="1375"/>
      <c r="K34" s="1376"/>
      <c r="L34" s="1377"/>
      <c r="M34" s="1377"/>
      <c r="N34" s="1378">
        <f t="shared" ref="N34:AG34" si="10">SUM(N15:N33)/SUM($AH15:$AH33)</f>
        <v>1</v>
      </c>
      <c r="O34" s="1379">
        <f t="shared" si="10"/>
        <v>0</v>
      </c>
      <c r="P34" s="1380">
        <f t="shared" si="10"/>
        <v>0</v>
      </c>
      <c r="Q34" s="1381">
        <f t="shared" si="10"/>
        <v>0</v>
      </c>
      <c r="R34" s="1382">
        <f t="shared" si="10"/>
        <v>0</v>
      </c>
      <c r="S34" s="1381">
        <f t="shared" si="10"/>
        <v>0</v>
      </c>
      <c r="T34" s="1382">
        <f t="shared" si="10"/>
        <v>0</v>
      </c>
      <c r="U34" s="1381">
        <f t="shared" si="10"/>
        <v>0</v>
      </c>
      <c r="V34" s="1382">
        <f t="shared" si="10"/>
        <v>0</v>
      </c>
      <c r="W34" s="1381">
        <f t="shared" si="10"/>
        <v>0</v>
      </c>
      <c r="X34" s="1382">
        <f t="shared" si="10"/>
        <v>0</v>
      </c>
      <c r="Y34" s="1381">
        <f t="shared" si="10"/>
        <v>0</v>
      </c>
      <c r="Z34" s="1382">
        <f t="shared" si="10"/>
        <v>0</v>
      </c>
      <c r="AA34" s="1381">
        <f t="shared" si="10"/>
        <v>0</v>
      </c>
      <c r="AB34" s="1382">
        <f t="shared" si="10"/>
        <v>0</v>
      </c>
      <c r="AC34" s="1381">
        <f t="shared" si="10"/>
        <v>0</v>
      </c>
      <c r="AD34" s="1382">
        <f t="shared" si="10"/>
        <v>0</v>
      </c>
      <c r="AE34" s="1381">
        <f t="shared" si="10"/>
        <v>0</v>
      </c>
      <c r="AF34" s="1382">
        <f t="shared" si="10"/>
        <v>0</v>
      </c>
      <c r="AG34" s="1381">
        <f t="shared" si="10"/>
        <v>0</v>
      </c>
      <c r="AH34" s="1383">
        <f>SUM(AH16:AH33)</f>
        <v>18</v>
      </c>
      <c r="AI34" s="1384">
        <f>SUM(AI16:AI33)</f>
        <v>90</v>
      </c>
      <c r="AJ34" s="1385">
        <f>SUM(AJ16:AJ33)</f>
        <v>98200</v>
      </c>
      <c r="AK34" s="1386">
        <f>SUM(AK16:AK33)</f>
        <v>48200</v>
      </c>
      <c r="AL34" s="1387"/>
      <c r="AM34" s="1388"/>
      <c r="AN34" s="1389">
        <f>SUM(AN16:AN33)</f>
        <v>98200</v>
      </c>
      <c r="AO34" s="1390">
        <f>SUM(AO16:AO33)</f>
        <v>720</v>
      </c>
    </row>
    <row r="35" spans="1:62" s="1317" customFormat="1" ht="15" thickBot="1" x14ac:dyDescent="0.35">
      <c r="A35" s="1816"/>
      <c r="B35" s="1817"/>
      <c r="C35" s="1817"/>
      <c r="D35" s="1817"/>
      <c r="E35" s="1817"/>
      <c r="F35" s="1817"/>
      <c r="G35" s="1817"/>
      <c r="H35" s="1817"/>
      <c r="I35" s="1818"/>
      <c r="J35" s="1391" t="s">
        <v>310</v>
      </c>
      <c r="K35" s="1392"/>
      <c r="L35" s="1393"/>
      <c r="M35" s="1393"/>
      <c r="N35" s="1394">
        <f>SUM($K34:N34)</f>
        <v>1</v>
      </c>
      <c r="O35" s="1395">
        <f>SUM($K34:O34)</f>
        <v>1</v>
      </c>
      <c r="P35" s="1396">
        <f>SUM($K34:P34)</f>
        <v>1</v>
      </c>
      <c r="Q35" s="1397">
        <f>SUM($K34:Q34)</f>
        <v>1</v>
      </c>
      <c r="R35" s="1398">
        <f>SUM($K34:R34)</f>
        <v>1</v>
      </c>
      <c r="S35" s="1397">
        <f>SUM($K34:S34)</f>
        <v>1</v>
      </c>
      <c r="T35" s="1398">
        <f>SUM($K34:T34)</f>
        <v>1</v>
      </c>
      <c r="U35" s="1397">
        <f>SUM($K34:U34)</f>
        <v>1</v>
      </c>
      <c r="V35" s="1398">
        <f>SUM($K34:V34)</f>
        <v>1</v>
      </c>
      <c r="W35" s="1397">
        <f>SUM($K34:W34)</f>
        <v>1</v>
      </c>
      <c r="X35" s="1398">
        <f>SUM($K34:X34)</f>
        <v>1</v>
      </c>
      <c r="Y35" s="1397">
        <f>SUM($K34:Y34)</f>
        <v>1</v>
      </c>
      <c r="Z35" s="1398">
        <f>SUM($K34:Z34)</f>
        <v>1</v>
      </c>
      <c r="AA35" s="1397">
        <f>SUM($K34:AA34)</f>
        <v>1</v>
      </c>
      <c r="AB35" s="1398">
        <f>SUM($K34:AB34)</f>
        <v>1</v>
      </c>
      <c r="AC35" s="1397">
        <f>SUM($K34:AC34)</f>
        <v>1</v>
      </c>
      <c r="AD35" s="1398">
        <f>SUM($K34:AD34)</f>
        <v>1</v>
      </c>
      <c r="AE35" s="1397">
        <f>SUM($K34:AE34)</f>
        <v>1</v>
      </c>
      <c r="AF35" s="1398">
        <f>SUM($K34:AF34)</f>
        <v>1</v>
      </c>
      <c r="AG35" s="1397">
        <f>SUM($K34:AG34)</f>
        <v>1</v>
      </c>
      <c r="AH35" s="1399"/>
      <c r="AI35" s="1400" t="s">
        <v>29</v>
      </c>
      <c r="AL35" s="1401"/>
      <c r="AM35" s="83"/>
      <c r="AN35" s="83"/>
      <c r="AO35" s="83"/>
    </row>
    <row r="36" spans="1:62" s="85" customFormat="1" ht="15" thickBot="1" x14ac:dyDescent="0.35">
      <c r="A36" s="86"/>
      <c r="B36" s="1402"/>
      <c r="C36" s="1402"/>
      <c r="D36" s="1402"/>
      <c r="E36" s="1402"/>
      <c r="F36" s="1402"/>
      <c r="J36" s="84"/>
      <c r="K36" s="1403"/>
      <c r="N36" s="1404"/>
      <c r="O36" s="1405"/>
      <c r="P36" s="1405"/>
      <c r="Q36" s="1406"/>
      <c r="R36" s="1407"/>
      <c r="S36" s="1406"/>
      <c r="T36" s="1407"/>
      <c r="U36" s="1406"/>
      <c r="V36" s="1407"/>
      <c r="W36" s="1406"/>
      <c r="X36" s="1407"/>
      <c r="Y36" s="1406"/>
      <c r="Z36" s="1407"/>
      <c r="AA36" s="1406"/>
      <c r="AB36" s="1407"/>
      <c r="AC36" s="1406"/>
      <c r="AD36" s="1407"/>
      <c r="AE36" s="1406"/>
      <c r="AF36" s="1407"/>
      <c r="AG36" s="1406"/>
      <c r="AH36" s="1843" t="s">
        <v>2256</v>
      </c>
      <c r="AI36" s="1844"/>
      <c r="AJ36" s="1408">
        <v>0</v>
      </c>
      <c r="AL36" s="86"/>
      <c r="AM36" s="879" t="s">
        <v>2257</v>
      </c>
      <c r="AN36" s="1409">
        <v>0</v>
      </c>
      <c r="AO36" s="87" t="s">
        <v>2258</v>
      </c>
    </row>
    <row r="37" spans="1:62" s="85" customFormat="1" ht="15" thickBot="1" x14ac:dyDescent="0.35">
      <c r="A37" s="86"/>
      <c r="B37" s="1402"/>
      <c r="C37" s="1402"/>
      <c r="D37" s="1402"/>
      <c r="E37" s="1402"/>
      <c r="F37" s="1402"/>
      <c r="J37" s="1410" t="s">
        <v>2259</v>
      </c>
      <c r="N37" s="1411"/>
      <c r="O37" s="87"/>
      <c r="P37" s="87"/>
      <c r="Q37" s="1412"/>
      <c r="R37" s="1413"/>
      <c r="S37" s="1412"/>
      <c r="T37" s="1413"/>
      <c r="U37" s="1412"/>
      <c r="V37" s="1413"/>
      <c r="W37" s="1412"/>
      <c r="X37" s="1413"/>
      <c r="Y37" s="1412"/>
      <c r="Z37" s="1413"/>
      <c r="AA37" s="1412"/>
      <c r="AB37" s="1413"/>
      <c r="AC37" s="1412"/>
      <c r="AD37" s="1413"/>
      <c r="AE37" s="1412"/>
      <c r="AF37" s="1413"/>
      <c r="AG37" s="1412"/>
      <c r="AH37" s="1845" t="s">
        <v>2260</v>
      </c>
      <c r="AI37" s="1846"/>
      <c r="AJ37" s="1414">
        <f>+AJ34-AJ36</f>
        <v>98200</v>
      </c>
      <c r="AL37" s="86"/>
      <c r="AM37" s="149"/>
      <c r="AN37" s="87"/>
      <c r="AO37" s="87"/>
    </row>
    <row r="38" spans="1:62" s="85" customFormat="1" x14ac:dyDescent="0.3">
      <c r="A38" s="86"/>
      <c r="B38" s="1402"/>
      <c r="C38" s="1402"/>
      <c r="D38" s="1402"/>
      <c r="E38" s="1402"/>
      <c r="F38" s="1402"/>
      <c r="J38" s="1415" t="s">
        <v>312</v>
      </c>
      <c r="K38" s="84"/>
      <c r="N38" s="1416">
        <f t="shared" ref="N38:AG38" si="11">SUMPRODUCT(N16:N33,$AM$16:$AM$33)*40</f>
        <v>98200</v>
      </c>
      <c r="O38" s="1417">
        <f t="shared" si="11"/>
        <v>0</v>
      </c>
      <c r="P38" s="1418">
        <f t="shared" si="11"/>
        <v>0</v>
      </c>
      <c r="Q38" s="1419">
        <f t="shared" si="11"/>
        <v>0</v>
      </c>
      <c r="R38" s="1420">
        <f t="shared" si="11"/>
        <v>0</v>
      </c>
      <c r="S38" s="1419">
        <f t="shared" si="11"/>
        <v>0</v>
      </c>
      <c r="T38" s="1420">
        <f t="shared" si="11"/>
        <v>0</v>
      </c>
      <c r="U38" s="1419">
        <f t="shared" si="11"/>
        <v>0</v>
      </c>
      <c r="V38" s="1420">
        <f t="shared" si="11"/>
        <v>0</v>
      </c>
      <c r="W38" s="1419">
        <f t="shared" si="11"/>
        <v>0</v>
      </c>
      <c r="X38" s="1420">
        <f t="shared" si="11"/>
        <v>0</v>
      </c>
      <c r="Y38" s="1419">
        <f t="shared" si="11"/>
        <v>0</v>
      </c>
      <c r="Z38" s="1420">
        <f t="shared" si="11"/>
        <v>0</v>
      </c>
      <c r="AA38" s="1419">
        <f t="shared" si="11"/>
        <v>0</v>
      </c>
      <c r="AB38" s="1420">
        <f t="shared" si="11"/>
        <v>0</v>
      </c>
      <c r="AC38" s="1419">
        <f t="shared" si="11"/>
        <v>0</v>
      </c>
      <c r="AD38" s="1420">
        <f t="shared" si="11"/>
        <v>0</v>
      </c>
      <c r="AE38" s="1419">
        <f t="shared" si="11"/>
        <v>0</v>
      </c>
      <c r="AF38" s="1420">
        <f t="shared" si="11"/>
        <v>0</v>
      </c>
      <c r="AG38" s="1419">
        <f t="shared" si="11"/>
        <v>0</v>
      </c>
      <c r="AH38" s="1847" t="s">
        <v>2261</v>
      </c>
      <c r="AI38" s="1848"/>
      <c r="AJ38" s="1421">
        <f>+AJ37*1.4</f>
        <v>137480</v>
      </c>
      <c r="AL38" s="86"/>
      <c r="AM38" s="1422"/>
      <c r="AN38" s="1423" t="s">
        <v>2262</v>
      </c>
      <c r="AO38" s="1423" t="s">
        <v>2263</v>
      </c>
      <c r="AP38" s="1423" t="s">
        <v>2264</v>
      </c>
    </row>
    <row r="39" spans="1:62" s="85" customFormat="1" ht="15" thickBot="1" x14ac:dyDescent="0.35">
      <c r="A39" s="86"/>
      <c r="B39" s="1402"/>
      <c r="C39" s="1402"/>
      <c r="D39" s="1402"/>
      <c r="E39" s="1402"/>
      <c r="F39" s="1402"/>
      <c r="J39" s="1415" t="s">
        <v>2265</v>
      </c>
      <c r="K39" s="84"/>
      <c r="N39" s="1424">
        <f>SUM(N38)</f>
        <v>98200</v>
      </c>
      <c r="O39" s="1832">
        <f>SUM(O38:Q38)</f>
        <v>0</v>
      </c>
      <c r="P39" s="1833"/>
      <c r="Q39" s="1834"/>
      <c r="R39" s="1835">
        <f>SUM(R38:S38)</f>
        <v>0</v>
      </c>
      <c r="S39" s="1836"/>
      <c r="T39" s="1832">
        <f>SUM(T38:U38)</f>
        <v>0</v>
      </c>
      <c r="U39" s="1834"/>
      <c r="V39" s="1835">
        <f>SUM(V38:W38)</f>
        <v>0</v>
      </c>
      <c r="W39" s="1836"/>
      <c r="X39" s="1832">
        <f>SUM(X38:Y38)</f>
        <v>0</v>
      </c>
      <c r="Y39" s="1834"/>
      <c r="Z39" s="1835">
        <f>SUM(Z38:AA38)</f>
        <v>0</v>
      </c>
      <c r="AA39" s="1836"/>
      <c r="AB39" s="1832">
        <f>SUM(AB38:AC38)</f>
        <v>0</v>
      </c>
      <c r="AC39" s="1834"/>
      <c r="AD39" s="1835">
        <f>SUM(AD38:AE38)</f>
        <v>0</v>
      </c>
      <c r="AE39" s="1836"/>
      <c r="AF39" s="1832">
        <f>SUM(AF38:AG38)</f>
        <v>0</v>
      </c>
      <c r="AG39" s="1834"/>
      <c r="AH39" s="1849" t="s">
        <v>2266</v>
      </c>
      <c r="AI39" s="1850"/>
      <c r="AJ39" s="1425">
        <f>+AJ37*1.2</f>
        <v>117840</v>
      </c>
      <c r="AL39" s="86"/>
      <c r="AM39" s="1426" t="s">
        <v>2267</v>
      </c>
      <c r="AN39" s="1427">
        <f>AJ37-AJ36</f>
        <v>98200</v>
      </c>
      <c r="AO39" s="1428">
        <f>(AN39-AK34)/AN39</f>
        <v>0.50916496945010181</v>
      </c>
      <c r="AP39" s="1427">
        <f>AN39/AO34</f>
        <v>136.38888888888889</v>
      </c>
    </row>
    <row r="40" spans="1:62" s="85" customFormat="1" ht="15" thickBot="1" x14ac:dyDescent="0.35">
      <c r="A40" s="86"/>
      <c r="B40" s="1402"/>
      <c r="C40" s="1402"/>
      <c r="D40" s="1402"/>
      <c r="E40" s="1402"/>
      <c r="F40" s="1402"/>
      <c r="J40" s="1429" t="s">
        <v>2268</v>
      </c>
      <c r="K40" s="84"/>
      <c r="N40" s="1837">
        <f>SUM(N38:Q38)</f>
        <v>98200</v>
      </c>
      <c r="O40" s="1838"/>
      <c r="P40" s="1838"/>
      <c r="Q40" s="1838"/>
      <c r="R40" s="1839">
        <f>SUM(R38:U38)</f>
        <v>0</v>
      </c>
      <c r="S40" s="1840"/>
      <c r="T40" s="1840"/>
      <c r="U40" s="1840"/>
      <c r="V40" s="1837">
        <f>SUM(V38:Y38)</f>
        <v>0</v>
      </c>
      <c r="W40" s="1838"/>
      <c r="X40" s="1838"/>
      <c r="Y40" s="1838"/>
      <c r="Z40" s="1839">
        <f>SUM(Z38:AC38)</f>
        <v>0</v>
      </c>
      <c r="AA40" s="1840"/>
      <c r="AB40" s="1840"/>
      <c r="AC40" s="1840"/>
      <c r="AD40" s="1837">
        <f>SUM(AD38:AG38)</f>
        <v>0</v>
      </c>
      <c r="AE40" s="1838"/>
      <c r="AF40" s="1838"/>
      <c r="AG40" s="1838"/>
      <c r="AH40" s="1854" t="s">
        <v>2269</v>
      </c>
      <c r="AI40" s="1855"/>
      <c r="AJ40" s="1430">
        <f>+AJ37*1.3</f>
        <v>127660</v>
      </c>
      <c r="AL40" s="86"/>
      <c r="AM40" s="1431" t="s">
        <v>2270</v>
      </c>
      <c r="AN40" s="1432">
        <f>AN34-AN36</f>
        <v>98200</v>
      </c>
      <c r="AO40" s="1433">
        <f>(AN40-AK34)/AN40</f>
        <v>0.50916496945010181</v>
      </c>
      <c r="AP40" s="1432">
        <f>AN40/AO34</f>
        <v>136.38888888888889</v>
      </c>
    </row>
    <row r="41" spans="1:62" s="85" customFormat="1" ht="15" thickBot="1" x14ac:dyDescent="0.35">
      <c r="A41" s="86"/>
      <c r="B41" s="1402"/>
      <c r="C41" s="1402"/>
      <c r="D41" s="1402"/>
      <c r="E41" s="1402"/>
      <c r="F41" s="1402"/>
      <c r="K41" s="84"/>
      <c r="N41" s="125"/>
      <c r="O41" s="125"/>
      <c r="P41" s="125"/>
      <c r="Q41" s="125"/>
      <c r="R41" s="125"/>
      <c r="S41" s="125"/>
      <c r="T41" s="125"/>
      <c r="U41" s="88"/>
      <c r="V41" s="88"/>
      <c r="W41" s="88"/>
      <c r="X41" s="125"/>
      <c r="Y41" s="125"/>
      <c r="Z41" s="125"/>
      <c r="AA41" s="88"/>
      <c r="AB41" s="88"/>
      <c r="AC41" s="88"/>
      <c r="AD41" s="88"/>
      <c r="AE41" s="88"/>
      <c r="AF41" s="88"/>
      <c r="AG41" s="88"/>
      <c r="AL41" s="86"/>
      <c r="AM41" s="1426" t="s">
        <v>2271</v>
      </c>
      <c r="AN41" s="1427">
        <f>AK34/(1-AO41)</f>
        <v>107111.11111111112</v>
      </c>
      <c r="AO41" s="1434">
        <v>0.55000000000000004</v>
      </c>
      <c r="AP41" s="1427">
        <f>AN41/AO34</f>
        <v>148.76543209876544</v>
      </c>
      <c r="AQ41" s="85" t="s">
        <v>2272</v>
      </c>
    </row>
    <row r="42" spans="1:62" s="85" customFormat="1" ht="15" thickBot="1" x14ac:dyDescent="0.35">
      <c r="A42" s="86"/>
      <c r="B42" s="1402"/>
      <c r="C42" s="1402"/>
      <c r="D42" s="1402"/>
      <c r="E42" s="1402"/>
      <c r="F42" s="1402"/>
      <c r="J42" s="1410" t="s">
        <v>2273</v>
      </c>
      <c r="N42" s="88"/>
      <c r="O42" s="88"/>
      <c r="P42" s="88"/>
      <c r="Q42" s="88"/>
      <c r="R42" s="88"/>
      <c r="S42" s="88"/>
      <c r="T42" s="88"/>
      <c r="U42" s="88"/>
      <c r="V42" s="88"/>
      <c r="W42" s="88"/>
      <c r="X42" s="88"/>
      <c r="Y42" s="88"/>
      <c r="Z42" s="88"/>
      <c r="AA42" s="88"/>
      <c r="AB42" s="88"/>
      <c r="AC42" s="88"/>
      <c r="AD42" s="88"/>
      <c r="AE42" s="88"/>
      <c r="AF42" s="88"/>
      <c r="AG42" s="88"/>
      <c r="AH42" s="1856" t="s">
        <v>2274</v>
      </c>
      <c r="AI42" s="1857"/>
      <c r="AJ42" s="1435">
        <f>AN34</f>
        <v>98200</v>
      </c>
      <c r="AK42" s="1436" t="s">
        <v>2275</v>
      </c>
      <c r="AL42" s="86"/>
    </row>
    <row r="43" spans="1:62" x14ac:dyDescent="0.3">
      <c r="J43" s="1415" t="s">
        <v>312</v>
      </c>
      <c r="N43" s="1416">
        <f t="shared" ref="N43:AG43" si="12">SUMPRODUCT(N16:N33,$AM$16:$AM$33)*40*1.2</f>
        <v>117840</v>
      </c>
      <c r="O43" s="1420">
        <f t="shared" si="12"/>
        <v>0</v>
      </c>
      <c r="P43" s="1418">
        <f t="shared" si="12"/>
        <v>0</v>
      </c>
      <c r="Q43" s="1419">
        <f t="shared" si="12"/>
        <v>0</v>
      </c>
      <c r="R43" s="1420">
        <f t="shared" si="12"/>
        <v>0</v>
      </c>
      <c r="S43" s="1419">
        <f t="shared" si="12"/>
        <v>0</v>
      </c>
      <c r="T43" s="1420">
        <f t="shared" si="12"/>
        <v>0</v>
      </c>
      <c r="U43" s="1419">
        <f t="shared" si="12"/>
        <v>0</v>
      </c>
      <c r="V43" s="1420">
        <f t="shared" si="12"/>
        <v>0</v>
      </c>
      <c r="W43" s="1419">
        <f t="shared" si="12"/>
        <v>0</v>
      </c>
      <c r="X43" s="1420">
        <f t="shared" si="12"/>
        <v>0</v>
      </c>
      <c r="Y43" s="1419">
        <f t="shared" si="12"/>
        <v>0</v>
      </c>
      <c r="Z43" s="1420">
        <f t="shared" si="12"/>
        <v>0</v>
      </c>
      <c r="AA43" s="1419">
        <f t="shared" si="12"/>
        <v>0</v>
      </c>
      <c r="AB43" s="1420">
        <f t="shared" si="12"/>
        <v>0</v>
      </c>
      <c r="AC43" s="1419">
        <f t="shared" si="12"/>
        <v>0</v>
      </c>
      <c r="AD43" s="1420">
        <f t="shared" si="12"/>
        <v>0</v>
      </c>
      <c r="AE43" s="1419">
        <f t="shared" si="12"/>
        <v>0</v>
      </c>
      <c r="AF43" s="1420">
        <f t="shared" si="12"/>
        <v>0</v>
      </c>
      <c r="AG43" s="1419">
        <f t="shared" si="12"/>
        <v>0</v>
      </c>
      <c r="AH43" s="1858" t="s">
        <v>2276</v>
      </c>
      <c r="AI43" s="1859"/>
      <c r="AJ43" s="1437"/>
      <c r="AN43" s="1423" t="s">
        <v>2277</v>
      </c>
      <c r="AO43" s="1423" t="s">
        <v>2278</v>
      </c>
      <c r="AP43" s="1423" t="s">
        <v>2264</v>
      </c>
      <c r="AQ43" s="1438" t="s">
        <v>2279</v>
      </c>
    </row>
    <row r="44" spans="1:62" ht="15" thickBot="1" x14ac:dyDescent="0.35">
      <c r="J44" s="1415" t="s">
        <v>2265</v>
      </c>
      <c r="N44" s="1424">
        <f>SUM(N43)</f>
        <v>117840</v>
      </c>
      <c r="O44" s="1832">
        <f>SUM(O43:Q43)</f>
        <v>0</v>
      </c>
      <c r="P44" s="1833"/>
      <c r="Q44" s="1834"/>
      <c r="R44" s="1835">
        <f>SUM(R43:S43)</f>
        <v>0</v>
      </c>
      <c r="S44" s="1836"/>
      <c r="T44" s="1832">
        <f>SUM(T43:U43)</f>
        <v>0</v>
      </c>
      <c r="U44" s="1834"/>
      <c r="V44" s="1835">
        <f>SUM(V43:W43)</f>
        <v>0</v>
      </c>
      <c r="W44" s="1836"/>
      <c r="X44" s="1832">
        <f>SUM(X43:Y43)</f>
        <v>0</v>
      </c>
      <c r="Y44" s="1834"/>
      <c r="Z44" s="1835">
        <f>SUM(Z43:AA43)</f>
        <v>0</v>
      </c>
      <c r="AA44" s="1836"/>
      <c r="AB44" s="1832">
        <f>SUM(AB43:AC43)</f>
        <v>0</v>
      </c>
      <c r="AC44" s="1834"/>
      <c r="AD44" s="1835">
        <f>SUM(AD43:AE43)</f>
        <v>0</v>
      </c>
      <c r="AE44" s="1836"/>
      <c r="AF44" s="1832">
        <f>SUM(AF43:AG43)</f>
        <v>0</v>
      </c>
      <c r="AG44" s="1834"/>
      <c r="AH44" s="1858" t="s">
        <v>360</v>
      </c>
      <c r="AI44" s="1859"/>
      <c r="AJ44" s="1437"/>
      <c r="AM44" s="1426" t="s">
        <v>2267</v>
      </c>
      <c r="AN44" s="1427">
        <f>AJ39-AJ36</f>
        <v>117840</v>
      </c>
      <c r="AO44" s="1428">
        <f>(AN44-AK34)/AN44</f>
        <v>0.59097080787508482</v>
      </c>
      <c r="AP44" s="1427">
        <f>AN44/AO34</f>
        <v>163.66666666666666</v>
      </c>
    </row>
    <row r="45" spans="1:62" ht="15" thickBot="1" x14ac:dyDescent="0.35">
      <c r="J45" s="1429" t="s">
        <v>2268</v>
      </c>
      <c r="N45" s="1851">
        <f>SUM(N43:Q43)</f>
        <v>117840</v>
      </c>
      <c r="O45" s="1852"/>
      <c r="P45" s="1852"/>
      <c r="Q45" s="1853"/>
      <c r="R45" s="1860">
        <f t="shared" ref="R45" si="13">SUM(R43:U43)</f>
        <v>0</v>
      </c>
      <c r="S45" s="1861"/>
      <c r="T45" s="1861"/>
      <c r="U45" s="1862"/>
      <c r="V45" s="1851">
        <f t="shared" ref="V45" si="14">SUM(V43:Y43)</f>
        <v>0</v>
      </c>
      <c r="W45" s="1852"/>
      <c r="X45" s="1852"/>
      <c r="Y45" s="1853"/>
      <c r="Z45" s="1860">
        <f t="shared" ref="Z45" si="15">SUM(Z43:AC43)</f>
        <v>0</v>
      </c>
      <c r="AA45" s="1861"/>
      <c r="AB45" s="1861"/>
      <c r="AC45" s="1862"/>
      <c r="AD45" s="1851">
        <f t="shared" ref="AD45" si="16">SUM(AD43:AG43)</f>
        <v>0</v>
      </c>
      <c r="AE45" s="1852"/>
      <c r="AF45" s="1852"/>
      <c r="AG45" s="1853"/>
      <c r="AH45" s="1858" t="s">
        <v>361</v>
      </c>
      <c r="AI45" s="1859"/>
      <c r="AJ45" s="1437"/>
      <c r="AM45" s="1431" t="s">
        <v>2270</v>
      </c>
      <c r="AN45" s="1432">
        <f>(AN34-AN36)*1.2</f>
        <v>117840</v>
      </c>
      <c r="AO45" s="1433">
        <f>(AN45-AK34)/AN45</f>
        <v>0.59097080787508482</v>
      </c>
      <c r="AP45" s="1432">
        <f>AN45/AO34</f>
        <v>163.66666666666666</v>
      </c>
    </row>
    <row r="46" spans="1:62" ht="15" thickBot="1" x14ac:dyDescent="0.35">
      <c r="N46" s="88"/>
      <c r="O46" s="88"/>
      <c r="P46" s="88"/>
      <c r="Q46" s="88"/>
      <c r="R46" s="88"/>
      <c r="S46" s="88"/>
      <c r="T46" s="88"/>
      <c r="U46" s="88"/>
      <c r="V46" s="88"/>
      <c r="W46" s="88"/>
      <c r="X46" s="88"/>
      <c r="Y46" s="88"/>
      <c r="Z46" s="88"/>
      <c r="AA46" s="88"/>
      <c r="AB46" s="88"/>
      <c r="AC46" s="88"/>
      <c r="AD46" s="88"/>
      <c r="AE46" s="88"/>
      <c r="AF46" s="88"/>
      <c r="AG46" s="88"/>
      <c r="AH46" s="1865" t="s">
        <v>2280</v>
      </c>
      <c r="AI46" s="1866"/>
      <c r="AJ46" s="1437"/>
      <c r="AM46" s="1426" t="s">
        <v>2271</v>
      </c>
      <c r="AN46" s="1427">
        <f>AK34/(1-AO46)</f>
        <v>96400</v>
      </c>
      <c r="AO46" s="1434">
        <v>0.5</v>
      </c>
      <c r="AP46" s="1427">
        <f>AN46/AO34</f>
        <v>133.88888888888889</v>
      </c>
      <c r="AQ46" s="85" t="s">
        <v>2272</v>
      </c>
    </row>
    <row r="47" spans="1:62" ht="15" thickBot="1" x14ac:dyDescent="0.35">
      <c r="J47" s="1410" t="s">
        <v>2281</v>
      </c>
      <c r="N47" s="88"/>
      <c r="O47" s="88"/>
      <c r="P47" s="88"/>
      <c r="Q47" s="88"/>
      <c r="R47" s="88"/>
      <c r="S47" s="88"/>
      <c r="T47" s="88"/>
      <c r="U47" s="88"/>
      <c r="V47" s="88"/>
      <c r="W47" s="88"/>
      <c r="X47" s="88"/>
      <c r="Y47" s="88"/>
      <c r="Z47" s="88"/>
      <c r="AA47" s="88"/>
      <c r="AB47" s="88"/>
      <c r="AC47" s="88"/>
      <c r="AD47" s="88"/>
      <c r="AE47" s="88"/>
      <c r="AF47" s="88"/>
      <c r="AG47" s="88"/>
      <c r="AH47" s="1439"/>
      <c r="AI47" s="1440"/>
      <c r="AJ47" s="1441"/>
      <c r="AK47" s="1442" t="s">
        <v>2282</v>
      </c>
    </row>
    <row r="48" spans="1:62" x14ac:dyDescent="0.3">
      <c r="J48" s="1415" t="s">
        <v>312</v>
      </c>
      <c r="N48" s="1416">
        <f t="shared" ref="N48:AG48" si="17">SUMPRODUCT(N16:N33,$AM$16:$AM$33)*40*1.3</f>
        <v>127660</v>
      </c>
      <c r="O48" s="1420">
        <f t="shared" si="17"/>
        <v>0</v>
      </c>
      <c r="P48" s="1418">
        <f t="shared" si="17"/>
        <v>0</v>
      </c>
      <c r="Q48" s="1419">
        <f t="shared" si="17"/>
        <v>0</v>
      </c>
      <c r="R48" s="1420">
        <f t="shared" si="17"/>
        <v>0</v>
      </c>
      <c r="S48" s="1419">
        <f t="shared" si="17"/>
        <v>0</v>
      </c>
      <c r="T48" s="1420">
        <f t="shared" si="17"/>
        <v>0</v>
      </c>
      <c r="U48" s="1419">
        <f t="shared" si="17"/>
        <v>0</v>
      </c>
      <c r="V48" s="1420">
        <f t="shared" si="17"/>
        <v>0</v>
      </c>
      <c r="W48" s="1419">
        <f t="shared" si="17"/>
        <v>0</v>
      </c>
      <c r="X48" s="1420">
        <f t="shared" si="17"/>
        <v>0</v>
      </c>
      <c r="Y48" s="1419">
        <f t="shared" si="17"/>
        <v>0</v>
      </c>
      <c r="Z48" s="1420">
        <f t="shared" si="17"/>
        <v>0</v>
      </c>
      <c r="AA48" s="1419">
        <f t="shared" si="17"/>
        <v>0</v>
      </c>
      <c r="AB48" s="1420">
        <f t="shared" si="17"/>
        <v>0</v>
      </c>
      <c r="AC48" s="1419">
        <f t="shared" si="17"/>
        <v>0</v>
      </c>
      <c r="AD48" s="1420">
        <f t="shared" si="17"/>
        <v>0</v>
      </c>
      <c r="AE48" s="1419">
        <f t="shared" si="17"/>
        <v>0</v>
      </c>
      <c r="AF48" s="1420">
        <f t="shared" si="17"/>
        <v>0</v>
      </c>
      <c r="AG48" s="1419">
        <f t="shared" si="17"/>
        <v>0</v>
      </c>
      <c r="AH48" s="1439"/>
      <c r="AI48" s="1440"/>
      <c r="AJ48" s="1441"/>
    </row>
    <row r="49" spans="1:37" ht="15" thickBot="1" x14ac:dyDescent="0.35">
      <c r="J49" s="1415" t="s">
        <v>2265</v>
      </c>
      <c r="N49" s="1424">
        <f>SUM(N48)</f>
        <v>127660</v>
      </c>
      <c r="O49" s="1832">
        <f>SUM(O48:Q48)</f>
        <v>0</v>
      </c>
      <c r="P49" s="1833"/>
      <c r="Q49" s="1834"/>
      <c r="R49" s="1835">
        <f>SUM(R48:S48)</f>
        <v>0</v>
      </c>
      <c r="S49" s="1836"/>
      <c r="T49" s="1832">
        <f>SUM(T48:U48)</f>
        <v>0</v>
      </c>
      <c r="U49" s="1834"/>
      <c r="V49" s="1835">
        <f>SUM(V48:W48)</f>
        <v>0</v>
      </c>
      <c r="W49" s="1836"/>
      <c r="X49" s="1832">
        <f>SUM(X48:Y48)</f>
        <v>0</v>
      </c>
      <c r="Y49" s="1834"/>
      <c r="Z49" s="1835">
        <f>SUM(Z48:AA48)</f>
        <v>0</v>
      </c>
      <c r="AA49" s="1836"/>
      <c r="AB49" s="1832">
        <f>SUM(AB48:AC48)</f>
        <v>0</v>
      </c>
      <c r="AC49" s="1834"/>
      <c r="AD49" s="1835">
        <f>SUM(AD48:AE48)</f>
        <v>0</v>
      </c>
      <c r="AE49" s="1836"/>
      <c r="AF49" s="1832">
        <f>SUM(AF48:AG48)</f>
        <v>0</v>
      </c>
      <c r="AG49" s="1834"/>
      <c r="AH49" s="1439"/>
      <c r="AI49" s="1440"/>
      <c r="AJ49" s="1441"/>
    </row>
    <row r="50" spans="1:37" ht="15" thickBot="1" x14ac:dyDescent="0.35">
      <c r="J50" s="1429" t="s">
        <v>2268</v>
      </c>
      <c r="N50" s="1851">
        <f>SUM(N48:Q48)</f>
        <v>127660</v>
      </c>
      <c r="O50" s="1852"/>
      <c r="P50" s="1852"/>
      <c r="Q50" s="1853"/>
      <c r="R50" s="1860">
        <f>SUM(R48:U48)</f>
        <v>0</v>
      </c>
      <c r="S50" s="1861"/>
      <c r="T50" s="1861"/>
      <c r="U50" s="1862"/>
      <c r="V50" s="1851">
        <f t="shared" ref="V50" si="18">SUM(V48:Y48)</f>
        <v>0</v>
      </c>
      <c r="W50" s="1852"/>
      <c r="X50" s="1852"/>
      <c r="Y50" s="1853"/>
      <c r="Z50" s="1860">
        <f t="shared" ref="Z50" si="19">SUM(Z48:AC48)</f>
        <v>0</v>
      </c>
      <c r="AA50" s="1861"/>
      <c r="AB50" s="1861"/>
      <c r="AC50" s="1862"/>
      <c r="AD50" s="1851">
        <f t="shared" ref="AD50" si="20">SUM(AD48:AG48)</f>
        <v>0</v>
      </c>
      <c r="AE50" s="1852"/>
      <c r="AF50" s="1852"/>
      <c r="AG50" s="1853"/>
      <c r="AH50" s="1443"/>
      <c r="AI50" s="1444"/>
      <c r="AJ50" s="1445"/>
    </row>
    <row r="51" spans="1:37" ht="15" thickBot="1" x14ac:dyDescent="0.35">
      <c r="AH51" s="1863" t="s">
        <v>2283</v>
      </c>
      <c r="AI51" s="1864"/>
      <c r="AJ51" s="1446">
        <f>SUM(AJ42:AJ50)</f>
        <v>98200</v>
      </c>
      <c r="AK51" s="1578" t="s">
        <v>2481</v>
      </c>
    </row>
    <row r="52" spans="1:37" x14ac:dyDescent="0.3">
      <c r="J52" s="1447" t="s">
        <v>2284</v>
      </c>
      <c r="K52" s="1448">
        <f>+AJ34/AI34/8</f>
        <v>136.38888888888889</v>
      </c>
    </row>
    <row r="53" spans="1:37" x14ac:dyDescent="0.3">
      <c r="J53" s="1449" t="s">
        <v>2285</v>
      </c>
      <c r="K53" s="1450">
        <f>+AJ39/AI34/8</f>
        <v>163.66666666666666</v>
      </c>
    </row>
    <row r="54" spans="1:37" ht="15" thickBot="1" x14ac:dyDescent="0.35">
      <c r="J54" s="1451" t="s">
        <v>2286</v>
      </c>
      <c r="K54" s="1452">
        <f>+AJ40/AI34/8</f>
        <v>177.30555555555554</v>
      </c>
    </row>
    <row r="55" spans="1:37" ht="15" thickBot="1" x14ac:dyDescent="0.35"/>
    <row r="56" spans="1:37" ht="15" x14ac:dyDescent="0.3">
      <c r="J56" s="1447" t="s">
        <v>2287</v>
      </c>
      <c r="K56" s="1453">
        <f>(AJ37-AK34)/AJ37</f>
        <v>0.50916496945010181</v>
      </c>
      <c r="P56" s="1454"/>
    </row>
    <row r="57" spans="1:37" x14ac:dyDescent="0.3">
      <c r="J57" s="1449" t="s">
        <v>2288</v>
      </c>
      <c r="K57" s="1455">
        <f>(AJ39-AK34)/AJ39</f>
        <v>0.59097080787508482</v>
      </c>
    </row>
    <row r="58" spans="1:37" ht="15" thickBot="1" x14ac:dyDescent="0.35">
      <c r="J58" s="1451" t="s">
        <v>2289</v>
      </c>
      <c r="K58" s="1456">
        <f>(AJ40-AK34)/AJ40</f>
        <v>0.62243459188469374</v>
      </c>
    </row>
    <row r="60" spans="1:37" ht="22.8" x14ac:dyDescent="0.4">
      <c r="A60" s="1457" t="s">
        <v>170</v>
      </c>
      <c r="B60" s="1458"/>
      <c r="C60" s="1458"/>
      <c r="D60" s="1458"/>
      <c r="E60" s="1458"/>
      <c r="F60" s="1458"/>
      <c r="G60" s="1458"/>
      <c r="H60" s="1458"/>
      <c r="I60" s="1458"/>
      <c r="J60" s="1458"/>
    </row>
    <row r="62" spans="1:37" ht="15" thickBot="1" x14ac:dyDescent="0.35"/>
    <row r="63" spans="1:37" ht="66.599999999999994" x14ac:dyDescent="0.3">
      <c r="A63" s="1459" t="s">
        <v>2290</v>
      </c>
      <c r="B63" s="1460"/>
      <c r="C63" s="1460"/>
      <c r="D63" s="1460"/>
      <c r="E63" s="1460"/>
      <c r="F63" s="1460"/>
      <c r="G63" s="1461"/>
      <c r="H63" s="1462"/>
      <c r="I63" s="1462"/>
      <c r="J63" s="1463"/>
    </row>
    <row r="64" spans="1:37" x14ac:dyDescent="0.3">
      <c r="A64" s="1464"/>
      <c r="B64" s="1465"/>
      <c r="C64" s="1465"/>
      <c r="D64" s="1465"/>
      <c r="E64" s="1465"/>
      <c r="F64" s="1465"/>
      <c r="G64" s="87"/>
      <c r="H64" s="87"/>
      <c r="I64" s="87"/>
      <c r="J64" s="1412"/>
    </row>
    <row r="65" spans="1:16" ht="66.599999999999994" x14ac:dyDescent="0.3">
      <c r="A65" s="1466" t="s">
        <v>2291</v>
      </c>
      <c r="B65" s="1467"/>
      <c r="C65" s="1467"/>
      <c r="D65" s="1467"/>
      <c r="E65" s="1467"/>
      <c r="F65" s="1467"/>
      <c r="G65" s="1468"/>
      <c r="H65" s="1469"/>
      <c r="I65" s="1469"/>
      <c r="J65" s="1470"/>
    </row>
    <row r="66" spans="1:16" ht="66.599999999999994" x14ac:dyDescent="0.3">
      <c r="A66" s="1466" t="s">
        <v>2292</v>
      </c>
      <c r="B66" s="1467"/>
      <c r="C66" s="1467"/>
      <c r="D66" s="1467"/>
      <c r="E66" s="1467"/>
      <c r="F66" s="1467"/>
      <c r="G66" s="1468"/>
      <c r="H66" s="1469"/>
      <c r="I66" s="1469"/>
      <c r="J66" s="1470"/>
    </row>
    <row r="67" spans="1:16" ht="66.599999999999994" x14ac:dyDescent="0.3">
      <c r="A67" s="1466" t="s">
        <v>2293</v>
      </c>
      <c r="B67" s="1467"/>
      <c r="C67" s="1467"/>
      <c r="D67" s="1467"/>
      <c r="E67" s="1467"/>
      <c r="F67" s="1467"/>
      <c r="G67" s="1468"/>
      <c r="H67" s="1469"/>
      <c r="I67" s="1469"/>
      <c r="J67" s="1470"/>
    </row>
    <row r="68" spans="1:16" ht="67.2" thickBot="1" x14ac:dyDescent="0.35">
      <c r="A68" s="1471" t="s">
        <v>2294</v>
      </c>
      <c r="B68" s="1472"/>
      <c r="C68" s="1472"/>
      <c r="D68" s="1472"/>
      <c r="E68" s="1472"/>
      <c r="F68" s="1472"/>
      <c r="G68" s="1473"/>
      <c r="H68" s="1474"/>
      <c r="I68" s="1474"/>
      <c r="J68" s="1475"/>
      <c r="P68" s="1454"/>
    </row>
    <row r="69" spans="1:16" ht="15" thickBot="1" x14ac:dyDescent="0.35"/>
    <row r="70" spans="1:16" ht="66.599999999999994" x14ac:dyDescent="0.3">
      <c r="A70" s="1476" t="s">
        <v>2295</v>
      </c>
      <c r="B70" s="1477"/>
      <c r="C70" s="1477"/>
      <c r="D70" s="1477"/>
      <c r="E70" s="1477"/>
      <c r="F70" s="1477"/>
      <c r="G70" s="1477"/>
      <c r="H70" s="1477"/>
      <c r="I70" s="1477"/>
      <c r="J70" s="1478"/>
    </row>
    <row r="71" spans="1:16" x14ac:dyDescent="0.3">
      <c r="A71" s="1464"/>
      <c r="B71" s="1465"/>
      <c r="C71" s="1465"/>
      <c r="D71" s="1465"/>
      <c r="E71" s="1465"/>
      <c r="F71" s="1465"/>
      <c r="G71" s="87"/>
      <c r="H71" s="87"/>
      <c r="I71" s="87"/>
      <c r="J71" s="1412"/>
    </row>
    <row r="72" spans="1:16" ht="66.599999999999994" x14ac:dyDescent="0.3">
      <c r="A72" s="1479" t="s">
        <v>2296</v>
      </c>
      <c r="B72" s="1480"/>
      <c r="C72" s="1480"/>
      <c r="D72" s="1480"/>
      <c r="E72" s="1480"/>
      <c r="F72" s="1480"/>
      <c r="G72" s="1480"/>
      <c r="H72" s="1480"/>
      <c r="I72" s="1480"/>
      <c r="J72" s="1481"/>
    </row>
    <row r="73" spans="1:16" ht="66.599999999999994" x14ac:dyDescent="0.3">
      <c r="A73" s="1479" t="s">
        <v>2297</v>
      </c>
      <c r="B73" s="1480"/>
      <c r="C73" s="1480"/>
      <c r="D73" s="1480"/>
      <c r="E73" s="1480"/>
      <c r="F73" s="1480"/>
      <c r="G73" s="1480"/>
      <c r="H73" s="1480"/>
      <c r="I73" s="1480"/>
      <c r="J73" s="1481"/>
    </row>
    <row r="74" spans="1:16" ht="66.599999999999994" x14ac:dyDescent="0.3">
      <c r="A74" s="1479" t="s">
        <v>2298</v>
      </c>
      <c r="B74" s="1480"/>
      <c r="C74" s="1480"/>
      <c r="D74" s="1480"/>
      <c r="E74" s="1480"/>
      <c r="F74" s="1480"/>
      <c r="G74" s="1480"/>
      <c r="H74" s="1480"/>
      <c r="I74" s="1480"/>
      <c r="J74" s="1481"/>
    </row>
    <row r="75" spans="1:16" ht="67.2" thickBot="1" x14ac:dyDescent="0.35">
      <c r="A75" s="1482" t="s">
        <v>2299</v>
      </c>
      <c r="B75" s="1483"/>
      <c r="C75" s="1483"/>
      <c r="D75" s="1483"/>
      <c r="E75" s="1483"/>
      <c r="F75" s="1483"/>
      <c r="G75" s="1483"/>
      <c r="H75" s="1483"/>
      <c r="I75" s="1483"/>
      <c r="J75" s="1484"/>
    </row>
  </sheetData>
  <mergeCells count="79">
    <mergeCell ref="AD50:AG50"/>
    <mergeCell ref="AH45:AI45"/>
    <mergeCell ref="AH51:AI51"/>
    <mergeCell ref="AH46:AI46"/>
    <mergeCell ref="O49:Q49"/>
    <mergeCell ref="R49:S49"/>
    <mergeCell ref="T49:U49"/>
    <mergeCell ref="V49:W49"/>
    <mergeCell ref="X49:Y49"/>
    <mergeCell ref="Z49:AA49"/>
    <mergeCell ref="AB49:AC49"/>
    <mergeCell ref="AD49:AE49"/>
    <mergeCell ref="AF49:AG49"/>
    <mergeCell ref="N50:Q50"/>
    <mergeCell ref="R50:U50"/>
    <mergeCell ref="V50:Y50"/>
    <mergeCell ref="Z50:AC50"/>
    <mergeCell ref="N45:Q45"/>
    <mergeCell ref="R45:U45"/>
    <mergeCell ref="V45:Y45"/>
    <mergeCell ref="Z45:AC45"/>
    <mergeCell ref="AD45:AG45"/>
    <mergeCell ref="AH40:AI40"/>
    <mergeCell ref="AH42:AI42"/>
    <mergeCell ref="AH43:AI43"/>
    <mergeCell ref="O44:Q44"/>
    <mergeCell ref="R44:S44"/>
    <mergeCell ref="T44:U44"/>
    <mergeCell ref="V44:W44"/>
    <mergeCell ref="X44:Y44"/>
    <mergeCell ref="Z44:AA44"/>
    <mergeCell ref="AB44:AC44"/>
    <mergeCell ref="AD44:AE44"/>
    <mergeCell ref="AF44:AG44"/>
    <mergeCell ref="AH44:AI44"/>
    <mergeCell ref="N40:Q40"/>
    <mergeCell ref="R40:U40"/>
    <mergeCell ref="V40:Y40"/>
    <mergeCell ref="Z40:AC40"/>
    <mergeCell ref="AD40:AG40"/>
    <mergeCell ref="AQ32:AQ33"/>
    <mergeCell ref="AH36:AI36"/>
    <mergeCell ref="AH37:AI37"/>
    <mergeCell ref="AH38:AI38"/>
    <mergeCell ref="Z39:AA39"/>
    <mergeCell ref="AB39:AC39"/>
    <mergeCell ref="AD39:AE39"/>
    <mergeCell ref="AF39:AG39"/>
    <mergeCell ref="AH39:AI39"/>
    <mergeCell ref="O39:Q39"/>
    <mergeCell ref="R39:S39"/>
    <mergeCell ref="T39:U39"/>
    <mergeCell ref="V39:W39"/>
    <mergeCell ref="X39:Y39"/>
    <mergeCell ref="A34:I35"/>
    <mergeCell ref="AB13:AC13"/>
    <mergeCell ref="AD13:AE13"/>
    <mergeCell ref="AF13:AG13"/>
    <mergeCell ref="AM13:AN14"/>
    <mergeCell ref="O14:Q14"/>
    <mergeCell ref="R14:S14"/>
    <mergeCell ref="T14:U14"/>
    <mergeCell ref="V14:W14"/>
    <mergeCell ref="X14:Y14"/>
    <mergeCell ref="Z14:AA14"/>
    <mergeCell ref="AB14:AC14"/>
    <mergeCell ref="AD14:AE14"/>
    <mergeCell ref="AF14:AG14"/>
    <mergeCell ref="AH14:AL14"/>
    <mergeCell ref="G10:K12"/>
    <mergeCell ref="AL12:AL13"/>
    <mergeCell ref="G13:K14"/>
    <mergeCell ref="L13:M14"/>
    <mergeCell ref="O13:Q13"/>
    <mergeCell ref="R13:S13"/>
    <mergeCell ref="T13:U13"/>
    <mergeCell ref="V13:W13"/>
    <mergeCell ref="X13:Y13"/>
    <mergeCell ref="Z13:AA13"/>
  </mergeCells>
  <conditionalFormatting sqref="J1 L1 K3:K9">
    <cfRule type="cellIs" dxfId="27" priority="21" operator="equal">
      <formula>"Onshore"</formula>
    </cfRule>
    <cfRule type="cellIs" dxfId="26" priority="22" operator="equal">
      <formula>"Onsite"</formula>
    </cfRule>
    <cfRule type="cellIs" dxfId="25" priority="23" operator="equal">
      <formula>"Onsite"</formula>
    </cfRule>
    <cfRule type="cellIs" dxfId="24" priority="24" operator="equal">
      <formula>"Onshore"</formula>
    </cfRule>
  </conditionalFormatting>
  <conditionalFormatting sqref="K15:K1048576">
    <cfRule type="cellIs" dxfId="23" priority="9" operator="equal">
      <formula>"Onshore"</formula>
    </cfRule>
    <cfRule type="cellIs" dxfId="22" priority="10" operator="equal">
      <formula>"Onsite"</formula>
    </cfRule>
    <cfRule type="cellIs" dxfId="21" priority="11" operator="equal">
      <formula>"Onsite"</formula>
    </cfRule>
    <cfRule type="cellIs" dxfId="20" priority="12" operator="equal">
      <formula>"Onshore"</formula>
    </cfRule>
  </conditionalFormatting>
  <conditionalFormatting sqref="K52:K54 AJ16:AK34 AJ36:AJ40 N38:AG38 AJ42:AJ46 N43:AG43 N48:AG48 AJ51">
    <cfRule type="expression" dxfId="19" priority="25">
      <formula>$J$1="Canada"</formula>
    </cfRule>
  </conditionalFormatting>
  <conditionalFormatting sqref="AJ16:AK34 AJ36:AJ40 N38:AG38 AJ42:AJ46 N43:AG43 N48:AG48 AJ51 K52:K54">
    <cfRule type="expression" dxfId="18" priority="26">
      <formula>$J$1="India"</formula>
    </cfRule>
    <cfRule type="expression" dxfId="17" priority="27">
      <formula>$J$1="US"</formula>
    </cfRule>
    <cfRule type="expression" dxfId="16" priority="28">
      <formula>$J$1="UK"</formula>
    </cfRule>
  </conditionalFormatting>
  <conditionalFormatting sqref="AN16:AN34">
    <cfRule type="expression" dxfId="15" priority="5">
      <formula>$J$1="Canada"</formula>
    </cfRule>
    <cfRule type="expression" dxfId="14" priority="6">
      <formula>$J$1="India"</formula>
    </cfRule>
    <cfRule type="expression" dxfId="13" priority="7">
      <formula>$J$1="US"</formula>
    </cfRule>
    <cfRule type="expression" dxfId="12" priority="8">
      <formula>$J$1="UK"</formula>
    </cfRule>
  </conditionalFormatting>
  <conditionalFormatting sqref="AN36">
    <cfRule type="expression" dxfId="11" priority="1">
      <formula>$J$1="Canada"</formula>
    </cfRule>
    <cfRule type="expression" dxfId="10" priority="2">
      <formula>$J$1="India"</formula>
    </cfRule>
    <cfRule type="expression" dxfId="9" priority="3">
      <formula>$J$1="US"</formula>
    </cfRule>
    <cfRule type="expression" dxfId="8" priority="4">
      <formula>$J$1="UK"</formula>
    </cfRule>
  </conditionalFormatting>
  <conditionalFormatting sqref="AP16:AP33">
    <cfRule type="expression" dxfId="7" priority="13">
      <formula>$J$1="Canada"</formula>
    </cfRule>
    <cfRule type="expression" dxfId="6" priority="14">
      <formula>$J$1="India"</formula>
    </cfRule>
    <cfRule type="expression" dxfId="5" priority="15">
      <formula>$J$1="US"</formula>
    </cfRule>
    <cfRule type="expression" dxfId="4" priority="16">
      <formula>$J$1="UK"</formula>
    </cfRule>
  </conditionalFormatting>
  <dataValidations count="6">
    <dataValidation type="list" allowBlank="1" showInputMessage="1" showErrorMessage="1" sqref="H16:H33" xr:uid="{AB8D33ED-06B0-420F-B2A2-03398ACE892B}">
      <formula1>INDIRECT(G16)</formula1>
    </dataValidation>
    <dataValidation type="list" allowBlank="1" showInputMessage="1" showErrorMessage="1" sqref="G16:G33" xr:uid="{8B1E6DB9-F921-4C3B-B465-52A31EC1C95B}">
      <formula1>ss</formula1>
    </dataValidation>
    <dataValidation type="list" allowBlank="1" showInputMessage="1" showErrorMessage="1" sqref="I16:J33" xr:uid="{867C5013-847D-4345-98DC-5CFE6BBEEC74}">
      <formula1>INDIRECT(C16)</formula1>
    </dataValidation>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AK47" location="Instructions_Guidelines!A1" display="Check Instructions_Guidelines" xr:uid="{C12D320A-AE4C-4BDA-B59F-82D766BAAE7A}"/>
    <hyperlink ref="AQ32:AQ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sheetPr>
  <dimension ref="B2:J53"/>
  <sheetViews>
    <sheetView showGridLines="0" topLeftCell="A3" zoomScale="96" zoomScaleNormal="96" workbookViewId="0">
      <selection activeCell="H14" sqref="H14"/>
    </sheetView>
  </sheetViews>
  <sheetFormatPr defaultColWidth="10.77734375" defaultRowHeight="14.4" x14ac:dyDescent="0.3"/>
  <cols>
    <col min="2" max="2" width="56.44140625" customWidth="1"/>
    <col min="3" max="5" width="20.21875" bestFit="1" customWidth="1"/>
    <col min="6" max="6" width="15.44140625" customWidth="1"/>
    <col min="7" max="7" width="24" bestFit="1" customWidth="1"/>
    <col min="8" max="8" width="19.21875" customWidth="1"/>
    <col min="9" max="10" width="18.21875" customWidth="1"/>
  </cols>
  <sheetData>
    <row r="2" spans="2:10" ht="22.2" x14ac:dyDescent="0.3">
      <c r="B2" s="498" t="s">
        <v>314</v>
      </c>
      <c r="C2" s="274" t="s">
        <v>63</v>
      </c>
      <c r="E2" s="215"/>
      <c r="F2" s="215"/>
      <c r="G2" s="215"/>
      <c r="H2" s="215"/>
      <c r="I2" s="215"/>
      <c r="J2" s="215"/>
    </row>
    <row r="3" spans="2:10" x14ac:dyDescent="0.3">
      <c r="B3" s="215"/>
      <c r="C3" s="215"/>
      <c r="D3" s="215"/>
      <c r="E3" s="215"/>
      <c r="F3" s="215"/>
      <c r="G3" s="215"/>
      <c r="H3" s="215"/>
      <c r="I3" s="215"/>
      <c r="J3" s="215"/>
    </row>
    <row r="4" spans="2:10" ht="15.6" x14ac:dyDescent="0.3">
      <c r="B4" s="1037" t="s">
        <v>315</v>
      </c>
      <c r="C4" s="1038"/>
      <c r="D4" s="1038"/>
      <c r="E4" s="1038"/>
      <c r="F4" s="1038"/>
      <c r="G4" s="1038"/>
      <c r="H4" s="1038"/>
      <c r="I4" s="1038"/>
      <c r="J4" s="215"/>
    </row>
    <row r="5" spans="2:10" x14ac:dyDescent="0.3">
      <c r="B5" s="1039" t="s">
        <v>316</v>
      </c>
      <c r="C5" s="215"/>
      <c r="D5" s="215"/>
      <c r="E5" s="215"/>
      <c r="F5" s="215"/>
      <c r="G5" s="215"/>
      <c r="H5" s="215"/>
      <c r="I5" s="215"/>
      <c r="J5" s="215"/>
    </row>
    <row r="6" spans="2:10" x14ac:dyDescent="0.3">
      <c r="B6" s="1039" t="s">
        <v>1631</v>
      </c>
      <c r="C6" s="215"/>
      <c r="D6" s="215"/>
      <c r="E6" s="215"/>
      <c r="F6" s="215"/>
      <c r="G6" s="215"/>
      <c r="H6" s="215"/>
      <c r="I6" s="215"/>
      <c r="J6" s="215"/>
    </row>
    <row r="7" spans="2:10" ht="15" thickBot="1" x14ac:dyDescent="0.35">
      <c r="B7" s="215"/>
      <c r="C7" s="215"/>
      <c r="D7" s="215"/>
      <c r="E7" s="215"/>
      <c r="F7" s="215"/>
      <c r="G7" s="215"/>
      <c r="H7" s="215"/>
      <c r="I7" s="215"/>
      <c r="J7" s="215"/>
    </row>
    <row r="8" spans="2:10" ht="15" thickBot="1" x14ac:dyDescent="0.35">
      <c r="B8" s="1145" t="s">
        <v>317</v>
      </c>
      <c r="C8" s="1146" t="s">
        <v>318</v>
      </c>
      <c r="D8" s="1146" t="s">
        <v>319</v>
      </c>
      <c r="E8" s="1147" t="s">
        <v>320</v>
      </c>
      <c r="F8" s="215"/>
      <c r="G8" s="274"/>
      <c r="H8" s="215"/>
      <c r="I8" s="215"/>
      <c r="J8" s="215"/>
    </row>
    <row r="9" spans="2:10" x14ac:dyDescent="0.3">
      <c r="B9" s="1148" t="s">
        <v>321</v>
      </c>
      <c r="C9" s="1149">
        <f>'2. Pricing &amp; Import'!U10</f>
        <v>78044218000</v>
      </c>
      <c r="D9" s="1149">
        <f>'2. Pricing &amp; Import'!V10</f>
        <v>0</v>
      </c>
      <c r="E9" s="1150">
        <f>'2. Pricing &amp; Import'!W10</f>
        <v>17900050000</v>
      </c>
      <c r="F9" s="215"/>
    </row>
    <row r="10" spans="2:10" x14ac:dyDescent="0.3">
      <c r="B10" s="1151" t="s">
        <v>1850</v>
      </c>
      <c r="C10" s="1161">
        <f>SUMIFS('2. Pricing &amp; Import'!$CI$50:$CI$149,'2. Pricing &amp; Import'!T$50:T$149,"Yes")</f>
        <v>74900</v>
      </c>
      <c r="D10" s="1161">
        <f>SUMIFS('2. Pricing &amp; Import'!$CI$50:$CI$149,'2. Pricing &amp; Import'!U$50:U$149,"Yes")</f>
        <v>0</v>
      </c>
      <c r="E10" s="1162">
        <f>SUMIFS('2. Pricing &amp; Import'!$CI$50:$CI$149,'2. Pricing &amp; Import'!W$50:W$149,"Yes")</f>
        <v>7700</v>
      </c>
      <c r="F10" s="215"/>
    </row>
    <row r="11" spans="2:10" x14ac:dyDescent="0.3">
      <c r="B11" s="1152" t="s">
        <v>327</v>
      </c>
      <c r="C11" s="1184" t="s">
        <v>10</v>
      </c>
      <c r="D11" s="1185" t="s">
        <v>10</v>
      </c>
      <c r="E11" s="1186" t="s">
        <v>10</v>
      </c>
      <c r="F11" s="215"/>
    </row>
    <row r="12" spans="2:10" ht="15" thickBot="1" x14ac:dyDescent="0.35">
      <c r="B12" s="1153" t="s">
        <v>1851</v>
      </c>
      <c r="C12" s="1159">
        <f>'2. Pricing &amp; Import'!$D$26</f>
        <v>0.05</v>
      </c>
      <c r="D12" s="1166">
        <f>'2. Pricing &amp; Import'!$D$26</f>
        <v>0.05</v>
      </c>
      <c r="E12" s="1168">
        <f>'2. Pricing &amp; Import'!$D$26</f>
        <v>0.05</v>
      </c>
      <c r="F12" s="215"/>
    </row>
    <row r="13" spans="2:10" ht="15.6" thickTop="1" thickBot="1" x14ac:dyDescent="0.35">
      <c r="B13" s="1160" t="s">
        <v>1852</v>
      </c>
      <c r="C13" s="1163">
        <f>IFERROR(IF(C11="Manual Entry",(C9+(C9*C12)),(C9+C11+(C9*C12))),"")</f>
        <v>81946428900</v>
      </c>
      <c r="D13" s="1167">
        <f>IFERROR(IF(D11="Manual Entry",(D9+(D9*D12)),(D9+D11+(D9*D12))),"")</f>
        <v>0</v>
      </c>
      <c r="E13" s="1169">
        <f>IFERROR(IF(E11="Manual Entry",(E9+(E9*E12)),(E9+E11+(E9*E12))),"")</f>
        <v>18795052500</v>
      </c>
      <c r="F13" s="215"/>
    </row>
    <row r="14" spans="2:10" x14ac:dyDescent="0.3">
      <c r="B14" s="1154"/>
      <c r="C14" s="1155"/>
      <c r="D14" s="1156"/>
      <c r="E14" s="1156"/>
      <c r="F14" s="215"/>
    </row>
    <row r="15" spans="2:10" x14ac:dyDescent="0.3">
      <c r="B15" s="1154"/>
      <c r="C15" s="1157"/>
      <c r="D15" s="1158"/>
      <c r="E15" s="1158"/>
      <c r="F15" s="215"/>
    </row>
    <row r="16" spans="2:10" x14ac:dyDescent="0.3">
      <c r="F16" s="215"/>
    </row>
    <row r="17" spans="2:10" x14ac:dyDescent="0.3">
      <c r="F17" s="215"/>
    </row>
    <row r="18" spans="2:10" ht="15" thickBot="1" x14ac:dyDescent="0.35">
      <c r="F18" s="215"/>
    </row>
    <row r="19" spans="2:10" ht="15" thickBot="1" x14ac:dyDescent="0.35">
      <c r="B19" s="656" t="s">
        <v>322</v>
      </c>
      <c r="C19" s="653" t="s">
        <v>318</v>
      </c>
      <c r="D19" s="653" t="s">
        <v>319</v>
      </c>
      <c r="E19" s="654" t="s">
        <v>320</v>
      </c>
      <c r="F19" s="215"/>
    </row>
    <row r="20" spans="2:10" ht="15" thickBot="1" x14ac:dyDescent="0.35">
      <c r="B20" s="658" t="s">
        <v>323</v>
      </c>
      <c r="C20" s="1081">
        <f>IFERROR((SUMIFS('2. Pricing &amp; Import'!$CH50:$CH$149,'2. Pricing &amp; Import'!T$50:T$149,"Yes")-SUMIFS('2. Pricing &amp; Import'!$CI$50:$CI$149,'2. Pricing &amp; Import'!T$50:T$149,"Yes"))/SUMIFS('2. Pricing &amp; Import'!$CH$50:$CH$149,'2. Pricing &amp; Import'!T$50:T$149,"Yes"),"")</f>
        <v>0.6564220183486239</v>
      </c>
      <c r="D20" s="1081" t="str">
        <f>IFERROR((SUMIFS('2. Pricing &amp; Import'!$CH50:$CH$149,'2. Pricing &amp; Import'!U$50:U$149,"Yes")-SUMIFS('2. Pricing &amp; Import'!$CI$50:$CI$149,'2. Pricing &amp; Import'!U$50:U$149,"Yes"))/SUMIFS('2. Pricing &amp; Import'!$CH$50:$CH$149,'2. Pricing &amp; Import'!U$50:U$149,"Yes"),"")</f>
        <v/>
      </c>
      <c r="E20" s="1081">
        <f>IFERROR((SUMIFS('2. Pricing &amp; Import'!$CH50:$CH$149,'2. Pricing &amp; Import'!W$50:W$149,"Yes")-SUMIFS('2. Pricing &amp; Import'!$CI$50:$CI$149,'2. Pricing &amp; Import'!W$50:W$149,"Yes"))/SUMIFS('2. Pricing &amp; Import'!$CH$50:$CH$149,'2. Pricing &amp; Import'!W$50:W$149,"Yes"),"")</f>
        <v>0.84599999999999997</v>
      </c>
      <c r="F20" s="215"/>
      <c r="G20" s="215"/>
      <c r="H20" s="215"/>
      <c r="I20" s="215"/>
      <c r="J20" s="215"/>
    </row>
    <row r="21" spans="2:10" ht="15" thickTop="1" x14ac:dyDescent="0.3">
      <c r="B21" s="644" t="s">
        <v>324</v>
      </c>
      <c r="C21" s="1082" t="str">
        <f>IFERROR((SUMIFS('2. Pricing &amp; Import'!$CH$50:$CH$149,'2. Pricing &amp; Import'!$P50:$P149,"Offshore",'2. Pricing &amp; Import'!T$50:T$149,"Yes"))/SUMIFS('2. Pricing &amp; Import'!$Y$50:$Y$149,'2. Pricing &amp; Import'!$P$50:$P$149,"Offshore",'2. Pricing &amp; Import'!T$50:T$149,"Yes"),"")</f>
        <v/>
      </c>
      <c r="D21" s="1082" t="str">
        <f>IFERROR((SUMIFS('2. Pricing &amp; Import'!$CH$50:$CH$149,'2. Pricing &amp; Import'!$P50:$P149,"Offshore",'2. Pricing &amp; Import'!U$50:U$149,"Yes"))/SUMIFS('2. Pricing &amp; Import'!$Y$50:$Y$149,'2. Pricing &amp; Import'!$P$50:$P$149,"Offshore",'2. Pricing &amp; Import'!U$50:U$149,"Yes"),"")</f>
        <v/>
      </c>
      <c r="E21" s="1083" t="str">
        <f>IFERROR((SUMIFS('2. Pricing &amp; Import'!$CH$50:$CH$149,'2. Pricing &amp; Import'!$P50:$P149,"Offshore",'2. Pricing &amp; Import'!W$50:W$149,"Yes"))/SUMIFS('2. Pricing &amp; Import'!$Y$50:$Y$149,'2. Pricing &amp; Import'!$P$50:$P$149,"Offshore",'2. Pricing &amp; Import'!W$50:W$149,"Yes"),"")</f>
        <v/>
      </c>
      <c r="F21" s="215"/>
      <c r="G21" s="215"/>
      <c r="H21" s="215"/>
      <c r="I21" s="215"/>
      <c r="J21" s="215"/>
    </row>
    <row r="22" spans="2:10" x14ac:dyDescent="0.3">
      <c r="B22" s="644" t="s">
        <v>325</v>
      </c>
      <c r="C22" s="657">
        <f>IFERROR((SUMIFS('2. Pricing &amp; Import'!$CH$50:$CH$149,'2. Pricing &amp; Import'!$P51:$P150,"Onshore",'2. Pricing &amp; Import'!T$50:T$149,"Yes"))/SUMIFS('2. Pricing &amp; Import'!$Y$50:$Y$149,'2. Pricing &amp; Import'!$P$50:$P$149,"Onshore",'2. Pricing &amp; Import'!T$50:T$149,"Yes"),"")</f>
        <v>272.5</v>
      </c>
      <c r="D22" s="1164" t="str">
        <f>IFERROR((SUMIFS('2. Pricing &amp; Import'!$CH$50:$CH$149,'2. Pricing &amp; Import'!$P51:$P150,"Onshore",'2. Pricing &amp; Import'!U$50:U$149,"Yes"))/SUMIFS('2. Pricing &amp; Import'!$Y$50:$Y$149,'2. Pricing &amp; Import'!$P$50:$P$149,"Onshore",'2. Pricing &amp; Import'!U$50:U$149,"Yes"),"")</f>
        <v/>
      </c>
      <c r="E22" s="1165">
        <f>IFERROR((SUMIFS('2. Pricing &amp; Import'!$CH$50:$CH$149,'2. Pricing &amp; Import'!$P51:$P150,"Onshore",'2. Pricing &amp; Import'!W$50:W$149,"Yes"))/SUMIFS('2. Pricing &amp; Import'!$Y$50:$Y$149,'2. Pricing &amp; Import'!$P$50:$P$149,"Onshore",'2. Pricing &amp; Import'!W$50:W$149,"Yes"),"")</f>
        <v>500</v>
      </c>
      <c r="I22" s="215"/>
      <c r="J22" s="215"/>
    </row>
    <row r="23" spans="2:10" ht="15" thickBot="1" x14ac:dyDescent="0.35">
      <c r="B23" s="659" t="s">
        <v>326</v>
      </c>
      <c r="C23" s="1084">
        <f>IFERROR((COUNTIFS('2. Pricing &amp; Import'!$P$50:$P$149,"Offshore",'2. Pricing &amp; Import'!T$50:T$149,"Yes")/SUM(COUNTIFS('2. Pricing &amp; Import'!$P$50:$P$149,"Onshore",'2. Pricing &amp; Import'!T$50:T$149,"Yes"),COUNTIFS('2. Pricing &amp; Import'!$P$50:$P$149,"Offshore",'2. Pricing &amp; Import'!T$50:T$149,"Yes"))),"")</f>
        <v>0</v>
      </c>
      <c r="D23" s="1084" t="str">
        <f>IFERROR((COUNTIFS('2. Pricing &amp; Import'!$P$50:$P$149,"Offshore",'2. Pricing &amp; Import'!U$50:U$149,"Yes")/SUM(COUNTIFS('2. Pricing &amp; Import'!$P$50:$P$149,"Onshore",'2. Pricing &amp; Import'!U$50:U$149,"Yes"),COUNTIFS('2. Pricing &amp; Import'!$P$50:$P$149,"Offshore",'2. Pricing &amp; Import'!U$50:U$149,"Yes"))),"")</f>
        <v/>
      </c>
      <c r="E23" s="1085">
        <f>IFERROR((COUNTIFS('2. Pricing &amp; Import'!$P$50:$P$149,"Offshore",'2. Pricing &amp; Import'!W$50:W$149,"Yes")/SUM(COUNTIFS('2. Pricing &amp; Import'!$P$50:$P$149,"Onshore",'2. Pricing &amp; Import'!W$50:W$149,"Yes"),COUNTIFS('2. Pricing &amp; Import'!$P$50:$P$149,"Offshore",'2. Pricing &amp; Import'!W$50:W$149,"Yes"))),"")</f>
        <v>0</v>
      </c>
      <c r="I23" s="215"/>
      <c r="J23" s="215"/>
    </row>
    <row r="24" spans="2:10" ht="15" thickTop="1" x14ac:dyDescent="0.3">
      <c r="B24" s="644" t="s">
        <v>221</v>
      </c>
      <c r="C24" s="1082">
        <f>IFERROR(C10/SUMIFS('2. Pricing &amp; Import'!$Y$50:$Y$149,'2. Pricing &amp; Import'!T$50:T$149,"Yes"),"")</f>
        <v>93.625</v>
      </c>
      <c r="D24" s="1082" t="str">
        <f>IFERROR(D10/SUMIFS('2. Pricing &amp; Import'!$Y$50:$Y$149,'2. Pricing &amp; Import'!U$50:U$149,"Yes"),"")</f>
        <v/>
      </c>
      <c r="E24" s="1083">
        <f>IFERROR(E10/SUMIFS('2. Pricing &amp; Import'!$Y$50:$Y$149,'2. Pricing &amp; Import'!W$50:W$149,"Yes"),"")</f>
        <v>77</v>
      </c>
      <c r="I24" s="215"/>
      <c r="J24" s="215"/>
    </row>
    <row r="25" spans="2:10" x14ac:dyDescent="0.3">
      <c r="B25" s="644" t="s">
        <v>328</v>
      </c>
      <c r="C25" s="643">
        <f>COUNTIFS('2. Pricing &amp; Import'!AA50:AA149,"&gt;=21",'2. Pricing &amp; Import'!T$50:T$149,"Yes")</f>
        <v>0</v>
      </c>
      <c r="D25" s="643">
        <f>COUNTIFS('2. Pricing &amp; Import'!AB50:AB149,"&gt;=21",'2. Pricing &amp; Import'!U$50:U$149,"Yes")</f>
        <v>0</v>
      </c>
      <c r="E25" s="655">
        <f>COUNTIFS('2. Pricing &amp; Import'!AC50:AC149,"&gt;=21",'2. Pricing &amp; Import'!W$50:W$149,"Yes")</f>
        <v>0</v>
      </c>
      <c r="I25" s="215"/>
      <c r="J25" s="215"/>
    </row>
    <row r="26" spans="2:10" x14ac:dyDescent="0.3">
      <c r="B26" s="644" t="s">
        <v>329</v>
      </c>
      <c r="C26" s="643">
        <f>COUNTIFS('2. Pricing &amp; Import'!AA51:AA150,"&gt;=20",'2. Pricing &amp; Import'!T$50:T$149,"Yes")</f>
        <v>0</v>
      </c>
      <c r="D26" s="643">
        <f>COUNTIFS('2. Pricing &amp; Import'!AB51:AB150,"&gt;=20",'2. Pricing &amp; Import'!U$50:U$149,"Yes")</f>
        <v>0</v>
      </c>
      <c r="E26" s="655">
        <f>COUNTIFS('2. Pricing &amp; Import'!AC51:AC150,"&gt;=20",'2. Pricing &amp; Import'!W$50:W$149,"Yes")</f>
        <v>0</v>
      </c>
      <c r="I26" s="215"/>
      <c r="J26" s="215"/>
    </row>
    <row r="27" spans="2:10" ht="15" thickBot="1" x14ac:dyDescent="0.35">
      <c r="B27" s="659" t="s">
        <v>331</v>
      </c>
      <c r="C27" s="1044">
        <f>SUMIFS('2. Pricing &amp; Import'!$Y$50:$Y$149,'2. Pricing &amp; Import'!T$50:$T$149,"yes")</f>
        <v>800</v>
      </c>
      <c r="D27" s="1044">
        <f>SUMIFS('2. Pricing &amp; Import'!$Y$50:$Y$149,'2. Pricing &amp; Import'!U$50:U$149,"yes")</f>
        <v>0</v>
      </c>
      <c r="E27" s="1045">
        <f>SUMIFS('2. Pricing &amp; Import'!$Y$50:$Y$149,'2. Pricing &amp; Import'!W$50:W$149,"yes")</f>
        <v>100</v>
      </c>
      <c r="I27" s="215"/>
      <c r="J27" s="215"/>
    </row>
    <row r="28" spans="2:10" ht="15.6" thickTop="1" thickBot="1" x14ac:dyDescent="0.35">
      <c r="B28" s="645" t="s">
        <v>332</v>
      </c>
      <c r="C28" s="1086">
        <f>IFERROR(SUM(SUMIFS('2. Pricing &amp; Import'!$Y$50:$Y$149,'2. Pricing &amp; Import'!$O$50:$O$149,"7",'2. Pricing &amp; Import'!T$50:T$149,"Yes"),SUMIFS('2. Pricing &amp; Import'!$Y$50:$Y$149,'2. Pricing &amp; Import'!$O$50:$O$149,"6",'2. Pricing &amp; Import'!T$50:T$149,"Yes"))/(SUMIFS('2. Pricing &amp; Import'!$Y$50:$Y$149,'2. Pricing &amp; Import'!T$50:T$149,"Yes")),"")</f>
        <v>0</v>
      </c>
      <c r="D28" s="1086" t="str">
        <f>IFERROR(SUM(SUMIFS('2. Pricing &amp; Import'!$Y$50:$Y$149,'2. Pricing &amp; Import'!$O$50:$O$149,"7",'2. Pricing &amp; Import'!U$50:U$149,"Yes"),SUMIFS('2. Pricing &amp; Import'!$Y$50:$Y$149,'2. Pricing &amp; Import'!$O$50:$O$149,"6",'2. Pricing &amp; Import'!U$50:U$149,"Yes"))/(SUMIFS('2. Pricing &amp; Import'!$Y$50:$Y$149,'2. Pricing &amp; Import'!U$50:U$149,"Yes")),"")</f>
        <v/>
      </c>
      <c r="E28" s="1087">
        <f>IFERROR(SUM(SUMIFS('2. Pricing &amp; Import'!$Y$50:$Y$149,'2. Pricing &amp; Import'!$O$50:$O$149,"7",'2. Pricing &amp; Import'!W$50:W$149,"Yes"),SUMIFS('2. Pricing &amp; Import'!$Y$50:$Y$149,'2. Pricing &amp; Import'!$O$50:$O$149,"6",'2. Pricing &amp; Import'!W$50:W$149,"Yes"))/(SUMIFS('2. Pricing &amp; Import'!$Y$50:$Y$149,'2. Pricing &amp; Import'!W$50:W$149,"Yes")),"")</f>
        <v>0</v>
      </c>
      <c r="I28" s="215"/>
      <c r="J28" s="215"/>
    </row>
    <row r="29" spans="2:10" ht="15" thickBot="1" x14ac:dyDescent="0.35">
      <c r="B29" s="646" t="s">
        <v>333</v>
      </c>
      <c r="C29" s="1088">
        <f>COUNTIF('2. Pricing &amp; Import'!T$50:T$149,"Yes")</f>
        <v>2</v>
      </c>
      <c r="D29" s="1088">
        <f>COUNTIF('2. Pricing &amp; Import'!U$50:U$149,"Yes")</f>
        <v>0</v>
      </c>
      <c r="E29" s="627">
        <f>COUNTIF('2. Pricing &amp; Import'!W$50:W$149,"Yes")</f>
        <v>1</v>
      </c>
      <c r="I29" s="215"/>
      <c r="J29" s="215"/>
    </row>
    <row r="30" spans="2:10" x14ac:dyDescent="0.3">
      <c r="I30" s="215"/>
      <c r="J30" s="215"/>
    </row>
    <row r="31" spans="2:10" x14ac:dyDescent="0.3">
      <c r="I31" s="215"/>
      <c r="J31" s="215"/>
    </row>
    <row r="32" spans="2:10" x14ac:dyDescent="0.3">
      <c r="I32" s="215"/>
      <c r="J32" s="215"/>
    </row>
    <row r="34" spans="2:8" x14ac:dyDescent="0.3">
      <c r="B34" s="215"/>
      <c r="C34" s="215"/>
    </row>
    <row r="35" spans="2:8" x14ac:dyDescent="0.3">
      <c r="B35" s="649"/>
      <c r="C35" s="650"/>
    </row>
    <row r="36" spans="2:8" x14ac:dyDescent="0.3">
      <c r="B36" s="649"/>
      <c r="C36" s="651"/>
    </row>
    <row r="37" spans="2:8" x14ac:dyDescent="0.3">
      <c r="B37" s="649"/>
      <c r="C37" s="652"/>
    </row>
    <row r="38" spans="2:8" x14ac:dyDescent="0.3">
      <c r="B38" s="649"/>
      <c r="C38" s="652"/>
    </row>
    <row r="42" spans="2:8" ht="15" thickBot="1" x14ac:dyDescent="0.35"/>
    <row r="43" spans="2:8" ht="15" thickBot="1" x14ac:dyDescent="0.35">
      <c r="B43" s="1871" t="s">
        <v>334</v>
      </c>
      <c r="C43" s="1872"/>
      <c r="D43" s="1872"/>
      <c r="E43" s="1872"/>
      <c r="F43" s="1872"/>
      <c r="G43" s="1872"/>
      <c r="H43" s="1873"/>
    </row>
    <row r="44" spans="2:8" ht="15" thickBot="1" x14ac:dyDescent="0.35">
      <c r="B44" s="1874" t="s">
        <v>335</v>
      </c>
      <c r="C44" s="1867" t="s">
        <v>125</v>
      </c>
      <c r="D44" s="1868"/>
      <c r="E44" s="1867" t="s">
        <v>127</v>
      </c>
      <c r="F44" s="1868"/>
      <c r="G44" s="1869" t="s">
        <v>129</v>
      </c>
      <c r="H44" s="1870"/>
    </row>
    <row r="45" spans="2:8" ht="15" thickTop="1" x14ac:dyDescent="0.3">
      <c r="B45" s="1875"/>
      <c r="C45" s="660" t="s">
        <v>336</v>
      </c>
      <c r="D45" s="648" t="s">
        <v>337</v>
      </c>
      <c r="E45" s="647" t="s">
        <v>336</v>
      </c>
      <c r="F45" s="648" t="s">
        <v>337</v>
      </c>
      <c r="G45" s="647" t="s">
        <v>336</v>
      </c>
      <c r="H45" s="1172" t="s">
        <v>337</v>
      </c>
    </row>
    <row r="46" spans="2:8" x14ac:dyDescent="0.3">
      <c r="B46" s="1173" t="s">
        <v>338</v>
      </c>
      <c r="C46" s="458">
        <f>IFERROR(COUNTIFS('2. Pricing &amp; Import'!$D$50:$D$149,"CrederaUS",'2. Pricing &amp; Import'!T$50:T$149,"Yes")/'Optional Pricing Scenarios Eval'!C$29,"")</f>
        <v>1</v>
      </c>
      <c r="D46" s="1170">
        <f>IFERROR(SUMIFS('2. Pricing &amp; Import'!$CH$50:$CH$149,'2. Pricing &amp; Import'!$D$50:$D$149,"CrederaUS",'2. Pricing &amp; Import'!$T$50:$T$149,"Yes"),"")</f>
        <v>218000</v>
      </c>
      <c r="E46" s="458" t="str">
        <f>IFERROR(COUNTIFS('2. Pricing &amp; Import'!$D$50:$D$149,"CrederaUS",'2. Pricing &amp; Import'!U$50:U$149,"Yes")/'Optional Pricing Scenarios Eval'!D$29,"")</f>
        <v/>
      </c>
      <c r="F46" s="1170">
        <f>IFERROR(SUMIFS('2. Pricing &amp; Import'!$CH$50:$CH$149,'2. Pricing &amp; Import'!$D$50:$D$149,"CrederaUS",'2. Pricing &amp; Import'!U$50:U$149,"Yes"),"")</f>
        <v>0</v>
      </c>
      <c r="G46" s="458">
        <f>IFERROR(COUNTIFS('2. Pricing &amp; Import'!$D$50:$D$149,"CrederaUS",'2. Pricing &amp; Import'!W$50:W$149,"Yes")/'Optional Pricing Scenarios Eval'!E$29,"")</f>
        <v>1</v>
      </c>
      <c r="H46" s="1174">
        <f>IFERROR(SUMIFS('2. Pricing &amp; Import'!$CH$50:$CH$149,'2. Pricing &amp; Import'!$D$50:$D$149,"CrederaUS",'2. Pricing &amp; Import'!$W$50:$W$149,"Yes"),"")</f>
        <v>50000</v>
      </c>
    </row>
    <row r="47" spans="2:8" x14ac:dyDescent="0.3">
      <c r="B47" s="1173" t="s">
        <v>339</v>
      </c>
      <c r="C47" s="458">
        <f>IFERROR(SUM(COUNTIFS('2. Pricing &amp; Import'!$D$50:$D$149,"TADNorthAmerica",'2. Pricing &amp; Import'!T$50:T$149,"Yes"),COUNTIFS('2. Pricing &amp; Import'!$D$50:$D$149,"TADIndia",'2. Pricing &amp; Import'!T$50:T$149,"Yes"))/'Optional Pricing Scenarios Eval'!C$29,"")</f>
        <v>0</v>
      </c>
      <c r="D47" s="1170">
        <f>IFERROR(SUMIFS('2. Pricing &amp; Import'!$CH$50:$CH$149,'2. Pricing &amp; Import'!$D$50:$D$149,"TADIndia",'2. Pricing &amp; Import'!$T$50:$T$149,"Yes")+SUMIFS('2. Pricing &amp; Import'!$CH$50:$CH$149,'2. Pricing &amp; Import'!$D$50:$D$149,"TADNorthAmerica",'2. Pricing &amp; Import'!$T$50:$T$149,"Yes"),"")</f>
        <v>0</v>
      </c>
      <c r="E47" s="458" t="str">
        <f>IFERROR(SUM(COUNTIFS('2. Pricing &amp; Import'!$D$50:$D$149,"TADNorthAmerica",'2. Pricing &amp; Import'!U$50:U$149,"Yes"),COUNTIFS('2. Pricing &amp; Import'!$D$50:$D$149,"TADIndia",'2. Pricing &amp; Import'!U$50:U$149,"Yes"))/'Optional Pricing Scenarios Eval'!D$29,"")</f>
        <v/>
      </c>
      <c r="F47" s="1170">
        <f>IFERROR(SUMIFS('2. Pricing &amp; Import'!$CH$50:$CH$149,'2. Pricing &amp; Import'!$D$50:$D$149,"TADIndia",'2. Pricing &amp; Import'!$U$50:$U$149,"Yes")+SUMIFS('2. Pricing &amp; Import'!$CH$50:$CH$149,'2. Pricing &amp; Import'!$D$50:$D$149,"TADNorthAmerica",'2. Pricing &amp; Import'!$U$50:$U$149,"Yes"),"")</f>
        <v>0</v>
      </c>
      <c r="G47" s="458">
        <f>IFERROR(SUM(COUNTIFS('2. Pricing &amp; Import'!$D$50:$D$149,"TADNorthAmerica",'2. Pricing &amp; Import'!W$50:W$149,"Yes"),COUNTIFS('2. Pricing &amp; Import'!$D$50:$D$149,"TADIndia",'2. Pricing &amp; Import'!W$50:W$149,"Yes"))/'Optional Pricing Scenarios Eval'!E$29,"")</f>
        <v>0</v>
      </c>
      <c r="H47" s="1174">
        <f>IFERROR(SUMIFS('2. Pricing &amp; Import'!$CH$50:$CH$149,'2. Pricing &amp; Import'!$D$50:$D$149,"TADIndia",'2. Pricing &amp; Import'!$W$50:$W$149,"Yes")+SUMIFS('2. Pricing &amp; Import'!$CH$50:$CH$149,'2. Pricing &amp; Import'!$D$50:$D$149,"TADNorthAmerica",'2. Pricing &amp; Import'!$W$50:$W$149,"Yes"),"")</f>
        <v>0</v>
      </c>
    </row>
    <row r="48" spans="2:8" x14ac:dyDescent="0.3">
      <c r="B48" s="1173" t="s">
        <v>340</v>
      </c>
      <c r="C48" s="458">
        <f>IFERROR(COUNTIFS('2. Pricing &amp; Import'!$D$50:$D$149,"BrightGen",'2. Pricing &amp; Import'!T$50:T$149,"Yes")/'Optional Pricing Scenarios Eval'!C$29,"")</f>
        <v>0</v>
      </c>
      <c r="D48" s="1170">
        <f>IFERROR(SUMIFS('2. Pricing &amp; Import'!$CH$50:$CH$149,'2. Pricing &amp; Import'!$D$50:$D$149,"BrightGen",'2. Pricing &amp; Import'!T$50:T$149,"Yes"),"")</f>
        <v>0</v>
      </c>
      <c r="E48" s="458" t="str">
        <f>IFERROR(COUNTIFS('2. Pricing &amp; Import'!$D$50:$D$149,"BrightGen",'2. Pricing &amp; Import'!U$50:U$149,"Yes")/'Optional Pricing Scenarios Eval'!D$29,"")</f>
        <v/>
      </c>
      <c r="F48" s="1170">
        <f>IFERROR(SUMIFS('2. Pricing &amp; Import'!$CH$50:$CH$149,'2. Pricing &amp; Import'!$D$50:$D$149,"BrightGen",'2. Pricing &amp; Import'!U$50:U$149,"Yes"),"")</f>
        <v>0</v>
      </c>
      <c r="G48" s="458">
        <f>IFERROR(COUNTIFS('2. Pricing &amp; Import'!$D$50:$D$149,"BrightGen",'2. Pricing &amp; Import'!W$50:W$149,"Yes")/'Optional Pricing Scenarios Eval'!E$29,"")</f>
        <v>0</v>
      </c>
      <c r="H48" s="1174">
        <f>IFERROR(SUMIFS('2. Pricing &amp; Import'!$CH$50:$CH$149,'2. Pricing &amp; Import'!$D$50:$D$149,"BrightGen",'2. Pricing &amp; Import'!W$50:W$149,"Yes"),"")</f>
        <v>0</v>
      </c>
    </row>
    <row r="49" spans="2:8" x14ac:dyDescent="0.3">
      <c r="B49" s="1175" t="s">
        <v>341</v>
      </c>
      <c r="C49" s="458">
        <f>IFERROR(COUNTIFS('2. Pricing &amp; Import'!$D$50:$D$149,"CrederaUK",'2. Pricing &amp; Import'!T$50:T$149,"Yes")/'Optional Pricing Scenarios Eval'!C$29,"")</f>
        <v>0</v>
      </c>
      <c r="D49" s="1170">
        <f>IFERROR(SUMIFS('2. Pricing &amp; Import'!$CH$50:$CH$149,'2. Pricing &amp; Import'!$D$50:$D$149,"CrederaUK",'2. Pricing &amp; Import'!$T$50:$T$149,"Yes"),"")</f>
        <v>0</v>
      </c>
      <c r="E49" s="458" t="str">
        <f>IFERROR(COUNTIFS('2. Pricing &amp; Import'!$D$50:$D$149,"CrederaUK",'2. Pricing &amp; Import'!U$50:U$149,"Yes")/'Optional Pricing Scenarios Eval'!D$29,"")</f>
        <v/>
      </c>
      <c r="F49" s="1170">
        <f>IFERROR(SUMIFS('2. Pricing &amp; Import'!$CH$50:$CH$149,'2. Pricing &amp; Import'!$D$50:$D$149,"CrederaUK",'2. Pricing &amp; Import'!U$50:U$149,"Yes"),"")</f>
        <v>0</v>
      </c>
      <c r="G49" s="458">
        <f>IFERROR(COUNTIFS('2. Pricing &amp; Import'!$D$50:$D$149,"CrederaUK",'2. Pricing &amp; Import'!W$50:W$149,"Yes")/'Optional Pricing Scenarios Eval'!E$29,"")</f>
        <v>0</v>
      </c>
      <c r="H49" s="1174">
        <f>IFERROR(SUMIFS('2. Pricing &amp; Import'!$CH$50:$CH$149,'2. Pricing &amp; Import'!$D$50:$D$149,"CrederaUK",'2. Pricing &amp; Import'!W$50:W$149,"Yes"),"")</f>
        <v>0</v>
      </c>
    </row>
    <row r="50" spans="2:8" x14ac:dyDescent="0.3">
      <c r="B50" s="1175" t="s">
        <v>342</v>
      </c>
      <c r="C50" s="458">
        <f>IFERROR(COUNTIFS('2. Pricing &amp; Import'!$D$50:$D$149,"SmartDigital",'2. Pricing &amp; Import'!T$50:T$149,"Yes")/'Optional Pricing Scenarios Eval'!C$29,"")</f>
        <v>0</v>
      </c>
      <c r="D50" s="1170">
        <f>IFERROR(SUMIFS('2. Pricing &amp; Import'!$CH$50:$CH$149,'2. Pricing &amp; Import'!$D$50:$D$149,"SmartDigital",'2. Pricing &amp; Import'!T$50:T$149,"Yes"),"")</f>
        <v>0</v>
      </c>
      <c r="E50" s="458" t="str">
        <f>IFERROR(COUNTIFS('2. Pricing &amp; Import'!$D$50:$D$149,"SmartDigital",'2. Pricing &amp; Import'!U$50:U$149,"Yes")/'Optional Pricing Scenarios Eval'!D$29,"")</f>
        <v/>
      </c>
      <c r="F50" s="1170">
        <f>IFERROR(SUMIFS('2. Pricing &amp; Import'!$CH$50:$CH$149,'2. Pricing &amp; Import'!$D$50:$D$149,"SmartDigital",'2. Pricing &amp; Import'!U$50:U$149,"Yes"),"")</f>
        <v>0</v>
      </c>
      <c r="G50" s="458">
        <f>IFERROR(COUNTIFS('2. Pricing &amp; Import'!$D$50:$D$149,"SmartDigital",'2. Pricing &amp; Import'!W$50:W$149,"Yes")/'Optional Pricing Scenarios Eval'!E$29,"")</f>
        <v>0</v>
      </c>
      <c r="H50" s="1174">
        <f>IFERROR(SUMIFS('2. Pricing &amp; Import'!$CH$50:$CH$149,'2. Pricing &amp; Import'!$D$50:$D$149,"SmartDigital",'2. Pricing &amp; Import'!W$50:W$149,"Yes"),"")</f>
        <v>0</v>
      </c>
    </row>
    <row r="51" spans="2:8" x14ac:dyDescent="0.3">
      <c r="B51" s="1176" t="s">
        <v>343</v>
      </c>
      <c r="C51" s="458">
        <f>IFERROR(SUMIFS('2. Pricing &amp; Import'!$Y$50:$Y$149,'2. Pricing &amp; Import'!$D$50:$D$149,"CrederaIndia",'2. Pricing &amp; Import'!T$50:T$149,"Yes")+SUMIFS('2. Pricing &amp; Import'!$Y$50:$Y$149,'2. Pricing &amp; Import'!$D$50:$D$149,"CrederaLATAM",'2. Pricing &amp; Import'!T$50:T$149,"Yes")/C$29,"")</f>
        <v>0</v>
      </c>
      <c r="D51" s="635" t="str">
        <f>IFERROR(SUMIFS('2. Pricing &amp; Import'!$CH$50:$CH$149,'2. Pricing &amp; Import'!$D$50:$D$149,"CrederaIndia",'2. Pricing &amp; Import'!$T$50:$T$149,"Yes")+SUMIFS('2. Pricing &amp; Import'!$C$50:$CH$149,'2. Pricing &amp; Import'!$D$50:$D$149,"CrederaLATAM",'2. Pricing &amp; Import'!$T$50:$T$149,"Yes"),"")</f>
        <v/>
      </c>
      <c r="E51" s="458" t="str">
        <f>IFERROR(COUNTIFS('2. Pricing &amp; Import'!$D$50:$D$149,"CrederaUS",'2. Pricing &amp; Import'!U$50:U$149,"Yes")/'Optional Pricing Scenarios Eval'!D$29,"")</f>
        <v/>
      </c>
      <c r="F51" s="1170">
        <f>IFERROR(SUMIFS('2. Pricing &amp; Import'!$CH$50:$CH$149,'2. Pricing &amp; Import'!$D$50:$D$149,"CrederaIndia",'2. Pricing &amp; Import'!$U$50:$U$149,"Yes")+SUMIFS('2. Pricing &amp; Import'!$CH$50:$CH$149,'2. Pricing &amp; Import'!$D$50:$D$149,"CrederaLATAM",'2. Pricing &amp; Import'!$U$50:$U$149,"Yes"),"")</f>
        <v>0</v>
      </c>
      <c r="G51" s="458">
        <f>IFERROR(SUM(COUNTIFS('2. Pricing &amp; Import'!$D$50:$D$149,"CrederaLATAM",'2. Pricing &amp; Import'!W$50:W$149,"Yes"),COUNTIFS('2. Pricing &amp; Import'!$D$50:$D$149,"CrederaIndia",'2. Pricing &amp; Import'!W$50:W$149,"Yes"))/'Optional Pricing Scenarios Eval'!E$29,"")</f>
        <v>0</v>
      </c>
      <c r="H51" s="1174">
        <f>IFERROR(SUMIFS('2. Pricing &amp; Import'!$CH$50:$CH$149,'2. Pricing &amp; Import'!$D$50:$D$149,"CrederaIndia",'2. Pricing &amp; Import'!$W$50:$W$149,"Yes")+SUMIFS('2. Pricing &amp; Import'!$CH$50:$CH$149,'2. Pricing &amp; Import'!$D$50:$D$149,"CrederaLATAM",'2. Pricing &amp; Import'!$W$50:$W$149,"Yes"),"")</f>
        <v>0</v>
      </c>
    </row>
    <row r="52" spans="2:8" x14ac:dyDescent="0.3">
      <c r="B52" s="1175" t="s">
        <v>344</v>
      </c>
      <c r="C52" s="604" t="s">
        <v>345</v>
      </c>
      <c r="D52" s="604" t="s">
        <v>345</v>
      </c>
      <c r="E52" s="604" t="s">
        <v>345</v>
      </c>
      <c r="F52" s="605" t="s">
        <v>345</v>
      </c>
      <c r="G52" s="604" t="s">
        <v>345</v>
      </c>
      <c r="H52" s="1177" t="s">
        <v>345</v>
      </c>
    </row>
    <row r="53" spans="2:8" ht="15" thickBot="1" x14ac:dyDescent="0.35">
      <c r="B53" s="1178" t="s">
        <v>346</v>
      </c>
      <c r="C53" s="1046">
        <f>IFERROR(COUNTIFS('2. Pricing &amp; Import'!$D$50:$D$149,"Areteans",'2. Pricing &amp; Import'!T$50:T$149,"Yes")/'Optional Pricing Scenarios Eval'!C$29,"")</f>
        <v>0</v>
      </c>
      <c r="D53" s="1171">
        <f>IFERROR(SUMIFS('2. Pricing &amp; Import'!$CH$50:$CH$149,'2. Pricing &amp; Import'!$D$50:$D$149,"Areteans",'2. Pricing &amp; Import'!$T$50:$T$149,"Yes"),"")</f>
        <v>0</v>
      </c>
      <c r="E53" s="1046" t="str">
        <f>IFERROR(COUNTIFS('2. Pricing &amp; Import'!$D$50:$D$149,"Areteans",'2. Pricing &amp; Import'!U$50:U$149,"Yes")/'Optional Pricing Scenarios Eval'!D$29,"")</f>
        <v/>
      </c>
      <c r="F53" s="1171">
        <f>IFERROR(SUMIFS('2. Pricing &amp; Import'!$CH$50:$CH$149,'2. Pricing &amp; Import'!$D$50:$D$149,"Areteans",'2. Pricing &amp; Import'!U$50:U$149,"Yes"),"")</f>
        <v>0</v>
      </c>
      <c r="G53" s="1046">
        <f>IFERROR(COUNTIFS('2. Pricing &amp; Import'!$D$50:$D$149,"Areteans",'2. Pricing &amp; Import'!W$50:W$149,"Yes")/'Optional Pricing Scenarios Eval'!E$29,"")</f>
        <v>0</v>
      </c>
      <c r="H53" s="1179">
        <f>IFERROR(SUMIFS('2. Pricing &amp; Import'!$CH$50:$CH$149,'2. Pricing &amp; Import'!$D$50:$D$149,"Areteans",'2. Pricing &amp; Import'!W$50:W$149,"Yes"),"")</f>
        <v>0</v>
      </c>
    </row>
  </sheetData>
  <mergeCells count="5">
    <mergeCell ref="C44:D44"/>
    <mergeCell ref="E44:F44"/>
    <mergeCell ref="G44:H44"/>
    <mergeCell ref="B43:H43"/>
    <mergeCell ref="B44:B45"/>
  </mergeCells>
  <conditionalFormatting sqref="B13:B15">
    <cfRule type="cellIs" dxfId="3" priority="1" operator="equal">
      <formula>"Onshore"</formula>
    </cfRule>
    <cfRule type="cellIs" dxfId="2" priority="2" operator="equal">
      <formula>"Onsite"</formula>
    </cfRule>
    <cfRule type="cellIs" dxfId="1" priority="3" operator="equal">
      <formula>"Onsite"</formula>
    </cfRule>
    <cfRule type="cellIs" dxfId="0" priority="4" operator="equal">
      <formula>"Onshore"</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theme="3"/>
    <pageSetUpPr autoPageBreaks="0"/>
  </sheetPr>
  <dimension ref="A1:BU434"/>
  <sheetViews>
    <sheetView showGridLines="0" topLeftCell="BD1" zoomScale="98" zoomScaleNormal="98" workbookViewId="0">
      <pane ySplit="7" topLeftCell="A8" activePane="bottomLeft" state="frozen"/>
      <selection activeCell="Q1" sqref="Q1"/>
      <selection pane="bottomLeft" activeCell="BU14" sqref="BU14"/>
    </sheetView>
  </sheetViews>
  <sheetFormatPr defaultColWidth="8.77734375" defaultRowHeight="13.05" customHeight="1" x14ac:dyDescent="0.3"/>
  <cols>
    <col min="1" max="1" width="19.44140625" customWidth="1"/>
    <col min="2" max="2" width="26.77734375" customWidth="1"/>
    <col min="3" max="3" width="46.21875" bestFit="1" customWidth="1"/>
    <col min="4" max="4" width="70.44140625" bestFit="1" customWidth="1"/>
    <col min="5" max="5" width="28.44140625" bestFit="1" customWidth="1"/>
    <col min="6" max="6" width="16.44140625" customWidth="1"/>
    <col min="7" max="7" width="15" bestFit="1" customWidth="1"/>
    <col min="8" max="10" width="15" style="163" customWidth="1"/>
    <col min="11" max="11" width="19.44140625" customWidth="1"/>
    <col min="12" max="13" width="15" customWidth="1"/>
    <col min="14" max="14" width="16.77734375" customWidth="1"/>
    <col min="15" max="15" width="30.44140625" customWidth="1"/>
    <col min="16" max="16" width="15" customWidth="1"/>
    <col min="17" max="17" width="16.77734375" customWidth="1"/>
    <col min="18" max="18" width="35.44140625" customWidth="1"/>
    <col min="19" max="19" width="12.44140625" customWidth="1"/>
    <col min="20" max="22" width="8.77734375" customWidth="1"/>
    <col min="23" max="23" width="18.77734375" customWidth="1"/>
    <col min="24" max="24" width="16.44140625" customWidth="1"/>
    <col min="25" max="25" width="19.44140625" customWidth="1"/>
    <col min="26" max="36" width="8.77734375" customWidth="1"/>
    <col min="40" max="40" width="9.44140625" customWidth="1"/>
    <col min="41" max="41" width="11.21875" bestFit="1" customWidth="1"/>
    <col min="42" max="43" width="28.21875" customWidth="1"/>
    <col min="44" max="46" width="8.77734375" customWidth="1"/>
    <col min="47" max="47" width="27.77734375" bestFit="1" customWidth="1"/>
    <col min="48" max="48" width="12.88671875" customWidth="1"/>
    <col min="49" max="49" width="8.77734375" customWidth="1"/>
    <col min="50" max="50" width="11.88671875" bestFit="1" customWidth="1"/>
    <col min="51" max="51" width="11.77734375" bestFit="1" customWidth="1"/>
    <col min="52" max="52" width="8.77734375" customWidth="1"/>
    <col min="53" max="53" width="15.77734375" customWidth="1"/>
    <col min="54" max="54" width="8.77734375" customWidth="1"/>
    <col min="59" max="59" width="17.21875" bestFit="1" customWidth="1"/>
    <col min="60" max="60" width="10" bestFit="1" customWidth="1"/>
    <col min="61" max="61" width="11.44140625" bestFit="1" customWidth="1"/>
    <col min="62" max="62" width="32.77734375" bestFit="1" customWidth="1"/>
    <col min="63" max="63" width="7.5546875" bestFit="1" customWidth="1"/>
    <col min="65" max="65" width="10.109375" style="155" bestFit="1" customWidth="1"/>
    <col min="66" max="66" width="10.109375" bestFit="1" customWidth="1"/>
    <col min="73" max="73" width="16.44140625" customWidth="1"/>
  </cols>
  <sheetData>
    <row r="1" spans="1:73" ht="13.05" customHeight="1" x14ac:dyDescent="0.3">
      <c r="B1" s="1876" t="s">
        <v>379</v>
      </c>
      <c r="C1" s="1876"/>
      <c r="D1" s="1876"/>
      <c r="E1" t="s">
        <v>2346</v>
      </c>
    </row>
    <row r="2" spans="1:73" ht="13.05" customHeight="1" x14ac:dyDescent="0.3">
      <c r="B2" s="1876"/>
      <c r="C2" s="1876"/>
      <c r="D2" s="1876"/>
      <c r="E2" s="8"/>
      <c r="F2" s="8"/>
      <c r="G2" s="8"/>
      <c r="H2" s="251"/>
      <c r="I2" s="251"/>
      <c r="J2" s="251"/>
      <c r="K2" s="8"/>
      <c r="L2" s="8"/>
      <c r="M2" s="8"/>
      <c r="N2" s="8"/>
      <c r="O2" s="8"/>
      <c r="P2" s="8"/>
      <c r="Q2" s="8"/>
    </row>
    <row r="3" spans="1:73" ht="13.05" customHeight="1" x14ac:dyDescent="0.3">
      <c r="B3" s="1042" t="s">
        <v>380</v>
      </c>
      <c r="C3" s="1043"/>
      <c r="D3" s="1043"/>
      <c r="E3" s="1043"/>
      <c r="F3" s="1043"/>
      <c r="G3" s="1043"/>
      <c r="H3" s="251"/>
      <c r="I3" s="251"/>
      <c r="J3" s="251"/>
      <c r="K3" s="8"/>
      <c r="L3" s="8"/>
      <c r="M3" s="8"/>
      <c r="N3" s="8"/>
      <c r="O3" s="8"/>
      <c r="P3" s="8"/>
      <c r="Q3" s="8"/>
    </row>
    <row r="4" spans="1:73" s="215" customFormat="1" ht="13.05" customHeight="1" x14ac:dyDescent="0.3">
      <c r="A4" s="435"/>
      <c r="B4" s="435"/>
      <c r="C4" s="435"/>
      <c r="D4" s="435"/>
      <c r="E4" s="435"/>
      <c r="F4" s="435"/>
      <c r="G4" s="435"/>
      <c r="H4" s="214"/>
      <c r="I4" s="214"/>
      <c r="J4" s="214"/>
      <c r="K4" s="15"/>
      <c r="L4" s="15"/>
      <c r="M4" s="15"/>
      <c r="N4" s="15"/>
      <c r="O4" s="15"/>
      <c r="P4" s="15"/>
      <c r="Q4" s="15"/>
      <c r="BM4" s="1561"/>
    </row>
    <row r="5" spans="1:73" s="215" customFormat="1" ht="13.05" customHeight="1" x14ac:dyDescent="0.3">
      <c r="A5" s="435"/>
      <c r="B5" s="435"/>
      <c r="C5" s="435"/>
      <c r="D5" s="435"/>
      <c r="E5" s="435"/>
      <c r="F5" s="435"/>
      <c r="G5" s="435"/>
      <c r="H5" s="214"/>
      <c r="I5" s="214"/>
      <c r="J5" s="214"/>
      <c r="K5" s="15"/>
      <c r="L5" s="15"/>
      <c r="M5" s="15"/>
      <c r="N5" s="15"/>
      <c r="O5" s="15"/>
      <c r="P5" s="15"/>
      <c r="Q5" s="15"/>
      <c r="BM5" s="1561"/>
    </row>
    <row r="6" spans="1:73" ht="13.05" customHeight="1" x14ac:dyDescent="0.3">
      <c r="A6" s="8"/>
      <c r="B6" s="1047" t="s">
        <v>381</v>
      </c>
      <c r="C6" s="1047"/>
      <c r="D6" s="1047"/>
      <c r="E6" s="1047" t="s">
        <v>382</v>
      </c>
      <c r="F6" s="1047"/>
      <c r="G6" s="1047" t="s">
        <v>382</v>
      </c>
      <c r="H6" s="252"/>
      <c r="I6" s="252"/>
      <c r="J6" s="252"/>
      <c r="K6" s="49"/>
      <c r="L6" s="49"/>
      <c r="M6" s="49"/>
      <c r="N6" s="49"/>
      <c r="O6" s="49"/>
      <c r="P6" s="49"/>
      <c r="Q6" s="49"/>
      <c r="BH6" t="s">
        <v>2389</v>
      </c>
    </row>
    <row r="7" spans="1:73" ht="16.05" customHeight="1" thickBot="1" x14ac:dyDescent="0.35">
      <c r="A7" s="499" t="s">
        <v>383</v>
      </c>
      <c r="B7" s="1066" t="s">
        <v>384</v>
      </c>
      <c r="C7" s="1067" t="s">
        <v>385</v>
      </c>
      <c r="D7" s="1067" t="s">
        <v>386</v>
      </c>
      <c r="E7" s="1067" t="s">
        <v>387</v>
      </c>
      <c r="F7" s="1067" t="s">
        <v>388</v>
      </c>
      <c r="G7" s="1067" t="s">
        <v>389</v>
      </c>
      <c r="H7" s="1068" t="s">
        <v>295</v>
      </c>
      <c r="I7" s="1487" t="s">
        <v>2301</v>
      </c>
      <c r="J7" s="1487" t="s">
        <v>2300</v>
      </c>
      <c r="N7" s="240" t="s">
        <v>295</v>
      </c>
      <c r="O7" s="240" t="s">
        <v>390</v>
      </c>
      <c r="P7" s="240" t="s">
        <v>391</v>
      </c>
      <c r="Q7" s="240" t="s">
        <v>392</v>
      </c>
      <c r="R7" s="49" t="s">
        <v>77</v>
      </c>
      <c r="S7" s="49" t="s">
        <v>77</v>
      </c>
      <c r="T7" s="49" t="s">
        <v>393</v>
      </c>
      <c r="U7" s="49" t="s">
        <v>394</v>
      </c>
      <c r="V7" s="500" t="s">
        <v>395</v>
      </c>
      <c r="W7" s="49" t="s">
        <v>142</v>
      </c>
      <c r="X7" s="49" t="s">
        <v>396</v>
      </c>
      <c r="Y7" s="49" t="s">
        <v>397</v>
      </c>
      <c r="AA7" s="49" t="s">
        <v>2066</v>
      </c>
      <c r="AD7" t="s">
        <v>398</v>
      </c>
      <c r="AH7" t="s">
        <v>399</v>
      </c>
      <c r="AN7" t="s">
        <v>393</v>
      </c>
      <c r="AO7" t="s">
        <v>2061</v>
      </c>
      <c r="AP7" t="s">
        <v>1925</v>
      </c>
      <c r="AQ7" t="s">
        <v>2030</v>
      </c>
      <c r="AR7" t="s">
        <v>1314</v>
      </c>
      <c r="AT7" t="s">
        <v>1476</v>
      </c>
      <c r="AU7" t="s">
        <v>2360</v>
      </c>
      <c r="AV7" t="s">
        <v>390</v>
      </c>
      <c r="AW7" t="s">
        <v>2358</v>
      </c>
      <c r="AX7" t="s">
        <v>324</v>
      </c>
      <c r="AY7" t="s">
        <v>325</v>
      </c>
    </row>
    <row r="8" spans="1:73" ht="15" customHeight="1" thickBot="1" x14ac:dyDescent="0.35">
      <c r="A8" t="s">
        <v>307</v>
      </c>
      <c r="B8" s="215" t="s">
        <v>307</v>
      </c>
      <c r="C8" s="215" t="s">
        <v>1572</v>
      </c>
      <c r="D8" s="215" t="s">
        <v>2062</v>
      </c>
      <c r="E8" s="1190">
        <v>65</v>
      </c>
      <c r="F8" s="215" t="s">
        <v>234</v>
      </c>
      <c r="G8" s="1050">
        <v>90</v>
      </c>
      <c r="H8" s="1052">
        <v>0</v>
      </c>
      <c r="I8" s="1052"/>
      <c r="J8" s="1052"/>
      <c r="K8" t="s">
        <v>235</v>
      </c>
      <c r="L8" s="8" t="s">
        <v>234</v>
      </c>
      <c r="M8" s="8"/>
      <c r="N8" s="8">
        <v>0</v>
      </c>
      <c r="O8" s="8" t="s">
        <v>402</v>
      </c>
      <c r="P8" s="8" t="s">
        <v>358</v>
      </c>
      <c r="Q8" s="138" t="s">
        <v>403</v>
      </c>
      <c r="R8" s="8" t="s">
        <v>72</v>
      </c>
      <c r="S8" s="8" t="s">
        <v>404</v>
      </c>
      <c r="T8" t="s">
        <v>72</v>
      </c>
      <c r="U8" t="s">
        <v>72</v>
      </c>
      <c r="V8" s="8"/>
      <c r="W8" t="s">
        <v>404</v>
      </c>
      <c r="X8" s="8" t="s">
        <v>72</v>
      </c>
      <c r="Y8" t="s">
        <v>72</v>
      </c>
      <c r="AA8" t="s">
        <v>338</v>
      </c>
      <c r="AD8" t="s">
        <v>209</v>
      </c>
      <c r="AH8" s="416" t="str">
        <f>IF(OR('1. Project Inputs'!$C$18="Consulting",'1. Project Inputs'!$C$18="Digital - MarTech Consulting/Strategy")=TRUE,'1. Project Inputs'!C34,IF('1. Project Inputs'!$C$18="Select",'1. Project Inputs'!C34,'Standard Rate Cards'!Y9))</f>
        <v>UX Design</v>
      </c>
      <c r="AN8" t="s">
        <v>411</v>
      </c>
      <c r="AO8" t="s">
        <v>411</v>
      </c>
      <c r="AP8" t="s">
        <v>1966</v>
      </c>
      <c r="AQ8" t="s">
        <v>1966</v>
      </c>
      <c r="AR8" t="s">
        <v>1931</v>
      </c>
      <c r="BG8" t="s">
        <v>2451</v>
      </c>
      <c r="BH8" t="s">
        <v>2390</v>
      </c>
      <c r="BI8" t="s">
        <v>2392</v>
      </c>
      <c r="BJ8" t="s">
        <v>2391</v>
      </c>
      <c r="BK8" t="s">
        <v>2395</v>
      </c>
      <c r="BL8" t="s">
        <v>2396</v>
      </c>
      <c r="BM8" s="155" t="s">
        <v>2454</v>
      </c>
      <c r="BN8" t="s">
        <v>2415</v>
      </c>
      <c r="BT8" s="1568" t="s">
        <v>2466</v>
      </c>
      <c r="BU8" s="1567" t="s">
        <v>2472</v>
      </c>
    </row>
    <row r="9" spans="1:73" ht="13.05" customHeight="1" thickBot="1" x14ac:dyDescent="0.35">
      <c r="A9" t="s">
        <v>405</v>
      </c>
      <c r="B9" s="1191" t="s">
        <v>307</v>
      </c>
      <c r="C9" s="1191" t="s">
        <v>400</v>
      </c>
      <c r="D9" s="1191" t="s">
        <v>401</v>
      </c>
      <c r="E9" s="1192">
        <v>72</v>
      </c>
      <c r="F9" s="1191" t="s">
        <v>234</v>
      </c>
      <c r="G9" s="1049">
        <v>195</v>
      </c>
      <c r="H9" s="1193">
        <v>1</v>
      </c>
      <c r="I9" s="1193"/>
      <c r="J9" s="1193"/>
      <c r="K9" s="8" t="s">
        <v>408</v>
      </c>
      <c r="L9" s="8" t="s">
        <v>409</v>
      </c>
      <c r="N9" s="8">
        <v>1</v>
      </c>
      <c r="O9" s="8" t="s">
        <v>410</v>
      </c>
      <c r="P9" s="8" t="s">
        <v>172</v>
      </c>
      <c r="Q9" s="138" t="s">
        <v>411</v>
      </c>
      <c r="R9" s="8" t="s">
        <v>412</v>
      </c>
      <c r="S9" s="8" t="s">
        <v>368</v>
      </c>
      <c r="T9" s="8" t="s">
        <v>413</v>
      </c>
      <c r="U9" s="8" t="s">
        <v>414</v>
      </c>
      <c r="V9" s="8"/>
      <c r="W9" s="8" t="s">
        <v>415</v>
      </c>
      <c r="X9" s="8" t="s">
        <v>172</v>
      </c>
      <c r="Y9" t="s">
        <v>416</v>
      </c>
      <c r="AA9" s="8" t="s">
        <v>2067</v>
      </c>
      <c r="AD9" t="s">
        <v>417</v>
      </c>
      <c r="AH9" s="416" t="str">
        <f>IF(OR('1. Project Inputs'!$C$18="Consulting",'1. Project Inputs'!$C$18="Digital - MarTech Consulting/Strategy")=TRUE,'1. Project Inputs'!C35,IF('1. Project Inputs'!$C$18="Select",'1. Project Inputs'!C35,'Standard Rate Cards'!Y10))</f>
        <v>Coding</v>
      </c>
      <c r="AN9" t="s">
        <v>411</v>
      </c>
      <c r="AO9" t="s">
        <v>411</v>
      </c>
      <c r="AP9" t="s">
        <v>1966</v>
      </c>
      <c r="AQ9" t="s">
        <v>1966</v>
      </c>
      <c r="AR9" t="s">
        <v>1932</v>
      </c>
      <c r="BG9" t="s">
        <v>443</v>
      </c>
      <c r="BH9" t="s">
        <v>1344</v>
      </c>
      <c r="BI9" s="1557">
        <v>45658</v>
      </c>
      <c r="BJ9" t="s">
        <v>2397</v>
      </c>
      <c r="BK9" t="s">
        <v>2398</v>
      </c>
      <c r="BL9">
        <v>8</v>
      </c>
      <c r="BM9" s="155">
        <v>45656</v>
      </c>
      <c r="BN9" s="155">
        <f>IF(WEEKDAY(BI9,1)=2,BI9,BI9-WEEKDAY(BI9,1)+2)</f>
        <v>45656</v>
      </c>
      <c r="BT9" s="1569"/>
      <c r="BU9" s="1567" t="s">
        <v>2473</v>
      </c>
    </row>
    <row r="10" spans="1:73" ht="13.05" customHeight="1" thickBot="1" x14ac:dyDescent="0.35">
      <c r="A10" t="s">
        <v>418</v>
      </c>
      <c r="B10" s="1191" t="s">
        <v>307</v>
      </c>
      <c r="C10" s="215" t="s">
        <v>406</v>
      </c>
      <c r="D10" s="1191" t="s">
        <v>420</v>
      </c>
      <c r="E10" s="1190">
        <v>77</v>
      </c>
      <c r="F10" s="1191" t="s">
        <v>234</v>
      </c>
      <c r="G10" s="1050">
        <v>200</v>
      </c>
      <c r="H10" s="1194">
        <v>2</v>
      </c>
      <c r="I10" s="1194"/>
      <c r="J10" s="1194"/>
      <c r="K10" s="8" t="s">
        <v>421</v>
      </c>
      <c r="L10" t="s">
        <v>422</v>
      </c>
      <c r="N10" s="8">
        <v>2</v>
      </c>
      <c r="O10" s="8" t="s">
        <v>423</v>
      </c>
      <c r="P10" s="8" t="s">
        <v>424</v>
      </c>
      <c r="Q10" s="8" t="s">
        <v>425</v>
      </c>
      <c r="R10" s="8" t="s">
        <v>426</v>
      </c>
      <c r="S10" s="8" t="s">
        <v>2069</v>
      </c>
      <c r="T10" s="8" t="s">
        <v>428</v>
      </c>
      <c r="U10" s="8" t="s">
        <v>429</v>
      </c>
      <c r="V10" s="8"/>
      <c r="W10" s="8" t="s">
        <v>430</v>
      </c>
      <c r="X10" s="8" t="s">
        <v>424</v>
      </c>
      <c r="Y10" t="s">
        <v>431</v>
      </c>
      <c r="AA10" s="8" t="s">
        <v>2068</v>
      </c>
      <c r="AD10" t="str">
        <f>'1. Project Inputs'!C58</f>
        <v>Manual Entry Option 1 Name</v>
      </c>
      <c r="AH10" s="416" t="str">
        <f>IF(OR('1. Project Inputs'!$C$18="Consulting",'1. Project Inputs'!$C$18="Digital - MarTech Consulting/Strategy")=TRUE,'1. Project Inputs'!C36,IF('1. Project Inputs'!$C$18="Select",'1. Project Inputs'!C36,'Standard Rate Cards'!Y11))</f>
        <v>delivery stuff</v>
      </c>
      <c r="AN10" t="s">
        <v>411</v>
      </c>
      <c r="AO10" t="s">
        <v>411</v>
      </c>
      <c r="AP10" t="s">
        <v>1966</v>
      </c>
      <c r="AQ10" t="s">
        <v>1966</v>
      </c>
      <c r="AR10" t="s">
        <v>1933</v>
      </c>
      <c r="BG10" t="s">
        <v>443</v>
      </c>
      <c r="BH10" t="s">
        <v>1344</v>
      </c>
      <c r="BI10" s="1557">
        <v>45671</v>
      </c>
      <c r="BJ10" t="s">
        <v>2416</v>
      </c>
      <c r="BK10" t="s">
        <v>2398</v>
      </c>
      <c r="BL10">
        <v>8</v>
      </c>
      <c r="BM10" s="155">
        <v>45670</v>
      </c>
      <c r="BN10" s="155">
        <f t="shared" ref="BN10:BN73" si="0">IF(WEEKDAY(BI10,1)=2,BI10,BI10-WEEKDAY(BI10,1)+2)</f>
        <v>45670</v>
      </c>
      <c r="BT10" s="1570" t="s">
        <v>2467</v>
      </c>
      <c r="BU10" s="1567" t="s">
        <v>2474</v>
      </c>
    </row>
    <row r="11" spans="1:73" ht="13.05" customHeight="1" thickBot="1" x14ac:dyDescent="0.35">
      <c r="A11" t="s">
        <v>432</v>
      </c>
      <c r="B11" s="215" t="s">
        <v>307</v>
      </c>
      <c r="C11" s="215" t="s">
        <v>406</v>
      </c>
      <c r="D11" s="215" t="s">
        <v>407</v>
      </c>
      <c r="E11" s="1190">
        <v>96</v>
      </c>
      <c r="F11" s="215" t="s">
        <v>234</v>
      </c>
      <c r="G11" s="1050">
        <v>240</v>
      </c>
      <c r="H11" s="1195">
        <v>3</v>
      </c>
      <c r="I11" s="1195"/>
      <c r="J11" s="1195"/>
      <c r="K11" s="8" t="s">
        <v>434</v>
      </c>
      <c r="L11" s="8" t="s">
        <v>435</v>
      </c>
      <c r="N11" s="8">
        <v>3</v>
      </c>
      <c r="O11" s="8" t="s">
        <v>436</v>
      </c>
      <c r="P11" s="8"/>
      <c r="Q11" s="8" t="s">
        <v>437</v>
      </c>
      <c r="R11" s="8" t="s">
        <v>438</v>
      </c>
      <c r="S11" s="8" t="s">
        <v>427</v>
      </c>
      <c r="T11" s="8" t="s">
        <v>439</v>
      </c>
      <c r="U11" s="8"/>
      <c r="V11" s="8"/>
      <c r="W11" s="8" t="s">
        <v>440</v>
      </c>
      <c r="X11" s="8" t="s">
        <v>441</v>
      </c>
      <c r="Y11" t="s">
        <v>442</v>
      </c>
      <c r="AD11" t="str">
        <f>'1. Project Inputs'!C59</f>
        <v>Manual Entry Option 2 Name</v>
      </c>
      <c r="AH11" s="416" t="str">
        <f>IF(OR('1. Project Inputs'!$C$18="Consulting",'1. Project Inputs'!$C$18="Digital - MarTech Consulting/Strategy")=TRUE,'1. Project Inputs'!C37,IF('1. Project Inputs'!$C$18="Select",'1. Project Inputs'!C37,'Standard Rate Cards'!Y12))</f>
        <v>other bucket</v>
      </c>
      <c r="AN11" t="s">
        <v>411</v>
      </c>
      <c r="AO11" t="s">
        <v>411</v>
      </c>
      <c r="AP11" t="s">
        <v>1967</v>
      </c>
      <c r="AQ11" t="s">
        <v>1967</v>
      </c>
      <c r="AR11" t="s">
        <v>1934</v>
      </c>
      <c r="BA11" s="138" t="s">
        <v>403</v>
      </c>
      <c r="BB11" s="138" t="s">
        <v>403</v>
      </c>
      <c r="BG11" t="s">
        <v>443</v>
      </c>
      <c r="BH11" t="s">
        <v>1344</v>
      </c>
      <c r="BI11" s="1557">
        <v>45778</v>
      </c>
      <c r="BJ11" t="s">
        <v>2417</v>
      </c>
      <c r="BK11" t="s">
        <v>2398</v>
      </c>
      <c r="BL11">
        <v>8</v>
      </c>
      <c r="BM11" s="155">
        <v>45775</v>
      </c>
      <c r="BN11" s="155">
        <f t="shared" si="0"/>
        <v>45775</v>
      </c>
      <c r="BT11" s="1568"/>
      <c r="BU11" s="1567" t="s">
        <v>2475</v>
      </c>
    </row>
    <row r="12" spans="1:73" ht="13.05" customHeight="1" thickBot="1" x14ac:dyDescent="0.35">
      <c r="A12" t="s">
        <v>443</v>
      </c>
      <c r="B12" s="1191" t="s">
        <v>307</v>
      </c>
      <c r="C12" s="1191" t="s">
        <v>419</v>
      </c>
      <c r="D12" s="1191" t="s">
        <v>420</v>
      </c>
      <c r="E12" s="1192">
        <v>77</v>
      </c>
      <c r="F12" s="1191" t="s">
        <v>234</v>
      </c>
      <c r="G12" s="1049">
        <v>200</v>
      </c>
      <c r="H12" s="1051">
        <v>2</v>
      </c>
      <c r="I12" s="1051"/>
      <c r="J12" s="1051"/>
      <c r="K12" s="8" t="s">
        <v>444</v>
      </c>
      <c r="L12" s="8" t="s">
        <v>445</v>
      </c>
      <c r="N12" s="8">
        <v>4</v>
      </c>
      <c r="O12" s="8" t="s">
        <v>446</v>
      </c>
      <c r="P12" s="8"/>
      <c r="Q12" s="8" t="s">
        <v>447</v>
      </c>
      <c r="R12" s="8" t="s">
        <v>448</v>
      </c>
      <c r="S12" s="8" t="s">
        <v>2070</v>
      </c>
      <c r="T12" s="8" t="s">
        <v>449</v>
      </c>
      <c r="U12" s="8"/>
      <c r="V12" s="8"/>
      <c r="W12" s="8"/>
      <c r="X12" s="8" t="s">
        <v>450</v>
      </c>
      <c r="Y12" t="s">
        <v>451</v>
      </c>
      <c r="AD12" t="str">
        <f>'1. Project Inputs'!C60</f>
        <v>Manual Entry Option 3 Name</v>
      </c>
      <c r="AH12" s="416" t="str">
        <f>IF(OR('1. Project Inputs'!$C$18="Consulting",'1. Project Inputs'!$C$18="Digital - MarTech Consulting/Strategy")=TRUE,'1. Project Inputs'!C38,IF('1. Project Inputs'!$C$18="Select",'1. Project Inputs'!C38,'Standard Rate Cards'!Y13))</f>
        <v>qa work</v>
      </c>
      <c r="AN12" t="s">
        <v>411</v>
      </c>
      <c r="AO12" t="s">
        <v>411</v>
      </c>
      <c r="AP12" t="s">
        <v>1967</v>
      </c>
      <c r="AQ12" t="s">
        <v>1967</v>
      </c>
      <c r="AR12" t="s">
        <v>1935</v>
      </c>
      <c r="BA12" s="138" t="s">
        <v>411</v>
      </c>
      <c r="BB12" s="138" t="s">
        <v>411</v>
      </c>
      <c r="BG12" t="s">
        <v>443</v>
      </c>
      <c r="BH12" t="s">
        <v>1344</v>
      </c>
      <c r="BI12" s="1557">
        <v>45884</v>
      </c>
      <c r="BJ12" t="s">
        <v>2404</v>
      </c>
      <c r="BK12" t="s">
        <v>2398</v>
      </c>
      <c r="BL12">
        <v>8</v>
      </c>
      <c r="BM12" s="155">
        <v>45880</v>
      </c>
      <c r="BN12" s="155">
        <f t="shared" si="0"/>
        <v>45880</v>
      </c>
      <c r="BT12" s="1568"/>
      <c r="BU12" s="1567" t="s">
        <v>2476</v>
      </c>
    </row>
    <row r="13" spans="1:73" ht="13.05" customHeight="1" thickBot="1" x14ac:dyDescent="0.35">
      <c r="A13" t="s">
        <v>340</v>
      </c>
      <c r="B13" s="1191" t="s">
        <v>307</v>
      </c>
      <c r="C13" s="1191" t="s">
        <v>419</v>
      </c>
      <c r="D13" s="215" t="s">
        <v>407</v>
      </c>
      <c r="E13" s="1190">
        <v>96</v>
      </c>
      <c r="F13" s="215" t="s">
        <v>234</v>
      </c>
      <c r="G13" s="1050">
        <v>240</v>
      </c>
      <c r="H13" s="1052">
        <v>3</v>
      </c>
      <c r="I13" s="1052"/>
      <c r="J13" s="1052"/>
      <c r="K13" s="8" t="s">
        <v>453</v>
      </c>
      <c r="L13" s="8" t="s">
        <v>454</v>
      </c>
      <c r="N13" s="8">
        <v>5</v>
      </c>
      <c r="O13" s="8" t="s">
        <v>455</v>
      </c>
      <c r="P13" s="8"/>
      <c r="Q13" s="8" t="s">
        <v>439</v>
      </c>
      <c r="R13" s="8" t="s">
        <v>456</v>
      </c>
      <c r="U13" s="8"/>
      <c r="V13" s="8"/>
      <c r="W13" s="8"/>
      <c r="X13" s="8" t="s">
        <v>457</v>
      </c>
      <c r="Y13" t="s">
        <v>458</v>
      </c>
      <c r="AH13" s="416" t="str">
        <f>IF(OR('1. Project Inputs'!$C$18="Consulting",'1. Project Inputs'!$C$18="Digital - MarTech Consulting/Strategy")=TRUE,'1. Project Inputs'!C39,IF('1. Project Inputs'!$C$18="Select",'1. Project Inputs'!C39,""))</f>
        <v>finishing touches</v>
      </c>
      <c r="AN13" t="s">
        <v>411</v>
      </c>
      <c r="AO13" t="s">
        <v>411</v>
      </c>
      <c r="AP13" t="s">
        <v>1967</v>
      </c>
      <c r="AQ13" t="s">
        <v>1967</v>
      </c>
      <c r="AR13" t="s">
        <v>1936</v>
      </c>
      <c r="BA13" s="8" t="s">
        <v>425</v>
      </c>
      <c r="BB13" s="8" t="s">
        <v>425</v>
      </c>
      <c r="BG13" t="s">
        <v>443</v>
      </c>
      <c r="BH13" t="s">
        <v>1344</v>
      </c>
      <c r="BI13" s="1557">
        <v>45932</v>
      </c>
      <c r="BJ13" t="s">
        <v>2418</v>
      </c>
      <c r="BK13" t="s">
        <v>2398</v>
      </c>
      <c r="BL13">
        <v>8</v>
      </c>
      <c r="BM13" s="155">
        <v>45929</v>
      </c>
      <c r="BN13" s="155">
        <f t="shared" si="0"/>
        <v>45929</v>
      </c>
      <c r="BT13" s="1568"/>
      <c r="BU13" s="1567" t="s">
        <v>2477</v>
      </c>
    </row>
    <row r="14" spans="1:73" ht="13.05" customHeight="1" thickBot="1" x14ac:dyDescent="0.35">
      <c r="A14" t="s">
        <v>459</v>
      </c>
      <c r="B14" s="1191" t="s">
        <v>307</v>
      </c>
      <c r="C14" s="1191" t="s">
        <v>532</v>
      </c>
      <c r="D14" s="1191" t="s">
        <v>420</v>
      </c>
      <c r="E14" s="1192">
        <v>77</v>
      </c>
      <c r="F14" s="1191" t="s">
        <v>234</v>
      </c>
      <c r="G14" s="1049">
        <v>200</v>
      </c>
      <c r="H14" s="1051">
        <v>2</v>
      </c>
      <c r="I14" s="1051"/>
      <c r="J14" s="1051"/>
      <c r="K14" s="8"/>
      <c r="L14" s="8" t="s">
        <v>461</v>
      </c>
      <c r="N14" s="8">
        <v>6</v>
      </c>
      <c r="O14" s="8" t="s">
        <v>411</v>
      </c>
      <c r="P14" s="8"/>
      <c r="Q14" s="8" t="s">
        <v>462</v>
      </c>
      <c r="R14" s="8" t="s">
        <v>463</v>
      </c>
      <c r="T14" s="8"/>
      <c r="U14" s="8"/>
      <c r="V14" s="8"/>
      <c r="W14" s="8"/>
      <c r="X14" s="8" t="s">
        <v>464</v>
      </c>
      <c r="AH14" s="416" t="str">
        <f>IF(OR('1. Project Inputs'!$C$18="Consulting",'1. Project Inputs'!$C$18="Digital - MarTech Consulting/Strategy")=TRUE,'1. Project Inputs'!C40,IF('1. Project Inputs'!$C$18="Select",'1. Project Inputs'!C40,""))</f>
        <v>[Estimated Bucket 7]</v>
      </c>
      <c r="AN14" t="s">
        <v>411</v>
      </c>
      <c r="AO14" t="s">
        <v>411</v>
      </c>
      <c r="AP14" t="s">
        <v>1967</v>
      </c>
      <c r="AQ14" t="s">
        <v>1967</v>
      </c>
      <c r="AR14" t="s">
        <v>1937</v>
      </c>
      <c r="BA14" s="8" t="s">
        <v>437</v>
      </c>
      <c r="BB14" s="8" t="s">
        <v>437</v>
      </c>
      <c r="BG14" t="s">
        <v>443</v>
      </c>
      <c r="BH14" t="s">
        <v>1344</v>
      </c>
      <c r="BI14" s="1557">
        <v>45951</v>
      </c>
      <c r="BJ14" t="s">
        <v>2419</v>
      </c>
      <c r="BK14" t="s">
        <v>2398</v>
      </c>
      <c r="BL14">
        <v>8</v>
      </c>
      <c r="BM14" s="155">
        <v>45950</v>
      </c>
      <c r="BN14" s="155">
        <f t="shared" si="0"/>
        <v>45950</v>
      </c>
      <c r="BT14" s="1569"/>
      <c r="BU14" s="1567" t="s">
        <v>2478</v>
      </c>
    </row>
    <row r="15" spans="1:73" ht="16.95" customHeight="1" thickBot="1" x14ac:dyDescent="0.35">
      <c r="A15" t="s">
        <v>465</v>
      </c>
      <c r="B15" s="1191" t="s">
        <v>307</v>
      </c>
      <c r="C15" s="1191" t="s">
        <v>532</v>
      </c>
      <c r="D15" s="1191" t="s">
        <v>407</v>
      </c>
      <c r="E15" s="1192">
        <v>96</v>
      </c>
      <c r="F15" s="1191" t="s">
        <v>234</v>
      </c>
      <c r="G15" s="1049">
        <v>240</v>
      </c>
      <c r="H15" s="1052">
        <v>3</v>
      </c>
      <c r="I15" s="1052"/>
      <c r="J15" s="1052"/>
      <c r="K15" s="8"/>
      <c r="L15" s="8" t="s">
        <v>467</v>
      </c>
      <c r="N15" s="8">
        <v>7</v>
      </c>
      <c r="O15" s="8" t="s">
        <v>468</v>
      </c>
      <c r="P15" s="8"/>
      <c r="Q15" s="8" t="s">
        <v>469</v>
      </c>
      <c r="X15" s="8" t="s">
        <v>470</v>
      </c>
      <c r="AH15" s="416" t="str">
        <f>IF(OR('1. Project Inputs'!$C$18="Consulting",'1. Project Inputs'!$C$18="Digital - MarTech Consulting/Strategy")=TRUE,'1. Project Inputs'!C41,IF('1. Project Inputs'!$C$18="Select",'1. Project Inputs'!C41,""))</f>
        <v>[Estimated Bucket 8]</v>
      </c>
      <c r="AN15" t="s">
        <v>411</v>
      </c>
      <c r="AO15" t="s">
        <v>411</v>
      </c>
      <c r="AP15" t="s">
        <v>1967</v>
      </c>
      <c r="AQ15" t="s">
        <v>1967</v>
      </c>
      <c r="AR15" t="s">
        <v>1938</v>
      </c>
      <c r="BA15" s="8" t="s">
        <v>2029</v>
      </c>
      <c r="BB15" s="8" t="s">
        <v>447</v>
      </c>
      <c r="BG15" t="s">
        <v>443</v>
      </c>
      <c r="BH15" t="s">
        <v>1344</v>
      </c>
      <c r="BI15" s="1557">
        <v>46016</v>
      </c>
      <c r="BJ15" t="s">
        <v>2411</v>
      </c>
      <c r="BK15" t="s">
        <v>2398</v>
      </c>
      <c r="BL15">
        <v>8</v>
      </c>
      <c r="BM15" s="155">
        <v>46013</v>
      </c>
      <c r="BN15" s="155">
        <f t="shared" si="0"/>
        <v>46013</v>
      </c>
      <c r="BT15" s="1570" t="s">
        <v>2465</v>
      </c>
      <c r="BU15" s="1567" t="s">
        <v>2479</v>
      </c>
    </row>
    <row r="16" spans="1:73" ht="13.05" customHeight="1" thickBot="1" x14ac:dyDescent="0.35">
      <c r="A16" t="s">
        <v>346</v>
      </c>
      <c r="B16" s="1191" t="s">
        <v>307</v>
      </c>
      <c r="C16" s="1191" t="s">
        <v>517</v>
      </c>
      <c r="D16" s="1191" t="s">
        <v>505</v>
      </c>
      <c r="E16" s="1192">
        <v>128</v>
      </c>
      <c r="F16" s="215" t="s">
        <v>234</v>
      </c>
      <c r="G16" s="1049">
        <v>300</v>
      </c>
      <c r="H16" s="1052">
        <v>4</v>
      </c>
      <c r="I16" s="1052"/>
      <c r="J16" s="1052"/>
      <c r="K16" s="8"/>
      <c r="L16" s="8" t="s">
        <v>472</v>
      </c>
      <c r="N16" s="8"/>
      <c r="O16" s="8" t="s">
        <v>473</v>
      </c>
      <c r="P16" s="8"/>
      <c r="Q16" s="8" t="s">
        <v>1926</v>
      </c>
      <c r="S16" s="215"/>
      <c r="T16" s="215"/>
      <c r="AH16" s="416" t="str">
        <f>IF(OR('1. Project Inputs'!$C$18="Consulting",'1. Project Inputs'!$C$18="Digital - MarTech Consulting/Strategy")=TRUE,'1. Project Inputs'!C42,IF('1. Project Inputs'!$C$18="Select",'1. Project Inputs'!C42,""))</f>
        <v>[Estimated Bucket 9]</v>
      </c>
      <c r="AN16" t="s">
        <v>411</v>
      </c>
      <c r="AO16" t="s">
        <v>411</v>
      </c>
      <c r="AP16" t="s">
        <v>1967</v>
      </c>
      <c r="AQ16" t="s">
        <v>1967</v>
      </c>
      <c r="AR16" t="s">
        <v>1939</v>
      </c>
      <c r="BA16" s="8" t="s">
        <v>439</v>
      </c>
      <c r="BB16" s="8" t="s">
        <v>439</v>
      </c>
      <c r="BG16" t="s">
        <v>432</v>
      </c>
      <c r="BH16" t="s">
        <v>434</v>
      </c>
      <c r="BI16" s="1557">
        <v>45658</v>
      </c>
      <c r="BJ16" t="s">
        <v>2420</v>
      </c>
      <c r="BK16" t="s">
        <v>2398</v>
      </c>
      <c r="BL16">
        <v>8</v>
      </c>
      <c r="BM16" s="155">
        <v>45656</v>
      </c>
      <c r="BN16" s="155">
        <f t="shared" si="0"/>
        <v>45656</v>
      </c>
      <c r="BT16" s="1569"/>
      <c r="BU16" s="1567" t="s">
        <v>2480</v>
      </c>
    </row>
    <row r="17" spans="2:66" ht="13.05" customHeight="1" x14ac:dyDescent="0.3">
      <c r="B17" s="1191" t="s">
        <v>307</v>
      </c>
      <c r="C17" s="1191" t="s">
        <v>517</v>
      </c>
      <c r="D17" s="1191" t="s">
        <v>498</v>
      </c>
      <c r="E17" s="1192">
        <v>172</v>
      </c>
      <c r="F17" s="1191" t="s">
        <v>234</v>
      </c>
      <c r="G17" s="1049">
        <v>350</v>
      </c>
      <c r="H17" s="1051">
        <v>5</v>
      </c>
      <c r="I17" s="1051"/>
      <c r="J17" s="1051"/>
      <c r="K17" s="8"/>
      <c r="L17" s="8" t="s">
        <v>475</v>
      </c>
      <c r="N17" s="8"/>
      <c r="O17" s="8" t="s">
        <v>476</v>
      </c>
      <c r="P17" s="8"/>
      <c r="Q17" s="8" t="s">
        <v>477</v>
      </c>
      <c r="S17" s="215"/>
      <c r="T17" s="215"/>
      <c r="AH17" s="416" t="str">
        <f>IF(OR('1. Project Inputs'!$C$18="Consulting",'1. Project Inputs'!$C$18="Digital - MarTech Consulting/Strategy")=TRUE,'1. Project Inputs'!C43,IF('1. Project Inputs'!$C$18="Select",'1. Project Inputs'!C43,""))</f>
        <v>[Estimated Bucket 10]</v>
      </c>
      <c r="AN17" t="s">
        <v>411</v>
      </c>
      <c r="AO17" t="s">
        <v>411</v>
      </c>
      <c r="AP17" t="s">
        <v>1929</v>
      </c>
      <c r="AQ17" t="s">
        <v>1929</v>
      </c>
      <c r="AR17" t="s">
        <v>1940</v>
      </c>
      <c r="BA17" s="8" t="s">
        <v>462</v>
      </c>
      <c r="BB17" s="8" t="s">
        <v>462</v>
      </c>
      <c r="BG17" t="s">
        <v>432</v>
      </c>
      <c r="BH17" t="s">
        <v>434</v>
      </c>
      <c r="BI17" s="1557">
        <v>45663</v>
      </c>
      <c r="BJ17" t="s">
        <v>2421</v>
      </c>
      <c r="BK17" t="s">
        <v>2398</v>
      </c>
      <c r="BL17">
        <v>8</v>
      </c>
      <c r="BM17" s="155">
        <v>45663</v>
      </c>
      <c r="BN17" s="155">
        <f t="shared" si="0"/>
        <v>45663</v>
      </c>
    </row>
    <row r="18" spans="2:66" ht="13.05" customHeight="1" x14ac:dyDescent="0.3">
      <c r="B18" s="1191" t="s">
        <v>307</v>
      </c>
      <c r="C18" s="1191" t="s">
        <v>517</v>
      </c>
      <c r="D18" s="215" t="s">
        <v>572</v>
      </c>
      <c r="E18" s="1190">
        <v>257</v>
      </c>
      <c r="F18" s="1191" t="s">
        <v>234</v>
      </c>
      <c r="G18" s="1050">
        <v>390</v>
      </c>
      <c r="H18" s="1052">
        <v>6</v>
      </c>
      <c r="I18" s="1052"/>
      <c r="J18" s="1052"/>
      <c r="K18" s="8"/>
      <c r="L18" s="8" t="s">
        <v>479</v>
      </c>
      <c r="N18" s="8"/>
      <c r="O18" s="8" t="s">
        <v>437</v>
      </c>
      <c r="P18" s="8"/>
      <c r="Q18" s="8" t="s">
        <v>428</v>
      </c>
      <c r="S18" s="215"/>
      <c r="T18" s="215"/>
      <c r="AH18" s="416" t="str">
        <f>IF(OR('1. Project Inputs'!$C$18="Consulting",'1. Project Inputs'!$C$18="Digital - MarTech Consulting/Strategy")=TRUE,'1. Project Inputs'!C44,IF('1. Project Inputs'!$C$18="Select",'1. Project Inputs'!C44,""))</f>
        <v>[Estimated Bucket 11]</v>
      </c>
      <c r="AN18" t="s">
        <v>411</v>
      </c>
      <c r="AO18" t="s">
        <v>411</v>
      </c>
      <c r="AP18" t="s">
        <v>1929</v>
      </c>
      <c r="AQ18" t="s">
        <v>1929</v>
      </c>
      <c r="AR18" t="s">
        <v>1941</v>
      </c>
      <c r="BA18" s="8" t="s">
        <v>469</v>
      </c>
      <c r="BB18" s="8" t="s">
        <v>469</v>
      </c>
      <c r="BG18" t="s">
        <v>432</v>
      </c>
      <c r="BH18" t="s">
        <v>434</v>
      </c>
      <c r="BI18" s="1557">
        <v>45740</v>
      </c>
      <c r="BJ18" t="s">
        <v>2422</v>
      </c>
      <c r="BK18" t="s">
        <v>2398</v>
      </c>
      <c r="BL18">
        <v>8</v>
      </c>
      <c r="BM18" s="155">
        <v>45740</v>
      </c>
      <c r="BN18" s="155">
        <f t="shared" si="0"/>
        <v>45740</v>
      </c>
    </row>
    <row r="19" spans="2:66" ht="13.05" customHeight="1" x14ac:dyDescent="0.3">
      <c r="B19" s="1191" t="s">
        <v>307</v>
      </c>
      <c r="C19" s="215" t="s">
        <v>433</v>
      </c>
      <c r="D19" s="1191" t="s">
        <v>420</v>
      </c>
      <c r="E19" s="1190">
        <v>77</v>
      </c>
      <c r="F19" s="215" t="s">
        <v>234</v>
      </c>
      <c r="G19" s="1049">
        <v>200</v>
      </c>
      <c r="H19" s="1052">
        <v>2</v>
      </c>
      <c r="I19" s="1052"/>
      <c r="J19" s="1052"/>
      <c r="K19" s="8"/>
      <c r="L19" s="8" t="s">
        <v>481</v>
      </c>
      <c r="N19" s="8"/>
      <c r="O19" s="8" t="s">
        <v>482</v>
      </c>
      <c r="P19" s="8"/>
      <c r="Q19" s="8" t="s">
        <v>1927</v>
      </c>
      <c r="AH19" s="416" t="str">
        <f>IF(OR('1. Project Inputs'!$C$18="Consulting",'1. Project Inputs'!$C$18="Digital - MarTech Consulting/Strategy")=TRUE,'1. Project Inputs'!C45,IF('1. Project Inputs'!$C$18="Select",'1. Project Inputs'!C45,""))</f>
        <v>[Estimated Bucket 12]</v>
      </c>
      <c r="AN19" t="s">
        <v>411</v>
      </c>
      <c r="AO19" t="s">
        <v>411</v>
      </c>
      <c r="AP19" t="s">
        <v>1968</v>
      </c>
      <c r="AQ19" t="s">
        <v>1968</v>
      </c>
      <c r="AR19" t="s">
        <v>1942</v>
      </c>
      <c r="BA19" s="8" t="s">
        <v>1926</v>
      </c>
      <c r="BB19" s="8" t="s">
        <v>1926</v>
      </c>
      <c r="BG19" t="s">
        <v>432</v>
      </c>
      <c r="BH19" t="s">
        <v>434</v>
      </c>
      <c r="BI19" s="1557">
        <v>45764</v>
      </c>
      <c r="BJ19" t="s">
        <v>2423</v>
      </c>
      <c r="BK19" t="s">
        <v>2398</v>
      </c>
      <c r="BL19">
        <v>8</v>
      </c>
      <c r="BM19" s="155">
        <v>45761</v>
      </c>
      <c r="BN19" s="155">
        <f t="shared" si="0"/>
        <v>45761</v>
      </c>
    </row>
    <row r="20" spans="2:66" ht="13.05" customHeight="1" x14ac:dyDescent="0.3">
      <c r="B20" s="215" t="s">
        <v>307</v>
      </c>
      <c r="C20" s="215" t="s">
        <v>433</v>
      </c>
      <c r="D20" s="215" t="s">
        <v>407</v>
      </c>
      <c r="E20" s="1190">
        <v>96</v>
      </c>
      <c r="F20" s="215" t="s">
        <v>234</v>
      </c>
      <c r="G20" s="1050">
        <v>240</v>
      </c>
      <c r="H20" s="1195">
        <v>3</v>
      </c>
      <c r="I20" s="1195"/>
      <c r="J20" s="1195"/>
      <c r="K20" s="8"/>
      <c r="L20" s="8" t="s">
        <v>484</v>
      </c>
      <c r="M20" s="8"/>
      <c r="N20" s="8"/>
      <c r="O20" s="8" t="s">
        <v>425</v>
      </c>
      <c r="P20" s="8"/>
      <c r="Q20" s="8" t="s">
        <v>1928</v>
      </c>
      <c r="AH20" s="416" t="str">
        <f>IF(OR('1. Project Inputs'!$C$18="Consulting",'1. Project Inputs'!$C$18="Digital - MarTech Consulting/Strategy")=TRUE,'1. Project Inputs'!C46,IF('1. Project Inputs'!$C$18="Select",'1. Project Inputs'!C46,""))</f>
        <v>[Estimated Bucket 13]</v>
      </c>
      <c r="AN20" t="s">
        <v>411</v>
      </c>
      <c r="AO20" t="s">
        <v>411</v>
      </c>
      <c r="AP20" t="s">
        <v>1968</v>
      </c>
      <c r="AQ20" t="s">
        <v>1968</v>
      </c>
      <c r="AR20" t="s">
        <v>1943</v>
      </c>
      <c r="BA20" s="8" t="s">
        <v>477</v>
      </c>
      <c r="BB20" s="8" t="s">
        <v>477</v>
      </c>
      <c r="BG20" t="s">
        <v>432</v>
      </c>
      <c r="BH20" t="s">
        <v>434</v>
      </c>
      <c r="BI20" s="1557">
        <v>45765</v>
      </c>
      <c r="BJ20" t="s">
        <v>2424</v>
      </c>
      <c r="BK20" t="s">
        <v>2398</v>
      </c>
      <c r="BL20">
        <v>8</v>
      </c>
      <c r="BM20" s="155">
        <v>45761</v>
      </c>
      <c r="BN20" s="155">
        <f t="shared" si="0"/>
        <v>45761</v>
      </c>
    </row>
    <row r="21" spans="2:66" ht="13.05" customHeight="1" x14ac:dyDescent="0.3">
      <c r="B21" s="215" t="s">
        <v>307</v>
      </c>
      <c r="C21" s="1191" t="s">
        <v>308</v>
      </c>
      <c r="D21" s="1191" t="s">
        <v>420</v>
      </c>
      <c r="E21" s="1190">
        <v>77</v>
      </c>
      <c r="F21" s="215" t="s">
        <v>234</v>
      </c>
      <c r="G21" s="1049">
        <v>200</v>
      </c>
      <c r="H21" s="1194">
        <v>2</v>
      </c>
      <c r="I21" s="1194"/>
      <c r="J21" s="1194"/>
      <c r="K21" s="8"/>
      <c r="L21" s="8"/>
      <c r="M21" s="8"/>
      <c r="N21" s="8"/>
      <c r="O21" s="8" t="s">
        <v>486</v>
      </c>
      <c r="P21" s="8"/>
      <c r="AH21" s="416" t="str">
        <f>IF(OR('1. Project Inputs'!$C$18="Consulting",'1. Project Inputs'!$C$18="Digital - MarTech Consulting/Strategy")=TRUE,'1. Project Inputs'!C47,IF('1. Project Inputs'!$C$18="Select",'1. Project Inputs'!C47,""))</f>
        <v>[Estimated Bucket 14]</v>
      </c>
      <c r="AN21" t="s">
        <v>411</v>
      </c>
      <c r="AO21" t="s">
        <v>411</v>
      </c>
      <c r="AP21" t="s">
        <v>1968</v>
      </c>
      <c r="AQ21" t="s">
        <v>1968</v>
      </c>
      <c r="AR21" t="s">
        <v>1944</v>
      </c>
      <c r="BA21" s="8" t="s">
        <v>428</v>
      </c>
      <c r="BB21" s="8" t="s">
        <v>428</v>
      </c>
      <c r="BG21" t="s">
        <v>432</v>
      </c>
      <c r="BH21" t="s">
        <v>434</v>
      </c>
      <c r="BI21" s="1557">
        <v>45778</v>
      </c>
      <c r="BJ21" t="s">
        <v>2425</v>
      </c>
      <c r="BK21" t="s">
        <v>2398</v>
      </c>
      <c r="BL21">
        <v>8</v>
      </c>
      <c r="BM21" s="155">
        <v>45775</v>
      </c>
      <c r="BN21" s="155">
        <f t="shared" si="0"/>
        <v>45775</v>
      </c>
    </row>
    <row r="22" spans="2:66" ht="13.05" customHeight="1" x14ac:dyDescent="0.3">
      <c r="B22" s="1191" t="s">
        <v>307</v>
      </c>
      <c r="C22" s="1191" t="s">
        <v>308</v>
      </c>
      <c r="D22" s="1191" t="s">
        <v>407</v>
      </c>
      <c r="E22" s="1192">
        <v>96</v>
      </c>
      <c r="F22" s="1191" t="s">
        <v>234</v>
      </c>
      <c r="G22" s="1049">
        <v>240</v>
      </c>
      <c r="H22" s="1193">
        <v>3</v>
      </c>
      <c r="I22" s="1193"/>
      <c r="J22" s="1193"/>
      <c r="K22" s="8"/>
      <c r="L22" s="8"/>
      <c r="M22" s="8"/>
      <c r="N22" s="8"/>
      <c r="O22" s="8" t="s">
        <v>488</v>
      </c>
      <c r="P22" s="8"/>
      <c r="AH22" s="416" t="str">
        <f>IF(OR('1. Project Inputs'!$C$18="Consulting",'1. Project Inputs'!$C$18="Digital - MarTech Consulting/Strategy")=TRUE,'1. Project Inputs'!C48,IF('1. Project Inputs'!$C$18="Select",'1. Project Inputs'!C48,""))</f>
        <v>[Estimated Bucket 15]</v>
      </c>
      <c r="AN22" t="s">
        <v>411</v>
      </c>
      <c r="AO22" t="s">
        <v>411</v>
      </c>
      <c r="AP22" t="s">
        <v>1968</v>
      </c>
      <c r="AQ22" t="s">
        <v>1968</v>
      </c>
      <c r="AR22" t="s">
        <v>1945</v>
      </c>
      <c r="BA22" s="8" t="s">
        <v>1927</v>
      </c>
      <c r="BB22" s="8" t="s">
        <v>1927</v>
      </c>
      <c r="BG22" t="s">
        <v>432</v>
      </c>
      <c r="BH22" t="s">
        <v>434</v>
      </c>
      <c r="BI22" s="1557">
        <v>45810</v>
      </c>
      <c r="BJ22" t="s">
        <v>2426</v>
      </c>
      <c r="BK22" t="s">
        <v>2398</v>
      </c>
      <c r="BL22">
        <v>8</v>
      </c>
      <c r="BM22" s="155">
        <v>45810</v>
      </c>
      <c r="BN22" s="155">
        <f t="shared" si="0"/>
        <v>45810</v>
      </c>
    </row>
    <row r="23" spans="2:66" ht="13.05" customHeight="1" x14ac:dyDescent="0.3">
      <c r="B23" s="1191" t="s">
        <v>307</v>
      </c>
      <c r="C23" s="215" t="s">
        <v>452</v>
      </c>
      <c r="D23" s="1191" t="s">
        <v>420</v>
      </c>
      <c r="E23" s="1190">
        <v>77</v>
      </c>
      <c r="F23" s="215" t="s">
        <v>234</v>
      </c>
      <c r="G23" s="1049">
        <v>200</v>
      </c>
      <c r="H23" s="1194">
        <v>2</v>
      </c>
      <c r="I23" s="1194"/>
      <c r="J23" s="1194"/>
      <c r="K23" s="8"/>
      <c r="L23" s="8"/>
      <c r="M23" s="8"/>
      <c r="N23" s="8"/>
      <c r="O23" s="8" t="s">
        <v>490</v>
      </c>
      <c r="P23" s="8"/>
      <c r="AH23" s="416" t="str">
        <f>IF(OR('1. Project Inputs'!$C$18="Consulting",'1. Project Inputs'!$C$18="Digital - MarTech Consulting/Strategy")=TRUE,'1. Project Inputs'!C49,IF('1. Project Inputs'!$C$18="Select",'1. Project Inputs'!C49,""))</f>
        <v>[Estimated Bucket 16]</v>
      </c>
      <c r="AN23" t="s">
        <v>411</v>
      </c>
      <c r="AO23" t="s">
        <v>411</v>
      </c>
      <c r="AP23" t="s">
        <v>1968</v>
      </c>
      <c r="AQ23" t="s">
        <v>1968</v>
      </c>
      <c r="AR23" t="s">
        <v>1946</v>
      </c>
      <c r="BA23" s="8" t="s">
        <v>1928</v>
      </c>
      <c r="BB23" s="8" t="s">
        <v>1928</v>
      </c>
      <c r="BG23" t="s">
        <v>432</v>
      </c>
      <c r="BH23" t="s">
        <v>434</v>
      </c>
      <c r="BI23" s="1557">
        <v>45827</v>
      </c>
      <c r="BJ23" t="s">
        <v>2403</v>
      </c>
      <c r="BK23" t="s">
        <v>2398</v>
      </c>
      <c r="BL23">
        <v>8</v>
      </c>
      <c r="BM23" s="155">
        <v>45824</v>
      </c>
      <c r="BN23" s="155">
        <f t="shared" si="0"/>
        <v>45824</v>
      </c>
    </row>
    <row r="24" spans="2:66" ht="13.05" customHeight="1" x14ac:dyDescent="0.3">
      <c r="B24" s="215" t="s">
        <v>307</v>
      </c>
      <c r="C24" s="215" t="s">
        <v>452</v>
      </c>
      <c r="D24" s="215" t="s">
        <v>407</v>
      </c>
      <c r="E24" s="1190">
        <v>96</v>
      </c>
      <c r="F24" s="215" t="s">
        <v>234</v>
      </c>
      <c r="G24" s="1050">
        <v>240</v>
      </c>
      <c r="H24" s="1195">
        <v>3</v>
      </c>
      <c r="I24" s="1195"/>
      <c r="J24" s="1195"/>
      <c r="K24" s="8"/>
      <c r="L24" s="8"/>
      <c r="M24" s="8"/>
      <c r="N24" s="8"/>
      <c r="O24" s="8" t="s">
        <v>492</v>
      </c>
      <c r="P24" s="8"/>
      <c r="AH24" s="416" t="str">
        <f>IF(OR('1. Project Inputs'!$C$18="Consulting",'1. Project Inputs'!$C$18="Digital - MarTech Consulting/Strategy")=TRUE,'1. Project Inputs'!C50,IF('1. Project Inputs'!$C$18="Select",'1. Project Inputs'!C50,""))</f>
        <v>[Estimated Bucket 17]</v>
      </c>
      <c r="AN24" t="s">
        <v>411</v>
      </c>
      <c r="AO24" t="s">
        <v>411</v>
      </c>
      <c r="AP24" t="s">
        <v>1969</v>
      </c>
      <c r="AQ24" t="s">
        <v>1969</v>
      </c>
      <c r="AR24" t="s">
        <v>1947</v>
      </c>
      <c r="BG24" t="s">
        <v>432</v>
      </c>
      <c r="BH24" t="s">
        <v>434</v>
      </c>
      <c r="BI24" s="1557">
        <v>45831</v>
      </c>
      <c r="BJ24" t="s">
        <v>2427</v>
      </c>
      <c r="BK24" t="s">
        <v>2398</v>
      </c>
      <c r="BL24">
        <v>8</v>
      </c>
      <c r="BM24" s="155">
        <v>45831</v>
      </c>
      <c r="BN24" s="155">
        <f t="shared" si="0"/>
        <v>45831</v>
      </c>
    </row>
    <row r="25" spans="2:66" ht="13.05" customHeight="1" x14ac:dyDescent="0.3">
      <c r="B25" s="215" t="s">
        <v>307</v>
      </c>
      <c r="C25" s="1191" t="s">
        <v>460</v>
      </c>
      <c r="D25" s="1191" t="s">
        <v>420</v>
      </c>
      <c r="E25" s="1190">
        <v>77</v>
      </c>
      <c r="F25" s="215" t="s">
        <v>234</v>
      </c>
      <c r="G25" s="1049">
        <v>200</v>
      </c>
      <c r="H25" s="1194">
        <v>2</v>
      </c>
      <c r="I25" s="1194"/>
      <c r="J25" s="1194"/>
      <c r="K25" s="8"/>
      <c r="L25" s="8"/>
      <c r="M25" s="8"/>
      <c r="N25" s="8"/>
      <c r="O25" s="8" t="s">
        <v>494</v>
      </c>
      <c r="P25" s="8"/>
      <c r="AH25" s="416" t="str">
        <f>IF(OR('1. Project Inputs'!$C$18="Consulting",'1. Project Inputs'!$C$18="Digital - MarTech Consulting/Strategy")=TRUE,'1. Project Inputs'!C51,IF('1. Project Inputs'!$C$18="Select",'1. Project Inputs'!C51,""))</f>
        <v>[Estimated Bucket 18]</v>
      </c>
      <c r="AN25" t="s">
        <v>411</v>
      </c>
      <c r="AO25" t="s">
        <v>411</v>
      </c>
      <c r="AP25" t="s">
        <v>1970</v>
      </c>
      <c r="AQ25" t="s">
        <v>1970</v>
      </c>
      <c r="AR25" t="s">
        <v>1948</v>
      </c>
      <c r="BG25" t="s">
        <v>432</v>
      </c>
      <c r="BH25" t="s">
        <v>434</v>
      </c>
      <c r="BI25" s="1557">
        <v>45838</v>
      </c>
      <c r="BJ25" t="s">
        <v>2428</v>
      </c>
      <c r="BK25" t="s">
        <v>2398</v>
      </c>
      <c r="BL25">
        <v>8</v>
      </c>
      <c r="BM25" s="155">
        <v>45838</v>
      </c>
      <c r="BN25" s="155">
        <f t="shared" si="0"/>
        <v>45838</v>
      </c>
    </row>
    <row r="26" spans="2:66" ht="13.05" customHeight="1" x14ac:dyDescent="0.3">
      <c r="B26" s="1191" t="s">
        <v>307</v>
      </c>
      <c r="C26" s="1191" t="s">
        <v>460</v>
      </c>
      <c r="D26" s="1191" t="s">
        <v>407</v>
      </c>
      <c r="E26" s="1192">
        <v>96</v>
      </c>
      <c r="F26" s="1191" t="s">
        <v>234</v>
      </c>
      <c r="G26" s="1049">
        <v>240</v>
      </c>
      <c r="H26" s="1193">
        <v>3</v>
      </c>
      <c r="I26" s="1193"/>
      <c r="J26" s="1193"/>
      <c r="K26" s="8"/>
      <c r="L26" s="8"/>
      <c r="N26" s="8"/>
      <c r="O26" s="8" t="s">
        <v>496</v>
      </c>
      <c r="P26" s="8"/>
      <c r="AH26" s="416" t="str">
        <f>IF(OR('1. Project Inputs'!$C$18="Consulting",'1. Project Inputs'!$C$18="Digital - MarTech Consulting/Strategy")=TRUE,'1. Project Inputs'!C52,IF('1. Project Inputs'!$C$18="Select",'1. Project Inputs'!C52,""))</f>
        <v>[Estimated Bucket 19]</v>
      </c>
      <c r="AN26" t="s">
        <v>411</v>
      </c>
      <c r="AO26" t="s">
        <v>411</v>
      </c>
      <c r="AP26" t="s">
        <v>1970</v>
      </c>
      <c r="AQ26" t="s">
        <v>1970</v>
      </c>
      <c r="AR26" t="s">
        <v>1949</v>
      </c>
      <c r="BG26" t="s">
        <v>432</v>
      </c>
      <c r="BH26" t="s">
        <v>434</v>
      </c>
      <c r="BI26" s="1557">
        <v>45858</v>
      </c>
      <c r="BJ26" t="s">
        <v>2404</v>
      </c>
      <c r="BK26" t="s">
        <v>2398</v>
      </c>
      <c r="BL26">
        <v>8</v>
      </c>
      <c r="BM26" s="155">
        <v>45859</v>
      </c>
      <c r="BN26" s="155">
        <f t="shared" si="0"/>
        <v>45859</v>
      </c>
    </row>
    <row r="27" spans="2:66" ht="13.05" customHeight="1" x14ac:dyDescent="0.3">
      <c r="B27" s="215" t="s">
        <v>307</v>
      </c>
      <c r="C27" s="215" t="s">
        <v>497</v>
      </c>
      <c r="D27" s="215" t="s">
        <v>505</v>
      </c>
      <c r="E27" s="1190">
        <v>128</v>
      </c>
      <c r="F27" s="1191" t="s">
        <v>234</v>
      </c>
      <c r="G27" s="1050">
        <v>300</v>
      </c>
      <c r="H27" s="1194">
        <v>4</v>
      </c>
      <c r="I27" s="1194"/>
      <c r="J27" s="1194"/>
      <c r="K27" s="8"/>
      <c r="L27" s="8"/>
      <c r="M27" s="8"/>
      <c r="N27" s="8"/>
      <c r="O27" s="8" t="s">
        <v>499</v>
      </c>
      <c r="P27" s="8"/>
      <c r="AH27" s="416" t="str">
        <f>IF(OR('1. Project Inputs'!$C$18="Consulting",'1. Project Inputs'!$C$18="Digital - MarTech Consulting/Strategy")=TRUE,'1. Project Inputs'!C53,IF('1. Project Inputs'!$C$18="Select",'1. Project Inputs'!C53,""))</f>
        <v>[Estimated Bucket 20]</v>
      </c>
      <c r="AN27" t="s">
        <v>411</v>
      </c>
      <c r="AO27" t="s">
        <v>411</v>
      </c>
      <c r="AP27" t="s">
        <v>1970</v>
      </c>
      <c r="AQ27" t="s">
        <v>1970</v>
      </c>
      <c r="AR27" t="s">
        <v>1950</v>
      </c>
      <c r="BG27" t="s">
        <v>432</v>
      </c>
      <c r="BH27" t="s">
        <v>434</v>
      </c>
      <c r="BI27" s="1557">
        <v>45876</v>
      </c>
      <c r="BJ27" t="s">
        <v>2429</v>
      </c>
      <c r="BK27" t="s">
        <v>2398</v>
      </c>
      <c r="BL27">
        <v>8</v>
      </c>
      <c r="BM27" s="155">
        <v>45873</v>
      </c>
      <c r="BN27" s="155">
        <f t="shared" si="0"/>
        <v>45873</v>
      </c>
    </row>
    <row r="28" spans="2:66" ht="13.05" customHeight="1" x14ac:dyDescent="0.3">
      <c r="B28" s="215" t="s">
        <v>307</v>
      </c>
      <c r="C28" s="215" t="s">
        <v>497</v>
      </c>
      <c r="D28" s="215" t="s">
        <v>498</v>
      </c>
      <c r="E28" s="1190">
        <v>172</v>
      </c>
      <c r="F28" s="215" t="s">
        <v>234</v>
      </c>
      <c r="G28" s="1050">
        <v>350</v>
      </c>
      <c r="H28" s="1052">
        <v>5</v>
      </c>
      <c r="I28" s="1052"/>
      <c r="J28" s="1052"/>
      <c r="K28" s="8"/>
      <c r="L28" s="8"/>
      <c r="M28" s="8"/>
      <c r="N28" s="8"/>
      <c r="O28" s="8" t="s">
        <v>501</v>
      </c>
      <c r="P28" s="8"/>
      <c r="AH28" s="416" t="str">
        <f>IF('1. Project Inputs'!F34="Manual Entry","",'1. Project Inputs'!F34)</f>
        <v/>
      </c>
      <c r="AN28" t="s">
        <v>411</v>
      </c>
      <c r="AO28" t="s">
        <v>411</v>
      </c>
      <c r="AP28" t="s">
        <v>1970</v>
      </c>
      <c r="AQ28" t="s">
        <v>1970</v>
      </c>
      <c r="AR28" t="s">
        <v>1951</v>
      </c>
      <c r="BG28" t="s">
        <v>432</v>
      </c>
      <c r="BH28" t="s">
        <v>434</v>
      </c>
      <c r="BI28" s="1557">
        <v>45887</v>
      </c>
      <c r="BJ28" t="s">
        <v>2430</v>
      </c>
      <c r="BK28" t="s">
        <v>2398</v>
      </c>
      <c r="BL28">
        <v>8</v>
      </c>
      <c r="BM28" s="155">
        <v>45887</v>
      </c>
      <c r="BN28" s="155">
        <f t="shared" si="0"/>
        <v>45887</v>
      </c>
    </row>
    <row r="29" spans="2:66" ht="13.05" customHeight="1" x14ac:dyDescent="0.3">
      <c r="B29" s="215" t="s">
        <v>307</v>
      </c>
      <c r="C29" s="215" t="s">
        <v>497</v>
      </c>
      <c r="D29" s="215" t="s">
        <v>572</v>
      </c>
      <c r="E29" s="1190">
        <v>257</v>
      </c>
      <c r="F29" s="215" t="s">
        <v>234</v>
      </c>
      <c r="G29" s="1050">
        <v>390</v>
      </c>
      <c r="H29" s="1052">
        <v>6</v>
      </c>
      <c r="I29" s="1052"/>
      <c r="J29" s="1052"/>
      <c r="K29" s="8"/>
      <c r="L29" s="8"/>
      <c r="M29" s="8"/>
      <c r="N29" s="8"/>
      <c r="O29" s="8" t="s">
        <v>503</v>
      </c>
      <c r="P29" s="8"/>
      <c r="AH29" s="416" t="str">
        <f>IF('1. Project Inputs'!F35="Manual Entry","",'1. Project Inputs'!F35)</f>
        <v/>
      </c>
      <c r="AN29" t="s">
        <v>411</v>
      </c>
      <c r="AO29" t="s">
        <v>411</v>
      </c>
      <c r="AP29" t="s">
        <v>1971</v>
      </c>
      <c r="AQ29" t="s">
        <v>1971</v>
      </c>
      <c r="AR29" t="s">
        <v>1952</v>
      </c>
      <c r="BG29" t="s">
        <v>432</v>
      </c>
      <c r="BH29" t="s">
        <v>434</v>
      </c>
      <c r="BI29" s="1557">
        <v>45930</v>
      </c>
      <c r="BJ29" t="s">
        <v>2431</v>
      </c>
      <c r="BK29" t="s">
        <v>2398</v>
      </c>
      <c r="BL29">
        <v>8</v>
      </c>
      <c r="BM29" s="155">
        <v>45929</v>
      </c>
      <c r="BN29" s="155">
        <f t="shared" si="0"/>
        <v>45929</v>
      </c>
    </row>
    <row r="30" spans="2:66" ht="13.05" customHeight="1" x14ac:dyDescent="0.3">
      <c r="B30" s="215" t="s">
        <v>307</v>
      </c>
      <c r="C30" s="215" t="s">
        <v>565</v>
      </c>
      <c r="D30" s="215" t="s">
        <v>1924</v>
      </c>
      <c r="E30" s="1190">
        <v>128</v>
      </c>
      <c r="F30" s="215" t="s">
        <v>234</v>
      </c>
      <c r="G30" s="1050">
        <v>300</v>
      </c>
      <c r="H30" s="1052">
        <v>4</v>
      </c>
      <c r="I30" s="1052"/>
      <c r="J30" s="1052"/>
      <c r="K30" s="8"/>
      <c r="L30" s="8"/>
      <c r="M30" s="8"/>
      <c r="N30" s="8"/>
      <c r="O30" s="8" t="s">
        <v>506</v>
      </c>
      <c r="P30" s="8"/>
      <c r="Q30" s="8"/>
      <c r="AH30" s="416" t="str">
        <f>IF('1. Project Inputs'!F36="Manual Entry","",'1. Project Inputs'!F36)</f>
        <v/>
      </c>
      <c r="AN30" t="s">
        <v>411</v>
      </c>
      <c r="AO30" t="s">
        <v>411</v>
      </c>
      <c r="AP30" t="s">
        <v>1971</v>
      </c>
      <c r="AQ30" t="s">
        <v>1971</v>
      </c>
      <c r="AR30" t="s">
        <v>1953</v>
      </c>
      <c r="BG30" t="s">
        <v>432</v>
      </c>
      <c r="BH30" t="s">
        <v>434</v>
      </c>
      <c r="BI30" s="1557">
        <v>45943</v>
      </c>
      <c r="BJ30" t="s">
        <v>2432</v>
      </c>
      <c r="BK30" t="s">
        <v>2398</v>
      </c>
      <c r="BL30">
        <v>8</v>
      </c>
      <c r="BM30" s="155">
        <v>45943</v>
      </c>
      <c r="BN30" s="155">
        <f t="shared" si="0"/>
        <v>45943</v>
      </c>
    </row>
    <row r="31" spans="2:66" ht="13.05" customHeight="1" x14ac:dyDescent="0.3">
      <c r="B31" s="215" t="s">
        <v>307</v>
      </c>
      <c r="C31" s="215" t="s">
        <v>565</v>
      </c>
      <c r="D31" s="1191" t="s">
        <v>1923</v>
      </c>
      <c r="E31" s="1192">
        <v>172</v>
      </c>
      <c r="F31" s="215" t="s">
        <v>234</v>
      </c>
      <c r="G31" s="1049">
        <v>350</v>
      </c>
      <c r="H31" s="1052">
        <v>5</v>
      </c>
      <c r="I31" s="1052"/>
      <c r="J31" s="1052"/>
      <c r="K31" s="8"/>
      <c r="L31" s="8"/>
      <c r="M31" s="8"/>
      <c r="N31" s="8"/>
      <c r="O31" s="8" t="s">
        <v>508</v>
      </c>
      <c r="P31" s="8"/>
      <c r="Q31" s="8"/>
      <c r="AH31" s="416" t="str">
        <f>IF('1. Project Inputs'!F37="Manual Entry","",'1. Project Inputs'!F37)</f>
        <v/>
      </c>
      <c r="AN31" t="s">
        <v>411</v>
      </c>
      <c r="AO31" t="s">
        <v>411</v>
      </c>
      <c r="AP31" t="s">
        <v>1971</v>
      </c>
      <c r="AQ31" t="s">
        <v>1971</v>
      </c>
      <c r="AR31" t="s">
        <v>1954</v>
      </c>
      <c r="BG31" t="s">
        <v>432</v>
      </c>
      <c r="BH31" t="s">
        <v>434</v>
      </c>
      <c r="BI31" s="1557">
        <v>45964</v>
      </c>
      <c r="BJ31" t="s">
        <v>2433</v>
      </c>
      <c r="BK31" t="s">
        <v>2398</v>
      </c>
      <c r="BL31">
        <v>8</v>
      </c>
      <c r="BM31" s="155">
        <v>45964</v>
      </c>
      <c r="BN31" s="155">
        <f t="shared" si="0"/>
        <v>45964</v>
      </c>
    </row>
    <row r="32" spans="2:66" ht="13.05" customHeight="1" x14ac:dyDescent="0.3">
      <c r="B32" s="1191" t="s">
        <v>307</v>
      </c>
      <c r="C32" s="215" t="s">
        <v>545</v>
      </c>
      <c r="D32" s="1191" t="s">
        <v>407</v>
      </c>
      <c r="E32" s="1192">
        <v>96</v>
      </c>
      <c r="F32" s="1191" t="s">
        <v>234</v>
      </c>
      <c r="G32" s="1049">
        <v>240</v>
      </c>
      <c r="H32" s="1194">
        <v>3</v>
      </c>
      <c r="I32" s="1194"/>
      <c r="J32" s="1194"/>
      <c r="K32" s="8"/>
      <c r="L32" s="8"/>
      <c r="M32" s="8"/>
      <c r="N32" s="8"/>
      <c r="O32" s="8" t="s">
        <v>510</v>
      </c>
      <c r="P32" s="8"/>
      <c r="Q32" s="8"/>
      <c r="AH32" s="416" t="str">
        <f>IF('1. Project Inputs'!F38="Manual Entry","",'1. Project Inputs'!F38)</f>
        <v/>
      </c>
      <c r="AN32" t="s">
        <v>411</v>
      </c>
      <c r="AO32" t="s">
        <v>411</v>
      </c>
      <c r="AP32" t="s">
        <v>1971</v>
      </c>
      <c r="AQ32" t="s">
        <v>1971</v>
      </c>
      <c r="AR32" t="s">
        <v>1955</v>
      </c>
      <c r="BG32" t="s">
        <v>432</v>
      </c>
      <c r="BH32" t="s">
        <v>434</v>
      </c>
      <c r="BI32" s="1557">
        <v>45978</v>
      </c>
      <c r="BJ32" t="s">
        <v>2434</v>
      </c>
      <c r="BK32" t="s">
        <v>2398</v>
      </c>
      <c r="BL32">
        <v>8</v>
      </c>
      <c r="BM32" s="155">
        <v>45978</v>
      </c>
      <c r="BN32" s="155">
        <f t="shared" si="0"/>
        <v>45978</v>
      </c>
    </row>
    <row r="33" spans="2:66" ht="13.05" customHeight="1" x14ac:dyDescent="0.3">
      <c r="B33" s="1191" t="s">
        <v>307</v>
      </c>
      <c r="C33" s="215" t="s">
        <v>545</v>
      </c>
      <c r="D33" s="215" t="s">
        <v>531</v>
      </c>
      <c r="E33" s="1190">
        <v>128</v>
      </c>
      <c r="F33" s="215" t="s">
        <v>234</v>
      </c>
      <c r="G33" s="1050">
        <v>300</v>
      </c>
      <c r="H33" s="1052">
        <v>4</v>
      </c>
      <c r="I33" s="1052"/>
      <c r="J33" s="1052"/>
      <c r="K33" s="8"/>
      <c r="L33" s="8"/>
      <c r="M33" s="8"/>
      <c r="N33" s="8"/>
      <c r="O33" s="8" t="s">
        <v>512</v>
      </c>
      <c r="P33" s="8"/>
      <c r="Q33" s="8"/>
      <c r="AH33" s="416" t="str">
        <f>IF('1. Project Inputs'!F39="Manual Entry","",'1. Project Inputs'!F39)</f>
        <v/>
      </c>
      <c r="AN33" t="s">
        <v>411</v>
      </c>
      <c r="AO33" t="s">
        <v>411</v>
      </c>
      <c r="AP33" t="s">
        <v>1972</v>
      </c>
      <c r="AQ33" t="s">
        <v>1972</v>
      </c>
      <c r="AR33" t="s">
        <v>1956</v>
      </c>
      <c r="BG33" t="s">
        <v>432</v>
      </c>
      <c r="BH33" t="s">
        <v>434</v>
      </c>
      <c r="BI33" s="1557">
        <v>45999</v>
      </c>
      <c r="BJ33" t="s">
        <v>2435</v>
      </c>
      <c r="BK33" t="s">
        <v>2398</v>
      </c>
      <c r="BL33">
        <v>8</v>
      </c>
      <c r="BM33" s="155">
        <v>45999</v>
      </c>
      <c r="BN33" s="155">
        <f t="shared" si="0"/>
        <v>45999</v>
      </c>
    </row>
    <row r="34" spans="2:66" ht="13.05" customHeight="1" x14ac:dyDescent="0.3">
      <c r="B34" s="1191" t="s">
        <v>307</v>
      </c>
      <c r="C34" s="1191" t="s">
        <v>546</v>
      </c>
      <c r="D34" s="1191" t="s">
        <v>420</v>
      </c>
      <c r="E34" s="1192">
        <v>77</v>
      </c>
      <c r="F34" s="1191" t="s">
        <v>234</v>
      </c>
      <c r="G34" s="1049">
        <v>200</v>
      </c>
      <c r="H34" s="1051">
        <v>2</v>
      </c>
      <c r="I34" s="1051"/>
      <c r="J34" s="1051"/>
      <c r="K34" s="8"/>
      <c r="L34" s="8"/>
      <c r="M34" s="8"/>
      <c r="N34" s="8"/>
      <c r="O34" s="8" t="s">
        <v>514</v>
      </c>
      <c r="P34" s="8"/>
      <c r="Q34" s="8"/>
      <c r="AH34" s="416" t="str">
        <f>IF('1. Project Inputs'!F40="Manual Entry","",'1. Project Inputs'!F40)</f>
        <v/>
      </c>
      <c r="AN34" t="s">
        <v>411</v>
      </c>
      <c r="AO34" t="s">
        <v>411</v>
      </c>
      <c r="AP34" t="s">
        <v>1972</v>
      </c>
      <c r="AQ34" t="s">
        <v>1972</v>
      </c>
      <c r="AR34" t="s">
        <v>1957</v>
      </c>
      <c r="BG34" t="s">
        <v>432</v>
      </c>
      <c r="BH34" t="s">
        <v>434</v>
      </c>
      <c r="BI34" s="1557">
        <v>46016</v>
      </c>
      <c r="BJ34" t="s">
        <v>2411</v>
      </c>
      <c r="BK34" t="s">
        <v>2398</v>
      </c>
      <c r="BL34">
        <v>8</v>
      </c>
      <c r="BM34" s="155">
        <v>46013</v>
      </c>
      <c r="BN34" s="155">
        <f t="shared" si="0"/>
        <v>46013</v>
      </c>
    </row>
    <row r="35" spans="2:66" ht="13.05" customHeight="1" x14ac:dyDescent="0.3">
      <c r="B35" s="1191" t="s">
        <v>307</v>
      </c>
      <c r="C35" s="1191" t="s">
        <v>546</v>
      </c>
      <c r="D35" s="1191" t="s">
        <v>407</v>
      </c>
      <c r="E35" s="1192">
        <v>96</v>
      </c>
      <c r="F35" s="1191" t="s">
        <v>234</v>
      </c>
      <c r="G35" s="1049">
        <v>240</v>
      </c>
      <c r="H35" s="1052">
        <v>3</v>
      </c>
      <c r="I35" s="1052"/>
      <c r="J35" s="1052"/>
      <c r="K35" s="8"/>
      <c r="L35" s="8"/>
      <c r="M35" s="8"/>
      <c r="N35" s="8"/>
      <c r="O35" s="8" t="s">
        <v>516</v>
      </c>
      <c r="P35" s="8"/>
      <c r="Q35" s="8"/>
      <c r="AH35" s="416" t="str">
        <f>IF('1. Project Inputs'!F41="Manual Entry","",'1. Project Inputs'!F41)</f>
        <v/>
      </c>
      <c r="AN35" t="s">
        <v>411</v>
      </c>
      <c r="AO35" t="s">
        <v>411</v>
      </c>
      <c r="AP35" t="s">
        <v>1972</v>
      </c>
      <c r="AQ35" t="s">
        <v>1972</v>
      </c>
      <c r="AR35" t="s">
        <v>1958</v>
      </c>
      <c r="BG35" t="s">
        <v>432</v>
      </c>
      <c r="BH35" t="s">
        <v>421</v>
      </c>
      <c r="BI35" s="1557">
        <v>45658</v>
      </c>
      <c r="BJ35" t="s">
        <v>2420</v>
      </c>
      <c r="BK35" t="s">
        <v>2398</v>
      </c>
      <c r="BL35">
        <v>8</v>
      </c>
      <c r="BM35" s="155">
        <v>45656</v>
      </c>
      <c r="BN35" s="155">
        <f t="shared" si="0"/>
        <v>45656</v>
      </c>
    </row>
    <row r="36" spans="2:66" ht="13.05" customHeight="1" x14ac:dyDescent="0.3">
      <c r="B36" s="1191" t="s">
        <v>307</v>
      </c>
      <c r="C36" s="215" t="s">
        <v>547</v>
      </c>
      <c r="D36" s="215" t="s">
        <v>531</v>
      </c>
      <c r="E36" s="1190">
        <v>128</v>
      </c>
      <c r="F36" s="215" t="s">
        <v>234</v>
      </c>
      <c r="G36" s="1050">
        <v>300</v>
      </c>
      <c r="H36" s="1052">
        <v>4</v>
      </c>
      <c r="I36" s="1052"/>
      <c r="J36" s="1052"/>
      <c r="K36" s="8"/>
      <c r="L36" s="8"/>
      <c r="M36" s="8"/>
      <c r="N36" s="8"/>
      <c r="O36" s="8" t="s">
        <v>518</v>
      </c>
      <c r="P36" s="8"/>
      <c r="Q36" s="8"/>
      <c r="AH36" s="416" t="str">
        <f>IF('1. Project Inputs'!F42="Manual Entry","",'1. Project Inputs'!F42)</f>
        <v/>
      </c>
      <c r="AN36" t="s">
        <v>411</v>
      </c>
      <c r="AO36" t="s">
        <v>411</v>
      </c>
      <c r="AP36" t="s">
        <v>1972</v>
      </c>
      <c r="AQ36" t="s">
        <v>1972</v>
      </c>
      <c r="AR36" t="s">
        <v>1959</v>
      </c>
      <c r="BG36" t="s">
        <v>432</v>
      </c>
      <c r="BH36" t="s">
        <v>421</v>
      </c>
      <c r="BI36" s="1557">
        <v>45758</v>
      </c>
      <c r="BJ36" t="s">
        <v>2445</v>
      </c>
      <c r="BK36" t="s">
        <v>2398</v>
      </c>
      <c r="BL36">
        <v>8</v>
      </c>
      <c r="BM36" s="155">
        <v>45754</v>
      </c>
      <c r="BN36" s="155">
        <f t="shared" si="0"/>
        <v>45754</v>
      </c>
    </row>
    <row r="37" spans="2:66" ht="13.05" customHeight="1" x14ac:dyDescent="0.3">
      <c r="B37" s="1191" t="s">
        <v>307</v>
      </c>
      <c r="C37" s="215" t="s">
        <v>547</v>
      </c>
      <c r="D37" s="215" t="s">
        <v>537</v>
      </c>
      <c r="E37" s="1190">
        <v>172</v>
      </c>
      <c r="F37" s="215" t="s">
        <v>234</v>
      </c>
      <c r="G37" s="1050">
        <v>350</v>
      </c>
      <c r="H37" s="1052">
        <v>5</v>
      </c>
      <c r="I37" s="1052"/>
      <c r="J37" s="1052"/>
      <c r="K37" s="8"/>
      <c r="L37" s="8"/>
      <c r="M37" s="8"/>
      <c r="N37" s="8"/>
      <c r="O37" s="8" t="s">
        <v>520</v>
      </c>
      <c r="P37" s="8"/>
      <c r="Q37" s="8"/>
      <c r="R37" s="371"/>
      <c r="S37" s="15"/>
      <c r="T37" s="215"/>
      <c r="U37" s="215"/>
      <c r="V37" s="215"/>
      <c r="W37" s="215"/>
      <c r="X37" s="215"/>
      <c r="Y37" s="215"/>
      <c r="AH37" s="416" t="str">
        <f>IF('1. Project Inputs'!F43="Manual Entry","",'1. Project Inputs'!F43)</f>
        <v/>
      </c>
      <c r="AN37" t="s">
        <v>411</v>
      </c>
      <c r="AO37" t="s">
        <v>411</v>
      </c>
      <c r="AP37" t="s">
        <v>1972</v>
      </c>
      <c r="AQ37" t="s">
        <v>1972</v>
      </c>
      <c r="AR37" t="s">
        <v>1960</v>
      </c>
      <c r="BG37" t="s">
        <v>432</v>
      </c>
      <c r="BH37" t="s">
        <v>421</v>
      </c>
      <c r="BI37" s="1557">
        <v>45764</v>
      </c>
      <c r="BJ37" t="s">
        <v>2423</v>
      </c>
      <c r="BK37" t="s">
        <v>2398</v>
      </c>
      <c r="BL37">
        <v>8</v>
      </c>
      <c r="BM37" s="155">
        <v>45761</v>
      </c>
      <c r="BN37" s="155">
        <f t="shared" si="0"/>
        <v>45761</v>
      </c>
    </row>
    <row r="38" spans="2:66" ht="13.05" customHeight="1" x14ac:dyDescent="0.3">
      <c r="B38" s="1191" t="s">
        <v>307</v>
      </c>
      <c r="C38" s="215" t="s">
        <v>547</v>
      </c>
      <c r="D38" s="215" t="s">
        <v>572</v>
      </c>
      <c r="E38" s="1190">
        <v>257</v>
      </c>
      <c r="F38" s="215" t="s">
        <v>234</v>
      </c>
      <c r="G38" s="1050">
        <v>390</v>
      </c>
      <c r="H38" s="1052">
        <v>6</v>
      </c>
      <c r="I38" s="1052"/>
      <c r="J38" s="1052"/>
      <c r="K38" s="8"/>
      <c r="L38" s="8"/>
      <c r="M38" s="8"/>
      <c r="N38" s="8"/>
      <c r="P38" s="8"/>
      <c r="Q38" s="8"/>
      <c r="R38" s="15"/>
      <c r="S38" s="15"/>
      <c r="T38" s="215"/>
      <c r="U38" s="215"/>
      <c r="V38" s="215"/>
      <c r="W38" s="215"/>
      <c r="X38" s="215"/>
      <c r="Y38" s="215"/>
      <c r="AH38" s="416"/>
      <c r="AN38" t="s">
        <v>411</v>
      </c>
      <c r="AO38" t="s">
        <v>411</v>
      </c>
      <c r="AP38" t="s">
        <v>1972</v>
      </c>
      <c r="AQ38" t="s">
        <v>1972</v>
      </c>
      <c r="AR38" t="s">
        <v>1928</v>
      </c>
      <c r="BG38" t="s">
        <v>432</v>
      </c>
      <c r="BH38" t="s">
        <v>421</v>
      </c>
      <c r="BI38" s="1557">
        <v>45765</v>
      </c>
      <c r="BJ38" t="s">
        <v>2424</v>
      </c>
      <c r="BK38" t="s">
        <v>2398</v>
      </c>
      <c r="BL38">
        <v>8</v>
      </c>
      <c r="BM38" s="155">
        <v>45761</v>
      </c>
      <c r="BN38" s="155">
        <f t="shared" si="0"/>
        <v>45761</v>
      </c>
    </row>
    <row r="39" spans="2:66" ht="13.05" customHeight="1" x14ac:dyDescent="0.3">
      <c r="B39" s="1191" t="s">
        <v>307</v>
      </c>
      <c r="C39" s="1191" t="s">
        <v>548</v>
      </c>
      <c r="D39" s="1191" t="s">
        <v>1919</v>
      </c>
      <c r="E39" s="1192">
        <v>77</v>
      </c>
      <c r="F39" s="215" t="s">
        <v>234</v>
      </c>
      <c r="G39" s="1049">
        <v>200</v>
      </c>
      <c r="H39" s="1051">
        <v>2</v>
      </c>
      <c r="I39" s="1051"/>
      <c r="J39" s="1051"/>
      <c r="K39" s="8"/>
      <c r="L39" s="8"/>
      <c r="M39" s="8"/>
      <c r="N39" s="8"/>
      <c r="P39" s="8"/>
      <c r="Q39" s="8"/>
      <c r="R39" s="15"/>
      <c r="S39" s="15"/>
      <c r="T39" s="215"/>
      <c r="U39" s="215"/>
      <c r="V39" s="215"/>
      <c r="W39" s="215"/>
      <c r="X39" s="215"/>
      <c r="Y39" s="215"/>
      <c r="AN39" t="s">
        <v>411</v>
      </c>
      <c r="AO39" t="s">
        <v>411</v>
      </c>
      <c r="AP39" t="s">
        <v>1973</v>
      </c>
      <c r="AQ39" t="s">
        <v>1973</v>
      </c>
      <c r="AR39" t="s">
        <v>413</v>
      </c>
      <c r="BG39" t="s">
        <v>432</v>
      </c>
      <c r="BH39" t="s">
        <v>421</v>
      </c>
      <c r="BI39" s="1557">
        <v>45778</v>
      </c>
      <c r="BJ39" t="s">
        <v>2425</v>
      </c>
      <c r="BK39" t="s">
        <v>2398</v>
      </c>
      <c r="BL39">
        <v>8</v>
      </c>
      <c r="BM39" s="155">
        <v>45775</v>
      </c>
      <c r="BN39" s="155">
        <f t="shared" si="0"/>
        <v>45775</v>
      </c>
    </row>
    <row r="40" spans="2:66" ht="13.05" customHeight="1" x14ac:dyDescent="0.3">
      <c r="B40" s="1191" t="s">
        <v>307</v>
      </c>
      <c r="C40" s="1191" t="s">
        <v>548</v>
      </c>
      <c r="D40" s="1191" t="s">
        <v>1920</v>
      </c>
      <c r="E40" s="1192">
        <v>96</v>
      </c>
      <c r="F40" s="215" t="s">
        <v>234</v>
      </c>
      <c r="G40" s="1049">
        <v>240</v>
      </c>
      <c r="H40" s="1052">
        <v>3</v>
      </c>
      <c r="I40" s="1052"/>
      <c r="J40" s="1052"/>
      <c r="K40" s="8"/>
      <c r="L40" s="8"/>
      <c r="M40" s="8"/>
      <c r="N40" s="8"/>
      <c r="P40" s="8"/>
      <c r="Q40" s="8"/>
      <c r="R40" s="15"/>
      <c r="S40" s="15"/>
      <c r="T40" s="215"/>
      <c r="U40" s="215"/>
      <c r="V40" s="215"/>
      <c r="W40" s="215"/>
      <c r="X40" s="215"/>
      <c r="Y40" s="215"/>
      <c r="AN40" t="s">
        <v>411</v>
      </c>
      <c r="AO40" t="s">
        <v>411</v>
      </c>
      <c r="AP40" t="s">
        <v>1973</v>
      </c>
      <c r="AQ40" t="s">
        <v>1973</v>
      </c>
      <c r="AR40" t="s">
        <v>1961</v>
      </c>
      <c r="BG40" t="s">
        <v>432</v>
      </c>
      <c r="BH40" t="s">
        <v>421</v>
      </c>
      <c r="BI40" s="1557">
        <v>45827</v>
      </c>
      <c r="BJ40" t="s">
        <v>2403</v>
      </c>
      <c r="BK40" t="s">
        <v>2398</v>
      </c>
      <c r="BL40">
        <v>8</v>
      </c>
      <c r="BM40" s="155">
        <v>45824</v>
      </c>
      <c r="BN40" s="155">
        <f t="shared" si="0"/>
        <v>45824</v>
      </c>
    </row>
    <row r="41" spans="2:66" ht="13.05" customHeight="1" x14ac:dyDescent="0.3">
      <c r="B41" s="1191" t="s">
        <v>307</v>
      </c>
      <c r="C41" s="215" t="s">
        <v>519</v>
      </c>
      <c r="D41" s="215" t="s">
        <v>420</v>
      </c>
      <c r="E41" s="1190">
        <v>77</v>
      </c>
      <c r="F41" s="1191" t="s">
        <v>234</v>
      </c>
      <c r="G41" s="1050">
        <v>200</v>
      </c>
      <c r="H41" s="1052">
        <v>2</v>
      </c>
      <c r="I41" s="1052"/>
      <c r="J41" s="1052"/>
      <c r="K41" s="8"/>
      <c r="L41" s="8"/>
      <c r="M41" s="8"/>
      <c r="N41" s="8"/>
      <c r="P41" s="8"/>
      <c r="Q41" s="8"/>
      <c r="R41" s="15"/>
      <c r="S41" s="15"/>
      <c r="T41" s="215"/>
      <c r="U41" s="215"/>
      <c r="V41" s="215"/>
      <c r="W41" s="215"/>
      <c r="X41" s="215"/>
      <c r="Y41" s="215"/>
      <c r="AN41" t="s">
        <v>411</v>
      </c>
      <c r="AO41" t="s">
        <v>411</v>
      </c>
      <c r="AP41" t="s">
        <v>1973</v>
      </c>
      <c r="AQ41" t="s">
        <v>1973</v>
      </c>
      <c r="AR41" t="s">
        <v>1962</v>
      </c>
      <c r="BG41" t="s">
        <v>432</v>
      </c>
      <c r="BH41" t="s">
        <v>421</v>
      </c>
      <c r="BI41" s="1557">
        <v>45863</v>
      </c>
      <c r="BJ41" t="s">
        <v>2446</v>
      </c>
      <c r="BK41" t="s">
        <v>2398</v>
      </c>
      <c r="BL41">
        <v>8</v>
      </c>
      <c r="BM41" s="155">
        <v>45859</v>
      </c>
      <c r="BN41" s="155">
        <f t="shared" si="0"/>
        <v>45859</v>
      </c>
    </row>
    <row r="42" spans="2:66" ht="13.05" customHeight="1" x14ac:dyDescent="0.3">
      <c r="B42" s="1191" t="s">
        <v>307</v>
      </c>
      <c r="C42" s="215" t="s">
        <v>519</v>
      </c>
      <c r="D42" s="1191" t="s">
        <v>407</v>
      </c>
      <c r="E42" s="1192">
        <v>96</v>
      </c>
      <c r="F42" s="1191" t="s">
        <v>234</v>
      </c>
      <c r="G42" s="1049">
        <v>240</v>
      </c>
      <c r="H42" s="1052">
        <v>3</v>
      </c>
      <c r="I42" s="1052"/>
      <c r="J42" s="1052"/>
      <c r="K42" s="8"/>
      <c r="L42" s="8"/>
      <c r="M42" s="8"/>
      <c r="N42" s="8"/>
      <c r="P42" s="8"/>
      <c r="Q42" s="8"/>
      <c r="R42" s="15"/>
      <c r="S42" s="15"/>
      <c r="T42" s="215"/>
      <c r="U42" s="215"/>
      <c r="V42" s="215"/>
      <c r="W42" s="215"/>
      <c r="X42" s="215"/>
      <c r="Y42" s="215"/>
      <c r="AN42" t="s">
        <v>411</v>
      </c>
      <c r="AO42" t="s">
        <v>411</v>
      </c>
      <c r="AP42" t="s">
        <v>1973</v>
      </c>
      <c r="AQ42" t="s">
        <v>1973</v>
      </c>
      <c r="AR42" t="s">
        <v>1963</v>
      </c>
      <c r="BG42" t="s">
        <v>432</v>
      </c>
      <c r="BH42" t="s">
        <v>421</v>
      </c>
      <c r="BI42" s="1557">
        <v>45871</v>
      </c>
      <c r="BJ42" t="s">
        <v>2447</v>
      </c>
      <c r="BK42" t="s">
        <v>2398</v>
      </c>
      <c r="BL42">
        <v>8</v>
      </c>
      <c r="BM42" s="155">
        <v>45866</v>
      </c>
      <c r="BN42" s="155">
        <f t="shared" si="0"/>
        <v>45866</v>
      </c>
    </row>
    <row r="43" spans="2:66" ht="13.05" customHeight="1" x14ac:dyDescent="0.3">
      <c r="B43" s="215" t="s">
        <v>307</v>
      </c>
      <c r="C43" s="215" t="s">
        <v>519</v>
      </c>
      <c r="D43" s="215" t="s">
        <v>505</v>
      </c>
      <c r="E43" s="1190">
        <v>128</v>
      </c>
      <c r="F43" s="215" t="s">
        <v>234</v>
      </c>
      <c r="G43" s="1050">
        <v>300</v>
      </c>
      <c r="H43" s="1052">
        <v>4</v>
      </c>
      <c r="I43" s="1052"/>
      <c r="J43" s="1052"/>
      <c r="K43" s="8"/>
      <c r="L43" s="8"/>
      <c r="M43" s="8"/>
      <c r="N43" s="8"/>
      <c r="P43" s="8"/>
      <c r="Q43" s="8"/>
      <c r="R43" s="609"/>
      <c r="S43" s="15"/>
      <c r="T43" s="215"/>
      <c r="U43" s="215"/>
      <c r="V43" s="215"/>
      <c r="W43" s="215"/>
      <c r="X43" s="215"/>
      <c r="Y43" s="215"/>
      <c r="AN43" t="s">
        <v>411</v>
      </c>
      <c r="AO43" t="s">
        <v>411</v>
      </c>
      <c r="AP43" t="s">
        <v>1973</v>
      </c>
      <c r="AQ43" t="s">
        <v>1973</v>
      </c>
      <c r="AR43" t="s">
        <v>1964</v>
      </c>
      <c r="BG43" t="s">
        <v>432</v>
      </c>
      <c r="BH43" t="s">
        <v>421</v>
      </c>
      <c r="BI43" s="1557">
        <v>45884</v>
      </c>
      <c r="BJ43" t="s">
        <v>2448</v>
      </c>
      <c r="BK43" t="s">
        <v>2398</v>
      </c>
      <c r="BL43">
        <v>8</v>
      </c>
      <c r="BM43" s="155">
        <v>45880</v>
      </c>
      <c r="BN43" s="155">
        <f t="shared" si="0"/>
        <v>45880</v>
      </c>
    </row>
    <row r="44" spans="2:66" ht="13.05" customHeight="1" x14ac:dyDescent="0.3">
      <c r="B44" s="215" t="s">
        <v>307</v>
      </c>
      <c r="C44" s="1191" t="s">
        <v>500</v>
      </c>
      <c r="D44" s="215" t="s">
        <v>505</v>
      </c>
      <c r="E44" s="1190">
        <v>128</v>
      </c>
      <c r="F44" s="215" t="s">
        <v>234</v>
      </c>
      <c r="G44" s="1050">
        <v>300</v>
      </c>
      <c r="H44" s="1052">
        <v>4</v>
      </c>
      <c r="I44" s="1052"/>
      <c r="J44" s="1052"/>
      <c r="K44" s="8"/>
      <c r="L44" s="8"/>
      <c r="M44" s="8"/>
      <c r="N44" s="8"/>
      <c r="P44" s="8"/>
      <c r="Q44" s="8"/>
      <c r="R44" s="609"/>
      <c r="S44" s="15"/>
      <c r="T44" s="215"/>
      <c r="U44" s="215"/>
      <c r="V44" s="215"/>
      <c r="W44" s="215"/>
      <c r="X44" s="215"/>
      <c r="Y44" s="215"/>
      <c r="AN44" t="s">
        <v>411</v>
      </c>
      <c r="AO44" t="s">
        <v>411</v>
      </c>
      <c r="AP44" t="s">
        <v>1973</v>
      </c>
      <c r="AQ44" t="s">
        <v>1973</v>
      </c>
      <c r="AR44" t="s">
        <v>1965</v>
      </c>
      <c r="BG44" t="s">
        <v>432</v>
      </c>
      <c r="BH44" t="s">
        <v>421</v>
      </c>
      <c r="BI44" s="1557">
        <v>45900</v>
      </c>
      <c r="BJ44" t="s">
        <v>2449</v>
      </c>
      <c r="BK44" t="s">
        <v>2398</v>
      </c>
      <c r="BL44">
        <v>8</v>
      </c>
      <c r="BM44" s="155">
        <v>45901</v>
      </c>
      <c r="BN44" s="155">
        <f t="shared" si="0"/>
        <v>45901</v>
      </c>
    </row>
    <row r="45" spans="2:66" ht="13.05" customHeight="1" x14ac:dyDescent="0.3">
      <c r="B45" s="215" t="s">
        <v>307</v>
      </c>
      <c r="C45" s="1191" t="s">
        <v>500</v>
      </c>
      <c r="D45" s="1191" t="s">
        <v>498</v>
      </c>
      <c r="E45" s="1192">
        <v>172</v>
      </c>
      <c r="F45" s="1191" t="s">
        <v>234</v>
      </c>
      <c r="G45" s="1049">
        <v>350</v>
      </c>
      <c r="H45" s="1051">
        <v>5</v>
      </c>
      <c r="I45" s="1051"/>
      <c r="J45" s="1051"/>
      <c r="K45" s="8"/>
      <c r="L45" s="8"/>
      <c r="M45" s="8"/>
      <c r="N45" s="8"/>
      <c r="P45" s="8"/>
      <c r="Q45" s="8"/>
      <c r="AN45" t="s">
        <v>411</v>
      </c>
      <c r="AO45" t="s">
        <v>411</v>
      </c>
      <c r="AP45" t="s">
        <v>1973</v>
      </c>
      <c r="AQ45" t="s">
        <v>1973</v>
      </c>
      <c r="AR45" t="s">
        <v>1933</v>
      </c>
      <c r="BG45" t="s">
        <v>432</v>
      </c>
      <c r="BH45" t="s">
        <v>421</v>
      </c>
      <c r="BI45" s="1557">
        <v>45915</v>
      </c>
      <c r="BJ45" t="s">
        <v>2404</v>
      </c>
      <c r="BK45" t="s">
        <v>2398</v>
      </c>
      <c r="BL45">
        <v>8</v>
      </c>
      <c r="BM45" s="155">
        <v>45915</v>
      </c>
      <c r="BN45" s="155">
        <f t="shared" si="0"/>
        <v>45915</v>
      </c>
    </row>
    <row r="46" spans="2:66" ht="13.05" customHeight="1" x14ac:dyDescent="0.3">
      <c r="B46" s="215" t="s">
        <v>307</v>
      </c>
      <c r="C46" s="1191" t="s">
        <v>500</v>
      </c>
      <c r="D46" s="215" t="s">
        <v>572</v>
      </c>
      <c r="E46" s="1190">
        <v>257</v>
      </c>
      <c r="F46" s="215" t="s">
        <v>234</v>
      </c>
      <c r="G46" s="1050">
        <v>390</v>
      </c>
      <c r="H46" s="1052">
        <v>6</v>
      </c>
      <c r="I46" s="1052"/>
      <c r="J46" s="1052"/>
      <c r="K46" s="8"/>
      <c r="L46" s="8"/>
      <c r="M46" s="8"/>
      <c r="N46" s="8"/>
      <c r="P46" s="8"/>
      <c r="Q46" s="8"/>
      <c r="AN46" t="s">
        <v>411</v>
      </c>
      <c r="AO46" t="s">
        <v>411</v>
      </c>
      <c r="AP46" t="s">
        <v>1973</v>
      </c>
      <c r="AQ46" t="s">
        <v>1973</v>
      </c>
      <c r="AR46" t="s">
        <v>1930</v>
      </c>
      <c r="BG46" t="s">
        <v>432</v>
      </c>
      <c r="BH46" t="s">
        <v>421</v>
      </c>
      <c r="BI46" s="1557">
        <v>45930</v>
      </c>
      <c r="BJ46" t="s">
        <v>2431</v>
      </c>
      <c r="BK46" t="s">
        <v>2398</v>
      </c>
      <c r="BL46">
        <v>8</v>
      </c>
      <c r="BM46" s="155">
        <v>45929</v>
      </c>
      <c r="BN46" s="155">
        <f t="shared" si="0"/>
        <v>45929</v>
      </c>
    </row>
    <row r="47" spans="2:66" ht="13.05" customHeight="1" x14ac:dyDescent="0.3">
      <c r="B47" s="1191" t="s">
        <v>307</v>
      </c>
      <c r="C47" s="215" t="s">
        <v>466</v>
      </c>
      <c r="D47" s="1191" t="s">
        <v>420</v>
      </c>
      <c r="E47" s="1190">
        <v>77</v>
      </c>
      <c r="F47" s="1191" t="s">
        <v>234</v>
      </c>
      <c r="G47" s="1049">
        <v>200</v>
      </c>
      <c r="H47" s="1194">
        <v>2</v>
      </c>
      <c r="I47" s="1194"/>
      <c r="J47" s="1194"/>
      <c r="K47" s="8"/>
      <c r="L47" s="8"/>
      <c r="M47" s="8"/>
      <c r="N47" s="8"/>
      <c r="P47" s="8"/>
      <c r="Q47" s="8"/>
      <c r="AN47" t="s">
        <v>403</v>
      </c>
      <c r="AO47" t="s">
        <v>403</v>
      </c>
      <c r="AP47" t="s">
        <v>1974</v>
      </c>
      <c r="AQ47" t="s">
        <v>1974</v>
      </c>
      <c r="AR47" t="s">
        <v>439</v>
      </c>
      <c r="BG47" t="s">
        <v>432</v>
      </c>
      <c r="BH47" t="s">
        <v>421</v>
      </c>
      <c r="BI47" s="1557">
        <v>45992</v>
      </c>
      <c r="BJ47" t="s">
        <v>2450</v>
      </c>
      <c r="BK47" t="s">
        <v>2398</v>
      </c>
      <c r="BL47">
        <v>8</v>
      </c>
      <c r="BM47" s="155">
        <v>45992</v>
      </c>
      <c r="BN47" s="155">
        <f t="shared" si="0"/>
        <v>45992</v>
      </c>
    </row>
    <row r="48" spans="2:66" ht="13.05" customHeight="1" x14ac:dyDescent="0.3">
      <c r="B48" s="215" t="s">
        <v>307</v>
      </c>
      <c r="C48" s="215" t="s">
        <v>466</v>
      </c>
      <c r="D48" s="215" t="s">
        <v>407</v>
      </c>
      <c r="E48" s="1190">
        <v>96</v>
      </c>
      <c r="F48" s="215" t="s">
        <v>234</v>
      </c>
      <c r="G48" s="1050">
        <v>240</v>
      </c>
      <c r="H48" s="1195">
        <v>3</v>
      </c>
      <c r="I48" s="1195"/>
      <c r="J48" s="1195"/>
      <c r="K48" s="8"/>
      <c r="L48" s="8"/>
      <c r="M48" s="8"/>
      <c r="N48" s="8"/>
      <c r="P48" s="8"/>
      <c r="Q48" s="8"/>
      <c r="AN48" t="s">
        <v>403</v>
      </c>
      <c r="AO48" t="s">
        <v>403</v>
      </c>
      <c r="AP48" t="s">
        <v>1975</v>
      </c>
      <c r="AQ48" t="s">
        <v>1975</v>
      </c>
      <c r="AR48" t="s">
        <v>462</v>
      </c>
      <c r="BG48" t="s">
        <v>432</v>
      </c>
      <c r="BH48" t="s">
        <v>421</v>
      </c>
      <c r="BI48" s="1557">
        <v>46016</v>
      </c>
      <c r="BJ48" t="s">
        <v>2411</v>
      </c>
      <c r="BK48" t="s">
        <v>2398</v>
      </c>
      <c r="BL48">
        <v>8</v>
      </c>
      <c r="BM48" s="155">
        <v>46013</v>
      </c>
      <c r="BN48" s="155">
        <f t="shared" si="0"/>
        <v>46013</v>
      </c>
    </row>
    <row r="49" spans="2:66" ht="13.05" customHeight="1" x14ac:dyDescent="0.3">
      <c r="B49" s="215" t="s">
        <v>307</v>
      </c>
      <c r="C49" s="215" t="s">
        <v>466</v>
      </c>
      <c r="D49" s="1191" t="s">
        <v>505</v>
      </c>
      <c r="E49" s="1192">
        <v>128</v>
      </c>
      <c r="F49" s="215" t="s">
        <v>234</v>
      </c>
      <c r="G49" s="1049">
        <v>300</v>
      </c>
      <c r="H49" s="1194">
        <v>4</v>
      </c>
      <c r="I49" s="1194"/>
      <c r="J49" s="1194"/>
      <c r="K49" s="8"/>
      <c r="L49" s="8"/>
      <c r="M49" s="8"/>
      <c r="N49" s="8"/>
      <c r="P49" s="8"/>
      <c r="Q49" s="8"/>
      <c r="AN49" t="s">
        <v>403</v>
      </c>
      <c r="AO49" t="s">
        <v>403</v>
      </c>
      <c r="AP49" t="s">
        <v>1976</v>
      </c>
      <c r="AQ49" t="s">
        <v>1976</v>
      </c>
      <c r="AR49" t="s">
        <v>1977</v>
      </c>
      <c r="BG49" t="s">
        <v>307</v>
      </c>
      <c r="BH49" t="s">
        <v>338</v>
      </c>
      <c r="BI49" s="1557">
        <v>45658</v>
      </c>
      <c r="BJ49" t="s">
        <v>2397</v>
      </c>
      <c r="BK49" t="s">
        <v>2398</v>
      </c>
      <c r="BL49">
        <v>8</v>
      </c>
      <c r="BM49" s="155">
        <v>45656</v>
      </c>
      <c r="BN49" s="155">
        <f t="shared" si="0"/>
        <v>45656</v>
      </c>
    </row>
    <row r="50" spans="2:66" ht="13.05" customHeight="1" x14ac:dyDescent="0.3">
      <c r="B50" s="215" t="s">
        <v>307</v>
      </c>
      <c r="C50" s="1191" t="s">
        <v>471</v>
      </c>
      <c r="D50" s="1191" t="s">
        <v>420</v>
      </c>
      <c r="E50" s="1190">
        <v>77</v>
      </c>
      <c r="F50" s="215" t="s">
        <v>234</v>
      </c>
      <c r="G50" s="1049">
        <v>200</v>
      </c>
      <c r="H50" s="1194">
        <v>2</v>
      </c>
      <c r="I50" s="1194"/>
      <c r="J50" s="1194"/>
      <c r="K50" s="8"/>
      <c r="L50" s="8"/>
      <c r="M50" s="8"/>
      <c r="N50" s="8"/>
      <c r="P50" s="8"/>
      <c r="Q50" s="8"/>
      <c r="AN50" t="s">
        <v>403</v>
      </c>
      <c r="AO50" t="s">
        <v>403</v>
      </c>
      <c r="AP50" t="s">
        <v>1978</v>
      </c>
      <c r="AQ50" t="s">
        <v>1978</v>
      </c>
      <c r="AR50" t="s">
        <v>1371</v>
      </c>
      <c r="BG50" t="s">
        <v>307</v>
      </c>
      <c r="BH50" t="s">
        <v>338</v>
      </c>
      <c r="BI50" s="1557">
        <v>45677</v>
      </c>
      <c r="BJ50" t="s">
        <v>2399</v>
      </c>
      <c r="BK50" t="s">
        <v>2398</v>
      </c>
      <c r="BL50">
        <v>8</v>
      </c>
      <c r="BM50" s="155">
        <v>45677</v>
      </c>
      <c r="BN50" s="155">
        <f t="shared" si="0"/>
        <v>45677</v>
      </c>
    </row>
    <row r="51" spans="2:66" ht="13.05" customHeight="1" x14ac:dyDescent="0.3">
      <c r="B51" s="1191" t="s">
        <v>307</v>
      </c>
      <c r="C51" s="1191" t="s">
        <v>471</v>
      </c>
      <c r="D51" s="1191" t="s">
        <v>407</v>
      </c>
      <c r="E51" s="1192">
        <v>96</v>
      </c>
      <c r="F51" s="1191" t="s">
        <v>234</v>
      </c>
      <c r="G51" s="1049">
        <v>240</v>
      </c>
      <c r="H51" s="1193">
        <v>3</v>
      </c>
      <c r="I51" s="1193"/>
      <c r="J51" s="1193"/>
      <c r="K51" s="8"/>
      <c r="L51" s="8"/>
      <c r="M51" s="8"/>
      <c r="N51" s="8"/>
      <c r="P51" s="8"/>
      <c r="Q51" s="8"/>
      <c r="AN51" t="s">
        <v>403</v>
      </c>
      <c r="AO51" t="s">
        <v>403</v>
      </c>
      <c r="AP51" t="s">
        <v>1979</v>
      </c>
      <c r="AQ51" t="s">
        <v>1979</v>
      </c>
      <c r="AR51" t="s">
        <v>439</v>
      </c>
      <c r="BG51" t="s">
        <v>307</v>
      </c>
      <c r="BH51" t="s">
        <v>338</v>
      </c>
      <c r="BI51" s="1557">
        <v>45705</v>
      </c>
      <c r="BJ51" t="s">
        <v>2400</v>
      </c>
      <c r="BK51" t="s">
        <v>2398</v>
      </c>
      <c r="BL51">
        <v>8</v>
      </c>
      <c r="BM51" s="155">
        <v>45705</v>
      </c>
      <c r="BN51" s="155">
        <f t="shared" si="0"/>
        <v>45705</v>
      </c>
    </row>
    <row r="52" spans="2:66" ht="13.05" customHeight="1" x14ac:dyDescent="0.3">
      <c r="B52" s="1191" t="s">
        <v>307</v>
      </c>
      <c r="C52" s="215" t="s">
        <v>474</v>
      </c>
      <c r="D52" s="1191" t="s">
        <v>420</v>
      </c>
      <c r="E52" s="1190">
        <v>77</v>
      </c>
      <c r="F52" s="1191" t="s">
        <v>234</v>
      </c>
      <c r="G52" s="1049">
        <v>200</v>
      </c>
      <c r="H52" s="1194">
        <v>2</v>
      </c>
      <c r="I52" s="1194"/>
      <c r="J52" s="1194"/>
      <c r="K52" s="8"/>
      <c r="L52" s="8"/>
      <c r="M52" s="8"/>
      <c r="N52" s="8"/>
      <c r="P52" s="8"/>
      <c r="Q52" s="8"/>
      <c r="AN52" t="s">
        <v>403</v>
      </c>
      <c r="AO52" t="s">
        <v>403</v>
      </c>
      <c r="AP52" t="s">
        <v>1979</v>
      </c>
      <c r="AQ52" t="s">
        <v>1979</v>
      </c>
      <c r="AR52" t="s">
        <v>1950</v>
      </c>
      <c r="BG52" t="s">
        <v>307</v>
      </c>
      <c r="BH52" t="s">
        <v>338</v>
      </c>
      <c r="BI52" s="1557">
        <v>45800</v>
      </c>
      <c r="BJ52" t="s">
        <v>2401</v>
      </c>
      <c r="BK52" t="s">
        <v>2398</v>
      </c>
      <c r="BL52">
        <v>8</v>
      </c>
      <c r="BM52" s="155">
        <v>45796</v>
      </c>
      <c r="BN52" s="155">
        <f t="shared" si="0"/>
        <v>45796</v>
      </c>
    </row>
    <row r="53" spans="2:66" ht="13.05" customHeight="1" x14ac:dyDescent="0.3">
      <c r="B53" s="215" t="s">
        <v>307</v>
      </c>
      <c r="C53" s="215" t="s">
        <v>474</v>
      </c>
      <c r="D53" s="215" t="s">
        <v>407</v>
      </c>
      <c r="E53" s="1190">
        <v>96</v>
      </c>
      <c r="F53" s="215" t="s">
        <v>234</v>
      </c>
      <c r="G53" s="1050">
        <v>240</v>
      </c>
      <c r="H53" s="1195">
        <v>3</v>
      </c>
      <c r="I53" s="1195"/>
      <c r="J53" s="1195"/>
      <c r="K53" s="8"/>
      <c r="L53" s="8"/>
      <c r="M53" s="8"/>
      <c r="N53" s="8"/>
      <c r="P53" s="8"/>
      <c r="Q53" s="8"/>
      <c r="AN53" t="s">
        <v>403</v>
      </c>
      <c r="AO53" t="s">
        <v>403</v>
      </c>
      <c r="AP53" t="s">
        <v>1979</v>
      </c>
      <c r="AQ53" t="s">
        <v>1979</v>
      </c>
      <c r="AR53" t="s">
        <v>462</v>
      </c>
      <c r="BG53" t="s">
        <v>307</v>
      </c>
      <c r="BH53" t="s">
        <v>338</v>
      </c>
      <c r="BI53" s="1557">
        <v>45803</v>
      </c>
      <c r="BJ53" t="s">
        <v>2402</v>
      </c>
      <c r="BK53" t="s">
        <v>2398</v>
      </c>
      <c r="BL53">
        <v>8</v>
      </c>
      <c r="BM53" s="155">
        <v>45803</v>
      </c>
      <c r="BN53" s="155">
        <f t="shared" si="0"/>
        <v>45803</v>
      </c>
    </row>
    <row r="54" spans="2:66" ht="13.05" customHeight="1" x14ac:dyDescent="0.3">
      <c r="B54" s="215" t="s">
        <v>307</v>
      </c>
      <c r="C54" s="215" t="s">
        <v>474</v>
      </c>
      <c r="D54" s="1191" t="s">
        <v>505</v>
      </c>
      <c r="E54" s="1192">
        <v>128</v>
      </c>
      <c r="F54" s="215" t="s">
        <v>234</v>
      </c>
      <c r="G54" s="1049">
        <v>300</v>
      </c>
      <c r="H54" s="1194">
        <v>4</v>
      </c>
      <c r="I54" s="1194"/>
      <c r="J54" s="1194"/>
      <c r="K54" s="8"/>
      <c r="L54" s="8"/>
      <c r="M54" s="8"/>
      <c r="N54" s="8"/>
      <c r="P54" s="8"/>
      <c r="Q54" s="8"/>
      <c r="AN54" t="s">
        <v>403</v>
      </c>
      <c r="AO54" t="s">
        <v>403</v>
      </c>
      <c r="AP54" t="s">
        <v>1980</v>
      </c>
      <c r="AQ54" t="s">
        <v>1980</v>
      </c>
      <c r="AR54" t="s">
        <v>1952</v>
      </c>
      <c r="BG54" t="s">
        <v>307</v>
      </c>
      <c r="BH54" t="s">
        <v>338</v>
      </c>
      <c r="BI54" s="1557">
        <v>45827</v>
      </c>
      <c r="BJ54" t="s">
        <v>2403</v>
      </c>
      <c r="BK54" t="s">
        <v>2398</v>
      </c>
      <c r="BL54">
        <v>8</v>
      </c>
      <c r="BM54" s="155">
        <v>45824</v>
      </c>
      <c r="BN54" s="155">
        <f t="shared" si="0"/>
        <v>45824</v>
      </c>
    </row>
    <row r="55" spans="2:66" ht="13.05" customHeight="1" x14ac:dyDescent="0.3">
      <c r="B55" s="215" t="s">
        <v>307</v>
      </c>
      <c r="C55" s="1191" t="s">
        <v>521</v>
      </c>
      <c r="D55" s="215" t="s">
        <v>505</v>
      </c>
      <c r="E55" s="1190">
        <v>128</v>
      </c>
      <c r="F55" s="215" t="s">
        <v>234</v>
      </c>
      <c r="G55" s="1050">
        <v>300</v>
      </c>
      <c r="H55" s="1052">
        <v>4</v>
      </c>
      <c r="I55" s="1052"/>
      <c r="J55" s="1052"/>
      <c r="K55" s="8"/>
      <c r="L55" s="8"/>
      <c r="M55" s="8"/>
      <c r="N55" s="8"/>
      <c r="P55" s="8"/>
      <c r="Q55" s="8"/>
      <c r="AN55" t="s">
        <v>403</v>
      </c>
      <c r="AO55" t="s">
        <v>403</v>
      </c>
      <c r="AP55" t="s">
        <v>1980</v>
      </c>
      <c r="AQ55" t="s">
        <v>1980</v>
      </c>
      <c r="AR55" t="s">
        <v>1953</v>
      </c>
      <c r="BG55" t="s">
        <v>307</v>
      </c>
      <c r="BH55" t="s">
        <v>338</v>
      </c>
      <c r="BI55" s="1557">
        <v>45842</v>
      </c>
      <c r="BJ55" t="s">
        <v>2404</v>
      </c>
      <c r="BK55" t="s">
        <v>2398</v>
      </c>
      <c r="BL55">
        <v>8</v>
      </c>
      <c r="BM55" s="155">
        <v>45838</v>
      </c>
      <c r="BN55" s="155">
        <f t="shared" si="0"/>
        <v>45838</v>
      </c>
    </row>
    <row r="56" spans="2:66" ht="13.05" customHeight="1" x14ac:dyDescent="0.3">
      <c r="B56" s="215" t="s">
        <v>307</v>
      </c>
      <c r="C56" s="1191" t="s">
        <v>521</v>
      </c>
      <c r="D56" s="1191" t="s">
        <v>498</v>
      </c>
      <c r="E56" s="1192">
        <v>172</v>
      </c>
      <c r="F56" s="215" t="s">
        <v>234</v>
      </c>
      <c r="G56" s="1049">
        <v>350</v>
      </c>
      <c r="H56" s="1051">
        <v>5</v>
      </c>
      <c r="I56" s="1051"/>
      <c r="J56" s="1051"/>
      <c r="K56" s="8"/>
      <c r="L56" s="8"/>
      <c r="M56" s="8"/>
      <c r="N56" s="8"/>
      <c r="P56" s="8"/>
      <c r="Q56" s="8"/>
      <c r="AN56" t="s">
        <v>403</v>
      </c>
      <c r="AO56" t="s">
        <v>403</v>
      </c>
      <c r="AP56" t="s">
        <v>1980</v>
      </c>
      <c r="AQ56" t="s">
        <v>1980</v>
      </c>
      <c r="AR56" t="s">
        <v>1954</v>
      </c>
      <c r="BG56" t="s">
        <v>307</v>
      </c>
      <c r="BH56" t="s">
        <v>338</v>
      </c>
      <c r="BI56" s="1557">
        <v>45898</v>
      </c>
      <c r="BJ56" t="s">
        <v>2405</v>
      </c>
      <c r="BK56" t="s">
        <v>2398</v>
      </c>
      <c r="BL56">
        <v>8</v>
      </c>
      <c r="BM56" s="155">
        <v>45894</v>
      </c>
      <c r="BN56" s="155">
        <f t="shared" si="0"/>
        <v>45894</v>
      </c>
    </row>
    <row r="57" spans="2:66" ht="13.05" customHeight="1" x14ac:dyDescent="0.3">
      <c r="B57" s="215" t="s">
        <v>307</v>
      </c>
      <c r="C57" s="1191" t="s">
        <v>521</v>
      </c>
      <c r="D57" s="215" t="s">
        <v>572</v>
      </c>
      <c r="E57" s="1190">
        <v>257</v>
      </c>
      <c r="F57" s="215" t="s">
        <v>234</v>
      </c>
      <c r="G57" s="1050">
        <v>390</v>
      </c>
      <c r="H57" s="1052">
        <v>6</v>
      </c>
      <c r="I57" s="1052"/>
      <c r="J57" s="1052"/>
      <c r="K57" s="8"/>
      <c r="L57" s="8"/>
      <c r="M57" s="8"/>
      <c r="N57" s="8"/>
      <c r="P57" s="8"/>
      <c r="Q57" s="8"/>
      <c r="AN57" t="s">
        <v>403</v>
      </c>
      <c r="AO57" t="s">
        <v>403</v>
      </c>
      <c r="AP57" t="s">
        <v>1980</v>
      </c>
      <c r="AQ57" t="s">
        <v>1980</v>
      </c>
      <c r="AR57" t="s">
        <v>1955</v>
      </c>
      <c r="BG57" t="s">
        <v>307</v>
      </c>
      <c r="BH57" t="s">
        <v>338</v>
      </c>
      <c r="BI57" s="1557">
        <v>45901</v>
      </c>
      <c r="BJ57" t="s">
        <v>2406</v>
      </c>
      <c r="BK57" t="s">
        <v>2398</v>
      </c>
      <c r="BL57">
        <v>8</v>
      </c>
      <c r="BM57" s="155">
        <v>45901</v>
      </c>
      <c r="BN57" s="155">
        <f t="shared" si="0"/>
        <v>45901</v>
      </c>
    </row>
    <row r="58" spans="2:66" ht="13.05" customHeight="1" x14ac:dyDescent="0.3">
      <c r="B58" s="215" t="s">
        <v>307</v>
      </c>
      <c r="C58" s="215" t="s">
        <v>522</v>
      </c>
      <c r="D58" s="215" t="s">
        <v>505</v>
      </c>
      <c r="E58" s="1190">
        <v>128</v>
      </c>
      <c r="F58" s="215" t="s">
        <v>234</v>
      </c>
      <c r="G58" s="1050">
        <v>300</v>
      </c>
      <c r="H58" s="1052">
        <v>4</v>
      </c>
      <c r="I58" s="1052"/>
      <c r="J58" s="1052"/>
      <c r="K58" s="8"/>
      <c r="L58" s="8"/>
      <c r="M58" s="8"/>
      <c r="N58" s="8"/>
      <c r="P58" s="8"/>
      <c r="AN58" t="s">
        <v>403</v>
      </c>
      <c r="AO58" t="s">
        <v>403</v>
      </c>
      <c r="AP58" t="s">
        <v>1981</v>
      </c>
      <c r="AQ58" t="s">
        <v>1981</v>
      </c>
      <c r="AR58" t="s">
        <v>1956</v>
      </c>
      <c r="BG58" t="s">
        <v>307</v>
      </c>
      <c r="BH58" t="s">
        <v>338</v>
      </c>
      <c r="BI58" s="1557">
        <v>45987</v>
      </c>
      <c r="BJ58" t="s">
        <v>2407</v>
      </c>
      <c r="BK58" s="1558">
        <v>4</v>
      </c>
      <c r="BL58">
        <v>4</v>
      </c>
      <c r="BM58" s="155">
        <v>45985</v>
      </c>
      <c r="BN58" s="155">
        <f t="shared" si="0"/>
        <v>45985</v>
      </c>
    </row>
    <row r="59" spans="2:66" ht="13.05" customHeight="1" x14ac:dyDescent="0.3">
      <c r="B59" s="215" t="s">
        <v>307</v>
      </c>
      <c r="C59" s="215" t="s">
        <v>522</v>
      </c>
      <c r="D59" s="215" t="s">
        <v>498</v>
      </c>
      <c r="E59" s="1190">
        <v>172</v>
      </c>
      <c r="F59" s="215" t="s">
        <v>234</v>
      </c>
      <c r="G59" s="1050">
        <v>350</v>
      </c>
      <c r="H59" s="1052">
        <v>5</v>
      </c>
      <c r="I59" s="1052"/>
      <c r="J59" s="1052"/>
      <c r="K59" s="8"/>
      <c r="L59" s="8"/>
      <c r="M59" s="8"/>
      <c r="N59" s="8"/>
      <c r="P59" s="8"/>
      <c r="AN59" t="s">
        <v>403</v>
      </c>
      <c r="AO59" t="s">
        <v>403</v>
      </c>
      <c r="AP59" t="s">
        <v>1981</v>
      </c>
      <c r="AQ59" t="s">
        <v>1981</v>
      </c>
      <c r="AR59" t="s">
        <v>1958</v>
      </c>
      <c r="BG59" t="s">
        <v>307</v>
      </c>
      <c r="BH59" t="s">
        <v>338</v>
      </c>
      <c r="BI59" s="1557">
        <v>45988</v>
      </c>
      <c r="BJ59" t="s">
        <v>2408</v>
      </c>
      <c r="BK59" t="s">
        <v>2398</v>
      </c>
      <c r="BL59">
        <v>8</v>
      </c>
      <c r="BM59" s="155">
        <v>45985</v>
      </c>
      <c r="BN59" s="155">
        <f t="shared" si="0"/>
        <v>45985</v>
      </c>
    </row>
    <row r="60" spans="2:66" ht="13.05" customHeight="1" x14ac:dyDescent="0.3">
      <c r="B60" s="215" t="s">
        <v>307</v>
      </c>
      <c r="C60" s="215" t="s">
        <v>522</v>
      </c>
      <c r="D60" s="215" t="s">
        <v>572</v>
      </c>
      <c r="E60" s="1190">
        <v>257</v>
      </c>
      <c r="F60" s="215" t="s">
        <v>234</v>
      </c>
      <c r="G60" s="1050">
        <v>390</v>
      </c>
      <c r="H60" s="1052">
        <v>6</v>
      </c>
      <c r="I60" s="1052"/>
      <c r="J60" s="1052"/>
      <c r="K60" s="8"/>
      <c r="L60" s="8"/>
      <c r="M60" s="8"/>
      <c r="N60" s="8"/>
      <c r="P60" s="8"/>
      <c r="Q60" s="8"/>
      <c r="AN60" t="s">
        <v>403</v>
      </c>
      <c r="AO60" t="s">
        <v>403</v>
      </c>
      <c r="AP60" t="s">
        <v>1981</v>
      </c>
      <c r="AQ60" t="s">
        <v>1981</v>
      </c>
      <c r="AR60" t="s">
        <v>1959</v>
      </c>
      <c r="BG60" t="s">
        <v>307</v>
      </c>
      <c r="BH60" t="s">
        <v>338</v>
      </c>
      <c r="BI60" s="1557">
        <v>45989</v>
      </c>
      <c r="BJ60" t="s">
        <v>2409</v>
      </c>
      <c r="BK60" t="s">
        <v>2398</v>
      </c>
      <c r="BL60">
        <v>8</v>
      </c>
      <c r="BM60" s="155">
        <v>45985</v>
      </c>
      <c r="BN60" s="155">
        <f t="shared" si="0"/>
        <v>45985</v>
      </c>
    </row>
    <row r="61" spans="2:66" ht="13.05" customHeight="1" x14ac:dyDescent="0.3">
      <c r="B61" s="215" t="s">
        <v>307</v>
      </c>
      <c r="C61" s="1191" t="s">
        <v>478</v>
      </c>
      <c r="D61" s="1191" t="s">
        <v>420</v>
      </c>
      <c r="E61" s="1190">
        <v>77</v>
      </c>
      <c r="F61" s="215" t="s">
        <v>234</v>
      </c>
      <c r="G61" s="1049">
        <v>200</v>
      </c>
      <c r="H61" s="1194">
        <v>2</v>
      </c>
      <c r="I61" s="1194"/>
      <c r="J61" s="1194"/>
      <c r="K61" s="8"/>
      <c r="L61" s="8"/>
      <c r="M61" s="8"/>
      <c r="N61" s="8"/>
      <c r="P61" s="8"/>
      <c r="Q61" s="8"/>
      <c r="AN61" t="s">
        <v>403</v>
      </c>
      <c r="AO61" t="s">
        <v>403</v>
      </c>
      <c r="AP61" t="s">
        <v>1981</v>
      </c>
      <c r="AQ61" t="s">
        <v>1981</v>
      </c>
      <c r="AR61" t="s">
        <v>1928</v>
      </c>
      <c r="BG61" t="s">
        <v>307</v>
      </c>
      <c r="BH61" t="s">
        <v>338</v>
      </c>
      <c r="BI61" s="1557">
        <v>46015</v>
      </c>
      <c r="BJ61" t="s">
        <v>2410</v>
      </c>
      <c r="BK61" t="s">
        <v>2398</v>
      </c>
      <c r="BL61">
        <v>8</v>
      </c>
      <c r="BM61" s="155">
        <v>46013</v>
      </c>
      <c r="BN61" s="155">
        <f t="shared" si="0"/>
        <v>46013</v>
      </c>
    </row>
    <row r="62" spans="2:66" ht="13.05" customHeight="1" x14ac:dyDescent="0.3">
      <c r="B62" s="1191" t="s">
        <v>307</v>
      </c>
      <c r="C62" s="1191" t="s">
        <v>478</v>
      </c>
      <c r="D62" s="1191" t="s">
        <v>407</v>
      </c>
      <c r="E62" s="1192">
        <v>96</v>
      </c>
      <c r="F62" s="1191" t="s">
        <v>234</v>
      </c>
      <c r="G62" s="1049">
        <v>240</v>
      </c>
      <c r="H62" s="1193">
        <v>3</v>
      </c>
      <c r="I62" s="1193"/>
      <c r="J62" s="1193"/>
      <c r="K62" s="8"/>
      <c r="L62" s="8"/>
      <c r="M62" s="8"/>
      <c r="N62" s="8"/>
      <c r="P62" s="8"/>
      <c r="Q62" s="8"/>
      <c r="AN62" t="s">
        <v>403</v>
      </c>
      <c r="AO62" t="s">
        <v>403</v>
      </c>
      <c r="AP62" t="s">
        <v>1366</v>
      </c>
      <c r="AQ62" t="s">
        <v>1366</v>
      </c>
      <c r="AR62" t="s">
        <v>439</v>
      </c>
      <c r="BG62" t="s">
        <v>307</v>
      </c>
      <c r="BH62" t="s">
        <v>338</v>
      </c>
      <c r="BI62" s="1557">
        <v>46016</v>
      </c>
      <c r="BJ62" t="s">
        <v>2411</v>
      </c>
      <c r="BK62" t="s">
        <v>2398</v>
      </c>
      <c r="BL62">
        <v>8</v>
      </c>
      <c r="BM62" s="155">
        <v>46013</v>
      </c>
      <c r="BN62" s="155">
        <f t="shared" si="0"/>
        <v>46013</v>
      </c>
    </row>
    <row r="63" spans="2:66" ht="13.05" customHeight="1" x14ac:dyDescent="0.3">
      <c r="B63" s="215" t="s">
        <v>307</v>
      </c>
      <c r="C63" s="1191" t="s">
        <v>540</v>
      </c>
      <c r="D63" s="1191" t="s">
        <v>531</v>
      </c>
      <c r="E63" s="1192">
        <v>128</v>
      </c>
      <c r="F63" s="1191" t="s">
        <v>234</v>
      </c>
      <c r="G63" s="1049">
        <v>300</v>
      </c>
      <c r="H63" s="1052">
        <v>4</v>
      </c>
      <c r="I63" s="1052"/>
      <c r="J63" s="1052"/>
      <c r="K63" s="8"/>
      <c r="L63" s="8"/>
      <c r="M63" s="8"/>
      <c r="N63" s="8"/>
      <c r="P63" s="8"/>
      <c r="Q63" s="8"/>
      <c r="AN63" t="s">
        <v>403</v>
      </c>
      <c r="AO63" t="s">
        <v>403</v>
      </c>
      <c r="AP63" t="s">
        <v>1366</v>
      </c>
      <c r="AQ63" t="s">
        <v>1366</v>
      </c>
      <c r="AR63" t="s">
        <v>462</v>
      </c>
      <c r="BG63" t="s">
        <v>307</v>
      </c>
      <c r="BH63" t="s">
        <v>338</v>
      </c>
      <c r="BI63" s="1557">
        <v>46017</v>
      </c>
      <c r="BJ63" t="s">
        <v>2412</v>
      </c>
      <c r="BK63" t="s">
        <v>2398</v>
      </c>
      <c r="BL63">
        <v>8</v>
      </c>
      <c r="BM63" s="155">
        <v>46013</v>
      </c>
      <c r="BN63" s="155">
        <f t="shared" si="0"/>
        <v>46013</v>
      </c>
    </row>
    <row r="64" spans="2:66" ht="13.05" customHeight="1" x14ac:dyDescent="0.3">
      <c r="B64" s="215" t="s">
        <v>307</v>
      </c>
      <c r="C64" s="1191" t="s">
        <v>540</v>
      </c>
      <c r="D64" s="1191" t="s">
        <v>537</v>
      </c>
      <c r="E64" s="1192">
        <v>172</v>
      </c>
      <c r="F64" s="1191" t="s">
        <v>234</v>
      </c>
      <c r="G64" s="1049">
        <v>350</v>
      </c>
      <c r="H64" s="1051">
        <v>5</v>
      </c>
      <c r="I64" s="1051"/>
      <c r="J64" s="1051"/>
      <c r="K64" s="8"/>
      <c r="L64" s="8"/>
      <c r="M64" s="8"/>
      <c r="N64" s="8"/>
      <c r="P64" s="8"/>
      <c r="Q64" s="8"/>
      <c r="AN64" t="s">
        <v>425</v>
      </c>
      <c r="AO64" t="s">
        <v>425</v>
      </c>
      <c r="AP64" t="s">
        <v>1982</v>
      </c>
      <c r="AQ64" t="s">
        <v>1982</v>
      </c>
      <c r="AR64" t="s">
        <v>1983</v>
      </c>
      <c r="BG64" t="s">
        <v>307</v>
      </c>
      <c r="BH64" t="s">
        <v>338</v>
      </c>
      <c r="BI64" s="1557">
        <v>46023</v>
      </c>
      <c r="BJ64" t="s">
        <v>2413</v>
      </c>
      <c r="BK64" t="s">
        <v>2398</v>
      </c>
      <c r="BL64">
        <v>8</v>
      </c>
      <c r="BM64" s="155">
        <v>46020</v>
      </c>
      <c r="BN64" s="155">
        <f t="shared" si="0"/>
        <v>46020</v>
      </c>
    </row>
    <row r="65" spans="2:66" ht="13.05" customHeight="1" x14ac:dyDescent="0.3">
      <c r="B65" s="215" t="s">
        <v>307</v>
      </c>
      <c r="C65" s="1191" t="s">
        <v>540</v>
      </c>
      <c r="D65" s="215" t="s">
        <v>572</v>
      </c>
      <c r="E65" s="1190">
        <v>257</v>
      </c>
      <c r="F65" s="1191" t="s">
        <v>234</v>
      </c>
      <c r="G65" s="1050">
        <v>390</v>
      </c>
      <c r="H65" s="1052">
        <v>6</v>
      </c>
      <c r="I65" s="1052"/>
      <c r="J65" s="1052"/>
      <c r="K65" s="8"/>
      <c r="L65" s="8"/>
      <c r="M65" s="8"/>
      <c r="N65" s="8"/>
      <c r="P65" s="8"/>
      <c r="Q65" s="8"/>
      <c r="AN65" t="s">
        <v>425</v>
      </c>
      <c r="AO65" t="s">
        <v>425</v>
      </c>
      <c r="AP65" t="s">
        <v>1982</v>
      </c>
      <c r="AQ65" t="s">
        <v>1982</v>
      </c>
      <c r="AR65" t="s">
        <v>1984</v>
      </c>
      <c r="BG65" t="s">
        <v>307</v>
      </c>
      <c r="BH65" t="s">
        <v>338</v>
      </c>
      <c r="BI65" s="1557">
        <v>46024</v>
      </c>
      <c r="BJ65" t="s">
        <v>2414</v>
      </c>
      <c r="BK65" t="s">
        <v>2398</v>
      </c>
      <c r="BL65">
        <v>8</v>
      </c>
      <c r="BM65" s="155">
        <v>46020</v>
      </c>
      <c r="BN65" s="155">
        <f t="shared" si="0"/>
        <v>46020</v>
      </c>
    </row>
    <row r="66" spans="2:66" ht="13.05" customHeight="1" x14ac:dyDescent="0.3">
      <c r="B66" s="215" t="s">
        <v>307</v>
      </c>
      <c r="C66" s="215" t="s">
        <v>541</v>
      </c>
      <c r="D66" s="215" t="s">
        <v>420</v>
      </c>
      <c r="E66" s="1190">
        <v>77</v>
      </c>
      <c r="F66" s="1191" t="s">
        <v>234</v>
      </c>
      <c r="G66" s="1050">
        <v>200</v>
      </c>
      <c r="H66" s="1052">
        <v>2</v>
      </c>
      <c r="I66" s="1052"/>
      <c r="J66" s="1052"/>
      <c r="K66" s="8"/>
      <c r="L66" s="8"/>
      <c r="M66" s="8"/>
      <c r="N66" s="8"/>
      <c r="P66" s="8"/>
      <c r="Q66" s="8"/>
      <c r="AN66" t="s">
        <v>425</v>
      </c>
      <c r="AO66" t="s">
        <v>425</v>
      </c>
      <c r="AP66" t="s">
        <v>1985</v>
      </c>
      <c r="AQ66" t="s">
        <v>1985</v>
      </c>
      <c r="AR66" t="s">
        <v>1986</v>
      </c>
      <c r="BG66" t="s">
        <v>405</v>
      </c>
      <c r="BH66" t="s">
        <v>481</v>
      </c>
      <c r="BI66" s="1557">
        <v>45658</v>
      </c>
      <c r="BJ66" t="s">
        <v>2420</v>
      </c>
      <c r="BK66" t="s">
        <v>2398</v>
      </c>
      <c r="BL66">
        <v>8</v>
      </c>
      <c r="BM66" s="155">
        <v>45656</v>
      </c>
      <c r="BN66" s="155">
        <f t="shared" si="0"/>
        <v>45656</v>
      </c>
    </row>
    <row r="67" spans="2:66" ht="13.05" customHeight="1" x14ac:dyDescent="0.3">
      <c r="B67" s="215" t="s">
        <v>307</v>
      </c>
      <c r="C67" s="215" t="s">
        <v>541</v>
      </c>
      <c r="D67" s="1191" t="s">
        <v>407</v>
      </c>
      <c r="E67" s="1192">
        <v>96</v>
      </c>
      <c r="F67" s="1191" t="s">
        <v>234</v>
      </c>
      <c r="G67" s="1049">
        <v>240</v>
      </c>
      <c r="H67" s="1052">
        <v>3</v>
      </c>
      <c r="I67" s="1052"/>
      <c r="J67" s="1052"/>
      <c r="K67" s="8"/>
      <c r="L67" s="8"/>
      <c r="M67" s="8"/>
      <c r="N67" s="8"/>
      <c r="P67" s="8"/>
      <c r="Q67" s="8"/>
      <c r="AN67" t="s">
        <v>425</v>
      </c>
      <c r="AO67" t="s">
        <v>425</v>
      </c>
      <c r="AP67" t="s">
        <v>1989</v>
      </c>
      <c r="AQ67" t="s">
        <v>1989</v>
      </c>
      <c r="AR67" t="s">
        <v>1977</v>
      </c>
      <c r="BG67" t="s">
        <v>405</v>
      </c>
      <c r="BH67" t="s">
        <v>481</v>
      </c>
      <c r="BI67" s="1557">
        <v>45705</v>
      </c>
      <c r="BJ67" t="s">
        <v>2436</v>
      </c>
      <c r="BK67" t="s">
        <v>2398</v>
      </c>
      <c r="BL67">
        <v>8</v>
      </c>
      <c r="BM67" s="155">
        <v>45705</v>
      </c>
      <c r="BN67" s="155">
        <f t="shared" si="0"/>
        <v>45705</v>
      </c>
    </row>
    <row r="68" spans="2:66" ht="13.05" customHeight="1" x14ac:dyDescent="0.3">
      <c r="B68" s="215" t="s">
        <v>307</v>
      </c>
      <c r="C68" s="215" t="s">
        <v>539</v>
      </c>
      <c r="D68" s="215" t="s">
        <v>420</v>
      </c>
      <c r="E68" s="1190">
        <v>77</v>
      </c>
      <c r="F68" s="215" t="s">
        <v>234</v>
      </c>
      <c r="G68" s="1050">
        <v>200</v>
      </c>
      <c r="H68" s="1052">
        <v>2</v>
      </c>
      <c r="I68" s="1052"/>
      <c r="J68" s="1052"/>
      <c r="K68" s="8"/>
      <c r="L68" s="8"/>
      <c r="M68" s="8"/>
      <c r="N68" s="8"/>
      <c r="P68" s="8"/>
      <c r="Q68" s="8"/>
      <c r="AN68" t="s">
        <v>425</v>
      </c>
      <c r="AO68" t="s">
        <v>425</v>
      </c>
      <c r="AP68" t="s">
        <v>1989</v>
      </c>
      <c r="AQ68" t="s">
        <v>1989</v>
      </c>
      <c r="AR68" t="s">
        <v>1990</v>
      </c>
      <c r="BG68" t="s">
        <v>405</v>
      </c>
      <c r="BH68" t="s">
        <v>481</v>
      </c>
      <c r="BI68" s="1557">
        <v>45765</v>
      </c>
      <c r="BJ68" t="s">
        <v>2424</v>
      </c>
      <c r="BK68" t="s">
        <v>2398</v>
      </c>
      <c r="BL68">
        <v>8</v>
      </c>
      <c r="BM68" s="155">
        <v>45761</v>
      </c>
      <c r="BN68" s="155">
        <f t="shared" si="0"/>
        <v>45761</v>
      </c>
    </row>
    <row r="69" spans="2:66" ht="13.05" customHeight="1" x14ac:dyDescent="0.3">
      <c r="B69" s="215" t="s">
        <v>307</v>
      </c>
      <c r="C69" s="215" t="s">
        <v>539</v>
      </c>
      <c r="D69" s="1191" t="s">
        <v>407</v>
      </c>
      <c r="E69" s="1192">
        <v>96</v>
      </c>
      <c r="F69" s="215" t="s">
        <v>234</v>
      </c>
      <c r="G69" s="1049">
        <v>240</v>
      </c>
      <c r="H69" s="1052">
        <v>3</v>
      </c>
      <c r="I69" s="1052"/>
      <c r="J69" s="1052"/>
      <c r="K69" s="8"/>
      <c r="L69" s="8"/>
      <c r="M69" s="8"/>
      <c r="N69" s="8"/>
      <c r="P69" s="8"/>
      <c r="Q69" s="8"/>
      <c r="AN69" t="s">
        <v>425</v>
      </c>
      <c r="AO69" t="s">
        <v>425</v>
      </c>
      <c r="AP69" t="s">
        <v>1989</v>
      </c>
      <c r="AQ69" t="s">
        <v>1989</v>
      </c>
      <c r="AR69" t="s">
        <v>1991</v>
      </c>
      <c r="BG69" t="s">
        <v>405</v>
      </c>
      <c r="BH69" t="s">
        <v>481</v>
      </c>
      <c r="BI69" s="1557">
        <v>45782</v>
      </c>
      <c r="BJ69" t="s">
        <v>2437</v>
      </c>
      <c r="BK69" t="s">
        <v>2398</v>
      </c>
      <c r="BL69">
        <v>8</v>
      </c>
      <c r="BM69" s="155">
        <v>45782</v>
      </c>
      <c r="BN69" s="155">
        <f t="shared" si="0"/>
        <v>45782</v>
      </c>
    </row>
    <row r="70" spans="2:66" ht="13.05" customHeight="1" x14ac:dyDescent="0.3">
      <c r="B70" s="1191" t="s">
        <v>307</v>
      </c>
      <c r="C70" s="215" t="s">
        <v>480</v>
      </c>
      <c r="D70" s="1191" t="s">
        <v>420</v>
      </c>
      <c r="E70" s="1190">
        <v>77</v>
      </c>
      <c r="F70" s="215" t="s">
        <v>234</v>
      </c>
      <c r="G70" s="1049">
        <v>200</v>
      </c>
      <c r="H70" s="1194">
        <v>2</v>
      </c>
      <c r="I70" s="1194"/>
      <c r="J70" s="1194"/>
      <c r="K70" s="8"/>
      <c r="L70" s="8"/>
      <c r="M70" s="8"/>
      <c r="N70" s="8"/>
      <c r="P70" s="8"/>
      <c r="Q70" s="8"/>
      <c r="AN70" t="s">
        <v>425</v>
      </c>
      <c r="AO70" t="s">
        <v>425</v>
      </c>
      <c r="AP70" t="s">
        <v>1992</v>
      </c>
      <c r="AQ70" t="s">
        <v>1992</v>
      </c>
      <c r="AR70" t="s">
        <v>1993</v>
      </c>
      <c r="BG70" t="s">
        <v>405</v>
      </c>
      <c r="BH70" t="s">
        <v>481</v>
      </c>
      <c r="BI70" s="1557">
        <v>45839</v>
      </c>
      <c r="BJ70" t="s">
        <v>2438</v>
      </c>
      <c r="BK70" t="s">
        <v>2398</v>
      </c>
      <c r="BL70">
        <v>8</v>
      </c>
      <c r="BM70" s="155">
        <v>45838</v>
      </c>
      <c r="BN70" s="155">
        <f t="shared" si="0"/>
        <v>45838</v>
      </c>
    </row>
    <row r="71" spans="2:66" ht="13.05" customHeight="1" x14ac:dyDescent="0.3">
      <c r="B71" s="1191" t="s">
        <v>307</v>
      </c>
      <c r="C71" s="215" t="s">
        <v>480</v>
      </c>
      <c r="D71" s="215" t="s">
        <v>407</v>
      </c>
      <c r="E71" s="1190">
        <v>96</v>
      </c>
      <c r="F71" s="215" t="s">
        <v>234</v>
      </c>
      <c r="G71" s="1050">
        <v>240</v>
      </c>
      <c r="H71" s="1195">
        <v>3</v>
      </c>
      <c r="I71" s="1195"/>
      <c r="J71" s="1195"/>
      <c r="K71" s="8"/>
      <c r="L71" s="8"/>
      <c r="M71" s="8"/>
      <c r="N71" s="8"/>
      <c r="P71" s="8"/>
      <c r="Q71" s="8"/>
      <c r="AN71" t="s">
        <v>425</v>
      </c>
      <c r="AO71" t="s">
        <v>425</v>
      </c>
      <c r="AP71" t="s">
        <v>1992</v>
      </c>
      <c r="AQ71" t="s">
        <v>1992</v>
      </c>
      <c r="AR71" t="s">
        <v>1950</v>
      </c>
      <c r="BG71" t="s">
        <v>405</v>
      </c>
      <c r="BH71" t="s">
        <v>481</v>
      </c>
      <c r="BI71" s="1557">
        <v>45873</v>
      </c>
      <c r="BJ71" t="s">
        <v>2439</v>
      </c>
      <c r="BK71" t="s">
        <v>2398</v>
      </c>
      <c r="BL71">
        <v>8</v>
      </c>
      <c r="BM71" s="155">
        <v>45873</v>
      </c>
      <c r="BN71" s="155">
        <f t="shared" si="0"/>
        <v>45873</v>
      </c>
    </row>
    <row r="72" spans="2:66" ht="13.05" customHeight="1" x14ac:dyDescent="0.3">
      <c r="B72" s="1191" t="s">
        <v>307</v>
      </c>
      <c r="C72" s="215" t="s">
        <v>480</v>
      </c>
      <c r="D72" s="1191" t="s">
        <v>505</v>
      </c>
      <c r="E72" s="1192">
        <v>128</v>
      </c>
      <c r="F72" s="215" t="s">
        <v>234</v>
      </c>
      <c r="G72" s="1049">
        <v>300</v>
      </c>
      <c r="H72" s="1194">
        <v>4</v>
      </c>
      <c r="I72" s="1194"/>
      <c r="J72" s="1194"/>
      <c r="K72" s="8"/>
      <c r="L72" s="8"/>
      <c r="M72" s="8"/>
      <c r="N72" s="8"/>
      <c r="P72" s="8"/>
      <c r="Q72" s="8"/>
      <c r="AN72" t="s">
        <v>425</v>
      </c>
      <c r="AO72" t="s">
        <v>425</v>
      </c>
      <c r="AP72" t="s">
        <v>1994</v>
      </c>
      <c r="AQ72" t="s">
        <v>1994</v>
      </c>
      <c r="AR72" t="s">
        <v>1952</v>
      </c>
      <c r="BG72" t="s">
        <v>405</v>
      </c>
      <c r="BH72" t="s">
        <v>481</v>
      </c>
      <c r="BI72" s="1557">
        <v>45898</v>
      </c>
      <c r="BJ72" t="s">
        <v>2440</v>
      </c>
      <c r="BK72" t="s">
        <v>2398</v>
      </c>
      <c r="BL72">
        <v>8</v>
      </c>
      <c r="BM72" s="155">
        <v>45894</v>
      </c>
      <c r="BN72" s="155">
        <f t="shared" si="0"/>
        <v>45894</v>
      </c>
    </row>
    <row r="73" spans="2:66" ht="13.05" customHeight="1" x14ac:dyDescent="0.3">
      <c r="B73" s="215" t="s">
        <v>307</v>
      </c>
      <c r="C73" s="215" t="s">
        <v>577</v>
      </c>
      <c r="D73" s="215" t="s">
        <v>572</v>
      </c>
      <c r="E73" s="1190">
        <v>257</v>
      </c>
      <c r="F73" s="215" t="s">
        <v>234</v>
      </c>
      <c r="G73" s="1190">
        <v>390</v>
      </c>
      <c r="H73" s="1052">
        <v>6</v>
      </c>
      <c r="I73" s="1052"/>
      <c r="J73" s="1052"/>
      <c r="K73" s="8"/>
      <c r="L73" s="8"/>
      <c r="M73" s="8"/>
      <c r="N73" s="8"/>
      <c r="P73" s="8"/>
      <c r="Q73" s="8"/>
      <c r="AN73" t="s">
        <v>425</v>
      </c>
      <c r="AO73" t="s">
        <v>425</v>
      </c>
      <c r="AP73" t="s">
        <v>1994</v>
      </c>
      <c r="AQ73" t="s">
        <v>1994</v>
      </c>
      <c r="AR73" t="s">
        <v>1958</v>
      </c>
      <c r="BG73" t="s">
        <v>405</v>
      </c>
      <c r="BH73" t="s">
        <v>481</v>
      </c>
      <c r="BI73" s="1557">
        <v>45901</v>
      </c>
      <c r="BJ73" t="s">
        <v>2406</v>
      </c>
      <c r="BK73" t="s">
        <v>2398</v>
      </c>
      <c r="BL73">
        <v>8</v>
      </c>
      <c r="BM73" s="155">
        <v>45901</v>
      </c>
      <c r="BN73" s="155">
        <f t="shared" si="0"/>
        <v>45901</v>
      </c>
    </row>
    <row r="74" spans="2:66" ht="13.05" customHeight="1" x14ac:dyDescent="0.3">
      <c r="B74" s="1191" t="s">
        <v>307</v>
      </c>
      <c r="C74" s="1191" t="s">
        <v>576</v>
      </c>
      <c r="D74" s="1191" t="s">
        <v>575</v>
      </c>
      <c r="E74" s="1192">
        <v>257</v>
      </c>
      <c r="F74" s="1191" t="s">
        <v>234</v>
      </c>
      <c r="G74" s="1192">
        <v>390</v>
      </c>
      <c r="H74" s="1051">
        <v>6</v>
      </c>
      <c r="I74" s="1051"/>
      <c r="J74" s="1051"/>
      <c r="K74" s="8"/>
      <c r="L74" s="8"/>
      <c r="M74" s="8"/>
      <c r="N74" s="8"/>
      <c r="P74" s="8"/>
      <c r="Q74" s="8"/>
      <c r="AN74" t="s">
        <v>425</v>
      </c>
      <c r="AO74" t="s">
        <v>425</v>
      </c>
      <c r="AP74" t="s">
        <v>1994</v>
      </c>
      <c r="AQ74" t="s">
        <v>1994</v>
      </c>
      <c r="AR74" t="s">
        <v>1959</v>
      </c>
      <c r="BG74" t="s">
        <v>405</v>
      </c>
      <c r="BH74" t="s">
        <v>481</v>
      </c>
      <c r="BI74" s="1557">
        <v>45943</v>
      </c>
      <c r="BJ74" t="s">
        <v>2441</v>
      </c>
      <c r="BK74" t="s">
        <v>2398</v>
      </c>
      <c r="BL74">
        <v>8</v>
      </c>
      <c r="BM74" s="155">
        <v>45943</v>
      </c>
      <c r="BN74" s="155">
        <f t="shared" ref="BN74:BN81" si="1">IF(WEEKDAY(BI74,1)=2,BI74,BI74-WEEKDAY(BI74,1)+2)</f>
        <v>45943</v>
      </c>
    </row>
    <row r="75" spans="2:66" ht="13.05" customHeight="1" x14ac:dyDescent="0.3">
      <c r="B75" s="1191" t="s">
        <v>307</v>
      </c>
      <c r="C75" s="1191" t="s">
        <v>556</v>
      </c>
      <c r="D75" s="215" t="s">
        <v>531</v>
      </c>
      <c r="E75" s="1190">
        <v>128</v>
      </c>
      <c r="F75" s="215" t="s">
        <v>234</v>
      </c>
      <c r="G75" s="1050">
        <v>300</v>
      </c>
      <c r="H75" s="1052">
        <v>4</v>
      </c>
      <c r="I75" s="1052"/>
      <c r="J75" s="1052"/>
      <c r="K75" s="8"/>
      <c r="L75" s="8"/>
      <c r="M75" s="8"/>
      <c r="N75" s="8"/>
      <c r="P75" s="8"/>
      <c r="Q75" s="8"/>
      <c r="AN75" t="s">
        <v>425</v>
      </c>
      <c r="AO75" t="s">
        <v>425</v>
      </c>
      <c r="AP75" t="s">
        <v>1994</v>
      </c>
      <c r="AQ75" t="s">
        <v>1994</v>
      </c>
      <c r="AR75" t="s">
        <v>1928</v>
      </c>
      <c r="BG75" t="s">
        <v>405</v>
      </c>
      <c r="BH75" t="s">
        <v>481</v>
      </c>
      <c r="BI75" s="1557">
        <v>45944</v>
      </c>
      <c r="BJ75" t="s">
        <v>2442</v>
      </c>
      <c r="BK75" t="s">
        <v>2398</v>
      </c>
      <c r="BL75">
        <v>8</v>
      </c>
      <c r="BM75" s="155">
        <v>45943</v>
      </c>
      <c r="BN75" s="155">
        <f t="shared" si="1"/>
        <v>45943</v>
      </c>
    </row>
    <row r="76" spans="2:66" ht="13.05" customHeight="1" x14ac:dyDescent="0.3">
      <c r="B76" s="1191" t="s">
        <v>307</v>
      </c>
      <c r="C76" s="1191" t="s">
        <v>556</v>
      </c>
      <c r="D76" s="1191" t="s">
        <v>537</v>
      </c>
      <c r="E76" s="1192">
        <v>172</v>
      </c>
      <c r="F76" s="215" t="s">
        <v>234</v>
      </c>
      <c r="G76" s="1049">
        <v>350</v>
      </c>
      <c r="H76" s="1051">
        <v>5</v>
      </c>
      <c r="I76" s="1051"/>
      <c r="J76" s="1051"/>
      <c r="K76" s="8"/>
      <c r="L76" s="8"/>
      <c r="M76" s="8"/>
      <c r="N76" s="8"/>
      <c r="P76" s="8"/>
      <c r="Q76" s="8"/>
      <c r="AN76" t="s">
        <v>425</v>
      </c>
      <c r="AO76" t="s">
        <v>425</v>
      </c>
      <c r="AP76" t="s">
        <v>1995</v>
      </c>
      <c r="AQ76" t="s">
        <v>1995</v>
      </c>
      <c r="AR76" t="s">
        <v>1963</v>
      </c>
      <c r="BG76" t="s">
        <v>405</v>
      </c>
      <c r="BH76" t="s">
        <v>481</v>
      </c>
      <c r="BI76" s="1557">
        <v>45972</v>
      </c>
      <c r="BJ76" t="s">
        <v>2443</v>
      </c>
      <c r="BK76" t="s">
        <v>2398</v>
      </c>
      <c r="BL76">
        <v>8</v>
      </c>
      <c r="BM76" s="155">
        <v>45971</v>
      </c>
      <c r="BN76" s="155">
        <f t="shared" si="1"/>
        <v>45971</v>
      </c>
    </row>
    <row r="77" spans="2:66" ht="13.05" customHeight="1" x14ac:dyDescent="0.3">
      <c r="B77" s="1191" t="s">
        <v>307</v>
      </c>
      <c r="C77" s="1191" t="s">
        <v>556</v>
      </c>
      <c r="D77" s="215" t="s">
        <v>572</v>
      </c>
      <c r="E77" s="1190">
        <v>257</v>
      </c>
      <c r="F77" s="215" t="s">
        <v>234</v>
      </c>
      <c r="G77" s="1050">
        <v>390</v>
      </c>
      <c r="H77" s="1052">
        <v>6</v>
      </c>
      <c r="I77" s="1052"/>
      <c r="J77" s="1052"/>
      <c r="K77" s="8"/>
      <c r="L77" s="8"/>
      <c r="M77" s="8"/>
      <c r="N77" s="8"/>
      <c r="P77" s="8"/>
      <c r="Q77" s="8"/>
      <c r="AN77" t="s">
        <v>425</v>
      </c>
      <c r="AO77" t="s">
        <v>425</v>
      </c>
      <c r="AP77" t="s">
        <v>1995</v>
      </c>
      <c r="AQ77" t="s">
        <v>1995</v>
      </c>
      <c r="AR77" t="s">
        <v>1996</v>
      </c>
      <c r="BG77" t="s">
        <v>405</v>
      </c>
      <c r="BH77" t="s">
        <v>481</v>
      </c>
      <c r="BI77" s="1557">
        <v>46015</v>
      </c>
      <c r="BJ77" t="s">
        <v>2410</v>
      </c>
      <c r="BK77" t="s">
        <v>2398</v>
      </c>
      <c r="BL77">
        <v>8</v>
      </c>
      <c r="BM77" s="155">
        <v>46013</v>
      </c>
      <c r="BN77" s="155">
        <f t="shared" si="1"/>
        <v>46013</v>
      </c>
    </row>
    <row r="78" spans="2:66" ht="13.05" customHeight="1" x14ac:dyDescent="0.3">
      <c r="B78" s="215" t="s">
        <v>307</v>
      </c>
      <c r="C78" s="215" t="s">
        <v>502</v>
      </c>
      <c r="D78" s="215" t="s">
        <v>505</v>
      </c>
      <c r="E78" s="1190">
        <v>128</v>
      </c>
      <c r="F78" s="215" t="s">
        <v>234</v>
      </c>
      <c r="G78" s="1050">
        <v>300</v>
      </c>
      <c r="H78" s="1052">
        <v>4</v>
      </c>
      <c r="I78" s="1052"/>
      <c r="J78" s="1052"/>
      <c r="K78" s="8"/>
      <c r="L78" s="8"/>
      <c r="M78" s="8"/>
      <c r="N78" s="8"/>
      <c r="P78" s="8"/>
      <c r="Q78" s="8"/>
      <c r="AN78" t="s">
        <v>425</v>
      </c>
      <c r="AO78" t="s">
        <v>425</v>
      </c>
      <c r="AP78" t="s">
        <v>1995</v>
      </c>
      <c r="AQ78" t="s">
        <v>1995</v>
      </c>
      <c r="AR78" t="s">
        <v>1997</v>
      </c>
      <c r="BG78" t="s">
        <v>405</v>
      </c>
      <c r="BH78" t="s">
        <v>481</v>
      </c>
      <c r="BI78" s="1557">
        <v>46016</v>
      </c>
      <c r="BJ78" t="s">
        <v>2411</v>
      </c>
      <c r="BK78" t="s">
        <v>2398</v>
      </c>
      <c r="BL78">
        <v>8</v>
      </c>
      <c r="BM78" s="155">
        <v>46013</v>
      </c>
      <c r="BN78" s="155">
        <f t="shared" si="1"/>
        <v>46013</v>
      </c>
    </row>
    <row r="79" spans="2:66" ht="13.05" customHeight="1" x14ac:dyDescent="0.3">
      <c r="B79" s="215" t="s">
        <v>307</v>
      </c>
      <c r="C79" s="215" t="s">
        <v>502</v>
      </c>
      <c r="D79" s="215" t="s">
        <v>498</v>
      </c>
      <c r="E79" s="1190">
        <v>172</v>
      </c>
      <c r="F79" s="215" t="s">
        <v>234</v>
      </c>
      <c r="G79" s="1050">
        <v>350</v>
      </c>
      <c r="H79" s="1052">
        <v>5</v>
      </c>
      <c r="I79" s="1052"/>
      <c r="J79" s="1052"/>
      <c r="K79" s="8"/>
      <c r="L79" s="8"/>
      <c r="M79" s="8"/>
      <c r="N79" s="8"/>
      <c r="P79" s="8"/>
      <c r="Q79" s="8"/>
      <c r="AN79" t="s">
        <v>425</v>
      </c>
      <c r="AO79" t="s">
        <v>425</v>
      </c>
      <c r="AP79" t="s">
        <v>1995</v>
      </c>
      <c r="AQ79" t="s">
        <v>1995</v>
      </c>
      <c r="AR79" t="s">
        <v>1998</v>
      </c>
      <c r="BG79" t="s">
        <v>405</v>
      </c>
      <c r="BH79" t="s">
        <v>481</v>
      </c>
      <c r="BI79" s="1557">
        <v>46017</v>
      </c>
      <c r="BJ79" t="s">
        <v>2444</v>
      </c>
      <c r="BK79" t="s">
        <v>2398</v>
      </c>
      <c r="BL79">
        <v>8</v>
      </c>
      <c r="BM79" s="155">
        <v>46013</v>
      </c>
      <c r="BN79" s="155">
        <f t="shared" si="1"/>
        <v>46013</v>
      </c>
    </row>
    <row r="80" spans="2:66" ht="13.05" customHeight="1" x14ac:dyDescent="0.3">
      <c r="B80" s="215" t="s">
        <v>307</v>
      </c>
      <c r="C80" s="215" t="s">
        <v>502</v>
      </c>
      <c r="D80" s="215" t="s">
        <v>572</v>
      </c>
      <c r="E80" s="1190">
        <v>257</v>
      </c>
      <c r="F80" s="215" t="s">
        <v>234</v>
      </c>
      <c r="G80" s="1050">
        <v>390</v>
      </c>
      <c r="H80" s="1052">
        <v>6</v>
      </c>
      <c r="I80" s="1052"/>
      <c r="J80" s="1052"/>
      <c r="K80" s="8"/>
      <c r="L80" s="8"/>
      <c r="M80" s="8"/>
      <c r="N80" s="8"/>
      <c r="P80" s="8"/>
      <c r="Q80" s="8"/>
      <c r="AN80" t="s">
        <v>437</v>
      </c>
      <c r="AO80" t="s">
        <v>437</v>
      </c>
      <c r="AP80" t="s">
        <v>2005</v>
      </c>
      <c r="AQ80" t="s">
        <v>2005</v>
      </c>
      <c r="AR80" t="s">
        <v>2001</v>
      </c>
      <c r="BG80" t="s">
        <v>405</v>
      </c>
      <c r="BH80" t="s">
        <v>481</v>
      </c>
      <c r="BI80" s="1557">
        <v>46023</v>
      </c>
      <c r="BJ80" t="s">
        <v>2413</v>
      </c>
      <c r="BK80" t="s">
        <v>2398</v>
      </c>
      <c r="BL80">
        <v>8</v>
      </c>
      <c r="BM80" s="155">
        <v>46020</v>
      </c>
      <c r="BN80" s="155">
        <f t="shared" si="1"/>
        <v>46020</v>
      </c>
    </row>
    <row r="81" spans="2:66" ht="13.05" customHeight="1" x14ac:dyDescent="0.3">
      <c r="B81" s="215" t="s">
        <v>307</v>
      </c>
      <c r="C81" s="215" t="s">
        <v>551</v>
      </c>
      <c r="D81" s="215" t="s">
        <v>420</v>
      </c>
      <c r="E81" s="1190">
        <v>77</v>
      </c>
      <c r="F81" s="215" t="s">
        <v>234</v>
      </c>
      <c r="G81" s="1050">
        <v>200</v>
      </c>
      <c r="H81" s="1052">
        <v>2</v>
      </c>
      <c r="I81" s="1052"/>
      <c r="J81" s="1052"/>
      <c r="K81" s="8"/>
      <c r="L81" s="8"/>
      <c r="M81" s="8"/>
      <c r="N81" s="8"/>
      <c r="P81" s="8"/>
      <c r="Q81" s="8"/>
      <c r="AN81" t="s">
        <v>437</v>
      </c>
      <c r="AO81" t="s">
        <v>437</v>
      </c>
      <c r="AP81" t="s">
        <v>2005</v>
      </c>
      <c r="AQ81" t="s">
        <v>2005</v>
      </c>
      <c r="AR81" t="s">
        <v>2002</v>
      </c>
      <c r="BG81" t="s">
        <v>405</v>
      </c>
      <c r="BH81" t="s">
        <v>481</v>
      </c>
      <c r="BI81" s="1557">
        <v>46024</v>
      </c>
      <c r="BJ81" t="s">
        <v>2414</v>
      </c>
      <c r="BK81" t="s">
        <v>2398</v>
      </c>
      <c r="BL81">
        <v>8</v>
      </c>
      <c r="BM81" s="155">
        <v>46020</v>
      </c>
      <c r="BN81" s="155">
        <f t="shared" si="1"/>
        <v>46020</v>
      </c>
    </row>
    <row r="82" spans="2:66" ht="13.05" customHeight="1" x14ac:dyDescent="0.3">
      <c r="B82" s="1191" t="s">
        <v>307</v>
      </c>
      <c r="C82" s="215" t="s">
        <v>553</v>
      </c>
      <c r="D82" s="1191" t="s">
        <v>531</v>
      </c>
      <c r="E82" s="1192">
        <v>128</v>
      </c>
      <c r="F82" s="1191" t="s">
        <v>234</v>
      </c>
      <c r="G82" s="1049">
        <v>300</v>
      </c>
      <c r="H82" s="1052">
        <v>4</v>
      </c>
      <c r="I82" s="1052"/>
      <c r="J82" s="1052"/>
      <c r="K82" s="8"/>
      <c r="L82" s="8"/>
      <c r="M82" s="8"/>
      <c r="N82" s="8"/>
      <c r="P82" s="8"/>
      <c r="Q82" s="8"/>
      <c r="AN82" t="s">
        <v>437</v>
      </c>
      <c r="AO82" t="s">
        <v>437</v>
      </c>
      <c r="AP82" t="s">
        <v>2005</v>
      </c>
      <c r="AQ82" t="s">
        <v>2005</v>
      </c>
      <c r="AR82" t="s">
        <v>2003</v>
      </c>
      <c r="BI82" s="1557"/>
      <c r="BN82" s="155"/>
    </row>
    <row r="83" spans="2:66" ht="13.05" customHeight="1" x14ac:dyDescent="0.3">
      <c r="B83" s="1191" t="s">
        <v>307</v>
      </c>
      <c r="C83" s="215" t="s">
        <v>553</v>
      </c>
      <c r="D83" s="215" t="s">
        <v>537</v>
      </c>
      <c r="E83" s="1190">
        <v>172</v>
      </c>
      <c r="F83" s="215" t="s">
        <v>234</v>
      </c>
      <c r="G83" s="1050">
        <v>350</v>
      </c>
      <c r="H83" s="1052">
        <v>5</v>
      </c>
      <c r="I83" s="1052"/>
      <c r="J83" s="1052"/>
      <c r="K83" s="8"/>
      <c r="L83" s="8"/>
      <c r="M83" s="8"/>
      <c r="N83" s="8"/>
      <c r="P83" s="8"/>
      <c r="Q83" s="8"/>
      <c r="AN83" t="s">
        <v>437</v>
      </c>
      <c r="AO83" t="s">
        <v>437</v>
      </c>
      <c r="AP83" t="s">
        <v>2005</v>
      </c>
      <c r="AQ83" t="s">
        <v>2005</v>
      </c>
      <c r="AR83" t="s">
        <v>2004</v>
      </c>
      <c r="BI83" s="1557"/>
      <c r="BN83" s="155"/>
    </row>
    <row r="84" spans="2:66" ht="13.05" customHeight="1" x14ac:dyDescent="0.3">
      <c r="B84" s="1191" t="s">
        <v>307</v>
      </c>
      <c r="C84" s="215" t="s">
        <v>553</v>
      </c>
      <c r="D84" s="215" t="s">
        <v>572</v>
      </c>
      <c r="E84" s="1190">
        <v>257</v>
      </c>
      <c r="F84" s="215" t="s">
        <v>234</v>
      </c>
      <c r="G84" s="1050">
        <v>390</v>
      </c>
      <c r="H84" s="1052">
        <v>6</v>
      </c>
      <c r="I84" s="1052"/>
      <c r="J84" s="1052"/>
      <c r="K84" s="8"/>
      <c r="L84" s="8"/>
      <c r="M84" s="8"/>
      <c r="N84" s="8"/>
      <c r="P84" s="8"/>
      <c r="Q84" s="8"/>
      <c r="AN84" t="s">
        <v>437</v>
      </c>
      <c r="AO84" t="s">
        <v>437</v>
      </c>
      <c r="AP84" t="s">
        <v>2008</v>
      </c>
      <c r="AQ84" t="s">
        <v>2008</v>
      </c>
      <c r="AR84" t="s">
        <v>2006</v>
      </c>
      <c r="BI84" s="1557"/>
      <c r="BN84" s="155"/>
    </row>
    <row r="85" spans="2:66" ht="13.05" customHeight="1" x14ac:dyDescent="0.3">
      <c r="B85" s="1191" t="s">
        <v>307</v>
      </c>
      <c r="C85" s="1191" t="s">
        <v>504</v>
      </c>
      <c r="D85" s="1191" t="s">
        <v>505</v>
      </c>
      <c r="E85" s="1192">
        <v>128</v>
      </c>
      <c r="F85" s="1191" t="s">
        <v>234</v>
      </c>
      <c r="G85" s="1049">
        <v>300</v>
      </c>
      <c r="H85" s="1051">
        <v>4</v>
      </c>
      <c r="I85" s="1051"/>
      <c r="J85" s="1051"/>
      <c r="K85" s="8"/>
      <c r="L85" s="8"/>
      <c r="M85" s="8"/>
      <c r="N85" s="8"/>
      <c r="P85" s="8"/>
      <c r="Q85" s="8"/>
      <c r="AN85" t="s">
        <v>437</v>
      </c>
      <c r="AO85" t="s">
        <v>437</v>
      </c>
      <c r="AP85" t="s">
        <v>2008</v>
      </c>
      <c r="AQ85" t="s">
        <v>2008</v>
      </c>
      <c r="AR85" t="s">
        <v>2007</v>
      </c>
      <c r="BI85" s="1557"/>
      <c r="BN85" s="155"/>
    </row>
    <row r="86" spans="2:66" ht="13.05" customHeight="1" x14ac:dyDescent="0.3">
      <c r="B86" s="1191" t="s">
        <v>307</v>
      </c>
      <c r="C86" s="1191" t="s">
        <v>504</v>
      </c>
      <c r="D86" s="215" t="s">
        <v>498</v>
      </c>
      <c r="E86" s="1190">
        <v>172</v>
      </c>
      <c r="F86" s="1191" t="s">
        <v>234</v>
      </c>
      <c r="G86" s="1050">
        <v>350</v>
      </c>
      <c r="H86" s="1052">
        <v>5</v>
      </c>
      <c r="I86" s="1052"/>
      <c r="J86" s="1052"/>
      <c r="K86" s="8"/>
      <c r="L86" s="8"/>
      <c r="M86" s="8"/>
      <c r="N86" s="8"/>
      <c r="P86" s="8"/>
      <c r="Q86" s="8"/>
      <c r="AN86" t="s">
        <v>437</v>
      </c>
      <c r="AO86" t="s">
        <v>437</v>
      </c>
      <c r="AP86" t="s">
        <v>2015</v>
      </c>
      <c r="AQ86" t="s">
        <v>2015</v>
      </c>
      <c r="AR86" t="s">
        <v>2009</v>
      </c>
      <c r="BI86" s="1557"/>
      <c r="BN86" s="155"/>
    </row>
    <row r="87" spans="2:66" ht="13.05" customHeight="1" x14ac:dyDescent="0.3">
      <c r="B87" s="1191" t="s">
        <v>307</v>
      </c>
      <c r="C87" s="1191" t="s">
        <v>483</v>
      </c>
      <c r="D87" s="1191" t="s">
        <v>420</v>
      </c>
      <c r="E87" s="1192">
        <v>77</v>
      </c>
      <c r="F87" s="1191" t="s">
        <v>234</v>
      </c>
      <c r="G87" s="1049">
        <v>200</v>
      </c>
      <c r="H87" s="1051">
        <v>2</v>
      </c>
      <c r="I87" s="1051"/>
      <c r="J87" s="1051"/>
      <c r="K87" s="8"/>
      <c r="L87" s="8"/>
      <c r="M87" s="8"/>
      <c r="N87" s="8"/>
      <c r="P87" s="8"/>
      <c r="Q87" s="8"/>
      <c r="AN87" t="s">
        <v>437</v>
      </c>
      <c r="AO87" t="s">
        <v>437</v>
      </c>
      <c r="AP87" t="s">
        <v>2015</v>
      </c>
      <c r="AQ87" t="s">
        <v>2015</v>
      </c>
      <c r="AR87" t="s">
        <v>2010</v>
      </c>
      <c r="BI87" s="1557"/>
      <c r="BN87" s="155"/>
    </row>
    <row r="88" spans="2:66" ht="13.05" customHeight="1" x14ac:dyDescent="0.3">
      <c r="B88" s="1191" t="s">
        <v>307</v>
      </c>
      <c r="C88" s="1191" t="s">
        <v>483</v>
      </c>
      <c r="D88" s="1191" t="s">
        <v>407</v>
      </c>
      <c r="E88" s="1192">
        <v>96</v>
      </c>
      <c r="F88" s="1191" t="s">
        <v>234</v>
      </c>
      <c r="G88" s="1049">
        <v>240</v>
      </c>
      <c r="H88" s="1052">
        <v>3</v>
      </c>
      <c r="I88" s="1052"/>
      <c r="J88" s="1052"/>
      <c r="K88" s="8"/>
      <c r="L88" s="8"/>
      <c r="M88" s="8"/>
      <c r="N88" s="8"/>
      <c r="P88" s="8"/>
      <c r="Q88" s="8"/>
      <c r="AN88" t="s">
        <v>437</v>
      </c>
      <c r="AO88" t="s">
        <v>437</v>
      </c>
      <c r="AP88" t="s">
        <v>2015</v>
      </c>
      <c r="AQ88" t="s">
        <v>2015</v>
      </c>
      <c r="AR88" t="s">
        <v>2011</v>
      </c>
      <c r="BI88" s="1557"/>
      <c r="BN88" s="155"/>
    </row>
    <row r="89" spans="2:66" ht="13.05" customHeight="1" x14ac:dyDescent="0.3">
      <c r="B89" s="215" t="s">
        <v>307</v>
      </c>
      <c r="C89" s="215" t="s">
        <v>485</v>
      </c>
      <c r="D89" s="215" t="s">
        <v>420</v>
      </c>
      <c r="E89" s="1190">
        <v>77</v>
      </c>
      <c r="F89" s="215" t="s">
        <v>234</v>
      </c>
      <c r="G89" s="1050">
        <v>200</v>
      </c>
      <c r="H89" s="1052">
        <v>2</v>
      </c>
      <c r="I89" s="1052"/>
      <c r="J89" s="1052"/>
      <c r="K89" s="8"/>
      <c r="L89" s="8"/>
      <c r="M89" s="8"/>
      <c r="N89" s="8"/>
      <c r="P89" s="8"/>
      <c r="Q89" s="8"/>
      <c r="AN89" t="s">
        <v>437</v>
      </c>
      <c r="AO89" t="s">
        <v>437</v>
      </c>
      <c r="AP89" t="s">
        <v>2015</v>
      </c>
      <c r="AQ89" t="s">
        <v>2015</v>
      </c>
      <c r="AR89" t="s">
        <v>2012</v>
      </c>
      <c r="BI89" s="1557"/>
      <c r="BN89" s="155"/>
    </row>
    <row r="90" spans="2:66" ht="13.05" customHeight="1" x14ac:dyDescent="0.3">
      <c r="B90" s="215" t="s">
        <v>307</v>
      </c>
      <c r="C90" s="215" t="s">
        <v>485</v>
      </c>
      <c r="D90" s="1191" t="s">
        <v>407</v>
      </c>
      <c r="E90" s="1192">
        <v>96</v>
      </c>
      <c r="F90" s="215" t="s">
        <v>234</v>
      </c>
      <c r="G90" s="1049">
        <v>240</v>
      </c>
      <c r="H90" s="1052">
        <v>3</v>
      </c>
      <c r="I90" s="1052"/>
      <c r="J90" s="1052"/>
      <c r="K90" s="8"/>
      <c r="L90" s="8"/>
      <c r="M90" s="8"/>
      <c r="N90" s="8"/>
      <c r="P90" s="8"/>
      <c r="Q90" s="8"/>
      <c r="AN90" t="s">
        <v>437</v>
      </c>
      <c r="AO90" t="s">
        <v>437</v>
      </c>
      <c r="AP90" t="s">
        <v>2015</v>
      </c>
      <c r="AQ90" t="s">
        <v>2015</v>
      </c>
      <c r="AR90" t="s">
        <v>2013</v>
      </c>
      <c r="BI90" s="1557"/>
      <c r="BN90" s="155"/>
    </row>
    <row r="91" spans="2:66" ht="13.05" customHeight="1" x14ac:dyDescent="0.3">
      <c r="B91" s="215" t="s">
        <v>307</v>
      </c>
      <c r="C91" s="1191" t="s">
        <v>487</v>
      </c>
      <c r="D91" s="215" t="s">
        <v>420</v>
      </c>
      <c r="E91" s="1190">
        <v>77</v>
      </c>
      <c r="F91" s="215" t="s">
        <v>234</v>
      </c>
      <c r="G91" s="1050">
        <v>200</v>
      </c>
      <c r="H91" s="1052">
        <v>2</v>
      </c>
      <c r="I91" s="1052"/>
      <c r="J91" s="1052"/>
      <c r="K91" s="8"/>
      <c r="L91" s="8"/>
      <c r="M91" s="8"/>
      <c r="N91" s="8"/>
      <c r="P91" s="8"/>
      <c r="Q91" s="8"/>
      <c r="AN91" t="s">
        <v>437</v>
      </c>
      <c r="AO91" t="s">
        <v>437</v>
      </c>
      <c r="AP91" t="s">
        <v>2015</v>
      </c>
      <c r="AQ91" t="s">
        <v>2015</v>
      </c>
      <c r="AR91" t="s">
        <v>2014</v>
      </c>
      <c r="BI91" s="1557"/>
      <c r="BK91" s="1558"/>
      <c r="BN91" s="155"/>
    </row>
    <row r="92" spans="2:66" ht="13.05" customHeight="1" x14ac:dyDescent="0.3">
      <c r="B92" s="1191" t="s">
        <v>307</v>
      </c>
      <c r="C92" s="1191" t="s">
        <v>487</v>
      </c>
      <c r="D92" s="1191" t="s">
        <v>407</v>
      </c>
      <c r="E92" s="1192">
        <v>96</v>
      </c>
      <c r="F92" s="1191" t="s">
        <v>234</v>
      </c>
      <c r="G92" s="1049">
        <v>240</v>
      </c>
      <c r="H92" s="1193">
        <v>3</v>
      </c>
      <c r="I92" s="1193"/>
      <c r="J92" s="1193"/>
      <c r="K92" s="8"/>
      <c r="L92" s="8"/>
      <c r="M92" s="8"/>
      <c r="N92" s="8"/>
      <c r="P92" s="8"/>
      <c r="Q92" s="8"/>
      <c r="AN92" t="s">
        <v>437</v>
      </c>
      <c r="AO92" t="s">
        <v>437</v>
      </c>
      <c r="AP92" t="s">
        <v>2019</v>
      </c>
      <c r="AQ92" t="s">
        <v>2019</v>
      </c>
      <c r="AR92" t="s">
        <v>2016</v>
      </c>
      <c r="BI92" s="1557"/>
      <c r="BN92" s="155"/>
    </row>
    <row r="93" spans="2:66" ht="13.05" customHeight="1" x14ac:dyDescent="0.3">
      <c r="B93" s="1191" t="s">
        <v>307</v>
      </c>
      <c r="C93" s="1191" t="s">
        <v>560</v>
      </c>
      <c r="D93" s="1191" t="s">
        <v>531</v>
      </c>
      <c r="E93" s="1192">
        <v>128</v>
      </c>
      <c r="F93" s="215" t="s">
        <v>234</v>
      </c>
      <c r="G93" s="1049">
        <v>300</v>
      </c>
      <c r="H93" s="1052">
        <v>4</v>
      </c>
      <c r="I93" s="1052"/>
      <c r="J93" s="1052"/>
      <c r="K93" s="8"/>
      <c r="L93" s="8"/>
      <c r="M93" s="8"/>
      <c r="N93" s="8"/>
      <c r="P93" s="8"/>
      <c r="Q93" s="8"/>
      <c r="AN93" t="s">
        <v>437</v>
      </c>
      <c r="AO93" t="s">
        <v>437</v>
      </c>
      <c r="AP93" t="s">
        <v>2019</v>
      </c>
      <c r="AQ93" t="s">
        <v>2019</v>
      </c>
      <c r="AR93" t="s">
        <v>2017</v>
      </c>
      <c r="BI93" s="1557"/>
      <c r="BN93" s="155"/>
    </row>
    <row r="94" spans="2:66" ht="13.05" customHeight="1" x14ac:dyDescent="0.3">
      <c r="B94" s="1191" t="s">
        <v>307</v>
      </c>
      <c r="C94" s="1191" t="s">
        <v>560</v>
      </c>
      <c r="D94" s="1191" t="s">
        <v>537</v>
      </c>
      <c r="E94" s="1192">
        <v>172</v>
      </c>
      <c r="F94" s="215" t="s">
        <v>234</v>
      </c>
      <c r="G94" s="1049">
        <v>350</v>
      </c>
      <c r="H94" s="1051">
        <v>5</v>
      </c>
      <c r="I94" s="1051"/>
      <c r="J94" s="1051"/>
      <c r="K94" s="8"/>
      <c r="L94" s="8"/>
      <c r="M94" s="8"/>
      <c r="N94" s="8"/>
      <c r="P94" s="8"/>
      <c r="Q94" s="8"/>
      <c r="AN94" t="s">
        <v>437</v>
      </c>
      <c r="AO94" t="s">
        <v>437</v>
      </c>
      <c r="AP94" t="s">
        <v>2019</v>
      </c>
      <c r="AQ94" t="s">
        <v>2019</v>
      </c>
      <c r="AR94" t="s">
        <v>2018</v>
      </c>
      <c r="BI94" s="1557"/>
      <c r="BN94" s="155"/>
    </row>
    <row r="95" spans="2:66" ht="13.05" customHeight="1" x14ac:dyDescent="0.3">
      <c r="B95" s="1191" t="s">
        <v>307</v>
      </c>
      <c r="C95" s="1191" t="s">
        <v>560</v>
      </c>
      <c r="D95" s="215" t="s">
        <v>572</v>
      </c>
      <c r="E95" s="1190">
        <v>257</v>
      </c>
      <c r="F95" s="215" t="s">
        <v>234</v>
      </c>
      <c r="G95" s="1050">
        <v>390</v>
      </c>
      <c r="H95" s="1052">
        <v>6</v>
      </c>
      <c r="I95" s="1052"/>
      <c r="J95" s="1052"/>
      <c r="K95" s="8"/>
      <c r="L95" s="8"/>
      <c r="M95" s="8"/>
      <c r="N95" s="8"/>
      <c r="P95" s="8"/>
      <c r="Q95" s="8"/>
      <c r="AN95" t="s">
        <v>437</v>
      </c>
      <c r="AO95" t="s">
        <v>437</v>
      </c>
      <c r="AP95" t="s">
        <v>2021</v>
      </c>
      <c r="AQ95" t="s">
        <v>2021</v>
      </c>
      <c r="AR95" t="s">
        <v>2001</v>
      </c>
      <c r="BI95" s="1557"/>
      <c r="BN95" s="155"/>
    </row>
    <row r="96" spans="2:66" ht="13.05" customHeight="1" x14ac:dyDescent="0.3">
      <c r="B96" s="215" t="s">
        <v>307</v>
      </c>
      <c r="C96" s="215" t="s">
        <v>1572</v>
      </c>
      <c r="D96" s="215" t="s">
        <v>1914</v>
      </c>
      <c r="E96" s="1190">
        <v>65</v>
      </c>
      <c r="F96" s="215" t="s">
        <v>234</v>
      </c>
      <c r="G96" s="1050">
        <v>90</v>
      </c>
      <c r="H96" s="1052">
        <v>0</v>
      </c>
      <c r="I96" s="1052"/>
      <c r="J96" s="1052"/>
      <c r="K96" s="8"/>
      <c r="L96" s="8"/>
      <c r="M96" s="8"/>
      <c r="N96" s="8"/>
      <c r="P96" s="8"/>
      <c r="Q96" s="8"/>
      <c r="AN96" t="s">
        <v>437</v>
      </c>
      <c r="AO96" t="s">
        <v>437</v>
      </c>
      <c r="AP96" t="s">
        <v>2021</v>
      </c>
      <c r="AQ96" t="s">
        <v>2021</v>
      </c>
      <c r="AR96" t="s">
        <v>2002</v>
      </c>
      <c r="BI96" s="1557"/>
      <c r="BN96" s="155"/>
    </row>
    <row r="97" spans="1:66" ht="13.05" customHeight="1" x14ac:dyDescent="0.3">
      <c r="B97" s="1191" t="s">
        <v>307</v>
      </c>
      <c r="C97" s="215" t="s">
        <v>489</v>
      </c>
      <c r="D97" s="215" t="s">
        <v>420</v>
      </c>
      <c r="E97" s="1190">
        <v>77</v>
      </c>
      <c r="F97" s="215" t="s">
        <v>234</v>
      </c>
      <c r="G97" s="1050">
        <v>200</v>
      </c>
      <c r="H97" s="1194">
        <v>2</v>
      </c>
      <c r="I97" s="1194"/>
      <c r="J97" s="1194"/>
      <c r="K97" s="8"/>
      <c r="L97" s="8"/>
      <c r="M97" s="8"/>
      <c r="N97" s="8"/>
      <c r="P97" s="8"/>
      <c r="Q97" s="8"/>
      <c r="AN97" t="s">
        <v>437</v>
      </c>
      <c r="AO97" t="s">
        <v>437</v>
      </c>
      <c r="AP97" t="s">
        <v>2021</v>
      </c>
      <c r="AQ97" t="s">
        <v>2021</v>
      </c>
      <c r="AR97" t="s">
        <v>2003</v>
      </c>
      <c r="BI97" s="1557"/>
      <c r="BN97" s="155"/>
    </row>
    <row r="98" spans="1:66" ht="13.05" customHeight="1" x14ac:dyDescent="0.3">
      <c r="B98" s="215" t="s">
        <v>307</v>
      </c>
      <c r="C98" s="215" t="s">
        <v>489</v>
      </c>
      <c r="D98" s="215" t="s">
        <v>407</v>
      </c>
      <c r="E98" s="1190">
        <v>96</v>
      </c>
      <c r="F98" s="215" t="s">
        <v>234</v>
      </c>
      <c r="G98" s="1050">
        <v>240</v>
      </c>
      <c r="H98" s="1195">
        <v>3</v>
      </c>
      <c r="I98" s="1195"/>
      <c r="J98" s="1195"/>
      <c r="K98" s="8"/>
      <c r="L98" s="8"/>
      <c r="M98" s="8"/>
      <c r="N98" s="8"/>
      <c r="P98" s="8"/>
      <c r="Q98" s="8"/>
      <c r="AN98" t="s">
        <v>437</v>
      </c>
      <c r="AO98" t="s">
        <v>437</v>
      </c>
      <c r="AP98" t="s">
        <v>2021</v>
      </c>
      <c r="AQ98" t="s">
        <v>2021</v>
      </c>
      <c r="AR98" t="s">
        <v>1950</v>
      </c>
      <c r="BI98" s="1557"/>
      <c r="BN98" s="155"/>
    </row>
    <row r="99" spans="1:66" ht="13.05" customHeight="1" x14ac:dyDescent="0.3">
      <c r="B99" s="1191" t="s">
        <v>307</v>
      </c>
      <c r="C99" s="215" t="s">
        <v>549</v>
      </c>
      <c r="D99" s="215" t="s">
        <v>420</v>
      </c>
      <c r="E99" s="1190">
        <v>77</v>
      </c>
      <c r="F99" s="215" t="s">
        <v>234</v>
      </c>
      <c r="G99" s="1050">
        <v>200</v>
      </c>
      <c r="H99" s="1052">
        <v>2</v>
      </c>
      <c r="I99" s="1052"/>
      <c r="J99" s="1052"/>
      <c r="K99" s="8"/>
      <c r="L99" s="8"/>
      <c r="M99" s="8"/>
      <c r="N99" s="8"/>
      <c r="P99" s="8"/>
      <c r="Q99" s="8"/>
      <c r="AN99" t="s">
        <v>437</v>
      </c>
      <c r="AO99" t="s">
        <v>437</v>
      </c>
      <c r="AP99" t="s">
        <v>2021</v>
      </c>
      <c r="AQ99" t="s">
        <v>2021</v>
      </c>
      <c r="AR99" t="s">
        <v>2020</v>
      </c>
    </row>
    <row r="100" spans="1:66" ht="13.05" customHeight="1" x14ac:dyDescent="0.3">
      <c r="B100" s="1191" t="s">
        <v>307</v>
      </c>
      <c r="C100" s="215" t="s">
        <v>549</v>
      </c>
      <c r="D100" s="1191" t="s">
        <v>407</v>
      </c>
      <c r="E100" s="1192">
        <v>96</v>
      </c>
      <c r="F100" s="215" t="s">
        <v>234</v>
      </c>
      <c r="G100" s="1049">
        <v>240</v>
      </c>
      <c r="H100" s="1052">
        <v>3</v>
      </c>
      <c r="I100" s="1052"/>
      <c r="J100" s="1052"/>
      <c r="K100" s="8"/>
      <c r="L100" s="8"/>
      <c r="M100" s="8"/>
      <c r="N100" s="8"/>
      <c r="P100" s="8"/>
      <c r="Q100" s="8"/>
      <c r="AN100" t="s">
        <v>437</v>
      </c>
      <c r="AO100" t="s">
        <v>437</v>
      </c>
      <c r="AP100" t="s">
        <v>2022</v>
      </c>
      <c r="AQ100" t="s">
        <v>2022</v>
      </c>
      <c r="AR100" t="s">
        <v>1952</v>
      </c>
    </row>
    <row r="101" spans="1:66" ht="13.05" customHeight="1" x14ac:dyDescent="0.3">
      <c r="B101" s="1191" t="s">
        <v>307</v>
      </c>
      <c r="C101" s="1191" t="s">
        <v>578</v>
      </c>
      <c r="D101" s="1191" t="s">
        <v>1924</v>
      </c>
      <c r="E101" s="1192">
        <v>128</v>
      </c>
      <c r="F101" s="1191" t="s">
        <v>234</v>
      </c>
      <c r="G101" s="1049">
        <v>300</v>
      </c>
      <c r="H101" s="1051">
        <v>4</v>
      </c>
      <c r="I101" s="1051"/>
      <c r="J101" s="1051"/>
      <c r="K101" s="8"/>
      <c r="L101" s="8"/>
      <c r="M101" s="8"/>
      <c r="N101" s="8"/>
      <c r="P101" s="8"/>
      <c r="Q101" s="8"/>
      <c r="AN101" t="s">
        <v>437</v>
      </c>
      <c r="AO101" t="s">
        <v>437</v>
      </c>
      <c r="AP101" t="s">
        <v>2022</v>
      </c>
      <c r="AQ101" t="s">
        <v>2022</v>
      </c>
      <c r="AR101" t="s">
        <v>1953</v>
      </c>
    </row>
    <row r="102" spans="1:66" ht="13.05" customHeight="1" x14ac:dyDescent="0.3">
      <c r="B102" s="1191" t="s">
        <v>307</v>
      </c>
      <c r="C102" s="1191" t="s">
        <v>578</v>
      </c>
      <c r="D102" s="1191" t="s">
        <v>1923</v>
      </c>
      <c r="E102" s="1192">
        <v>172</v>
      </c>
      <c r="F102" s="1191" t="s">
        <v>234</v>
      </c>
      <c r="G102" s="1049">
        <v>350</v>
      </c>
      <c r="H102" s="1052">
        <v>5</v>
      </c>
      <c r="I102" s="1052"/>
      <c r="J102" s="1052"/>
      <c r="K102" s="8"/>
      <c r="L102" s="8"/>
      <c r="M102" s="8"/>
      <c r="N102" s="8"/>
      <c r="P102" s="8"/>
      <c r="Q102" s="8"/>
      <c r="AN102" t="s">
        <v>437</v>
      </c>
      <c r="AO102" t="s">
        <v>437</v>
      </c>
      <c r="AP102" t="s">
        <v>2022</v>
      </c>
      <c r="AQ102" t="s">
        <v>2022</v>
      </c>
      <c r="AR102" t="s">
        <v>1954</v>
      </c>
    </row>
    <row r="103" spans="1:66" ht="13.05" customHeight="1" x14ac:dyDescent="0.3">
      <c r="B103" s="1191" t="s">
        <v>307</v>
      </c>
      <c r="C103" s="1191" t="s">
        <v>578</v>
      </c>
      <c r="D103" s="215" t="s">
        <v>1921</v>
      </c>
      <c r="E103" s="1190">
        <v>257</v>
      </c>
      <c r="F103" s="1191" t="s">
        <v>234</v>
      </c>
      <c r="G103" s="1190">
        <v>390</v>
      </c>
      <c r="H103" s="1052">
        <v>6</v>
      </c>
      <c r="I103" s="1052"/>
      <c r="J103" s="1052"/>
      <c r="K103" s="8"/>
      <c r="L103" s="8"/>
      <c r="M103" s="8"/>
      <c r="N103" s="8"/>
      <c r="P103" s="8"/>
      <c r="Q103" s="8"/>
      <c r="AN103" t="s">
        <v>437</v>
      </c>
      <c r="AO103" t="s">
        <v>437</v>
      </c>
      <c r="AP103" t="s">
        <v>2022</v>
      </c>
      <c r="AQ103" t="s">
        <v>2022</v>
      </c>
      <c r="AR103" t="s">
        <v>1955</v>
      </c>
    </row>
    <row r="104" spans="1:66" ht="13.05" customHeight="1" x14ac:dyDescent="0.3">
      <c r="B104" s="215" t="s">
        <v>307</v>
      </c>
      <c r="C104" s="215" t="s">
        <v>571</v>
      </c>
      <c r="D104" s="215" t="s">
        <v>572</v>
      </c>
      <c r="E104" s="1190">
        <v>257</v>
      </c>
      <c r="F104" s="215" t="s">
        <v>234</v>
      </c>
      <c r="G104" s="1190">
        <v>390</v>
      </c>
      <c r="H104" s="1052">
        <v>6</v>
      </c>
      <c r="I104" s="1052"/>
      <c r="J104" s="1052"/>
      <c r="K104" s="8"/>
      <c r="L104" s="8"/>
      <c r="M104" s="8"/>
      <c r="N104" s="8"/>
      <c r="P104" s="8"/>
      <c r="Q104" s="8"/>
      <c r="AN104" t="s">
        <v>437</v>
      </c>
      <c r="AO104" t="s">
        <v>437</v>
      </c>
      <c r="AP104" t="s">
        <v>2023</v>
      </c>
      <c r="AQ104" t="s">
        <v>2023</v>
      </c>
      <c r="AR104" t="s">
        <v>1956</v>
      </c>
    </row>
    <row r="105" spans="1:66" ht="13.05" customHeight="1" x14ac:dyDescent="0.3">
      <c r="B105" s="215" t="s">
        <v>307</v>
      </c>
      <c r="C105" s="1191" t="s">
        <v>491</v>
      </c>
      <c r="D105" s="215" t="s">
        <v>420</v>
      </c>
      <c r="E105" s="1190">
        <v>77</v>
      </c>
      <c r="F105" s="215" t="s">
        <v>234</v>
      </c>
      <c r="G105" s="1050">
        <v>200</v>
      </c>
      <c r="H105" s="1194">
        <v>2</v>
      </c>
      <c r="I105" s="1194"/>
      <c r="J105" s="1194"/>
      <c r="K105" s="8"/>
      <c r="L105" s="8"/>
      <c r="M105" s="8"/>
      <c r="N105" s="8"/>
      <c r="P105" s="8"/>
      <c r="Q105" s="8"/>
      <c r="AN105" t="s">
        <v>437</v>
      </c>
      <c r="AO105" t="s">
        <v>437</v>
      </c>
      <c r="AP105" t="s">
        <v>2023</v>
      </c>
      <c r="AQ105" t="s">
        <v>2023</v>
      </c>
      <c r="AR105" t="s">
        <v>1958</v>
      </c>
    </row>
    <row r="106" spans="1:66" ht="13.05" customHeight="1" x14ac:dyDescent="0.3">
      <c r="B106" s="215" t="s">
        <v>307</v>
      </c>
      <c r="C106" s="1191" t="s">
        <v>491</v>
      </c>
      <c r="D106" s="1191" t="s">
        <v>407</v>
      </c>
      <c r="E106" s="1192">
        <v>96</v>
      </c>
      <c r="F106" s="1191" t="s">
        <v>234</v>
      </c>
      <c r="G106" s="1049">
        <v>240</v>
      </c>
      <c r="H106" s="1193">
        <v>3</v>
      </c>
      <c r="I106" s="1193"/>
      <c r="J106" s="1193"/>
      <c r="K106" s="8"/>
      <c r="L106" s="8"/>
      <c r="M106" s="8"/>
      <c r="N106" s="8"/>
      <c r="P106" s="8"/>
      <c r="Q106" s="8"/>
      <c r="AN106" t="s">
        <v>437</v>
      </c>
      <c r="AO106" t="s">
        <v>437</v>
      </c>
      <c r="AP106" t="s">
        <v>2023</v>
      </c>
      <c r="AQ106" t="s">
        <v>2023</v>
      </c>
      <c r="AR106" t="s">
        <v>1959</v>
      </c>
    </row>
    <row r="107" spans="1:66" ht="13.05" customHeight="1" x14ac:dyDescent="0.3">
      <c r="B107" s="215" t="s">
        <v>307</v>
      </c>
      <c r="C107" s="1191" t="s">
        <v>491</v>
      </c>
      <c r="D107" s="215" t="s">
        <v>505</v>
      </c>
      <c r="E107" s="1190">
        <v>128</v>
      </c>
      <c r="F107" s="1191" t="s">
        <v>234</v>
      </c>
      <c r="G107" s="1050">
        <v>300</v>
      </c>
      <c r="H107" s="1194">
        <v>4</v>
      </c>
      <c r="I107" s="1194"/>
      <c r="J107" s="1194"/>
      <c r="K107" s="8"/>
      <c r="L107" s="8"/>
      <c r="M107" s="8"/>
      <c r="N107" s="8"/>
      <c r="P107" s="8"/>
      <c r="Q107" s="8"/>
      <c r="AN107" t="s">
        <v>437</v>
      </c>
      <c r="AO107" t="s">
        <v>437</v>
      </c>
      <c r="AP107" t="s">
        <v>2023</v>
      </c>
      <c r="AQ107" t="s">
        <v>2023</v>
      </c>
      <c r="AR107" t="s">
        <v>1928</v>
      </c>
    </row>
    <row r="108" spans="1:66" ht="13.05" customHeight="1" x14ac:dyDescent="0.3">
      <c r="B108" s="215" t="s">
        <v>307</v>
      </c>
      <c r="C108" s="215" t="s">
        <v>507</v>
      </c>
      <c r="D108" s="215" t="s">
        <v>505</v>
      </c>
      <c r="E108" s="1190">
        <v>128</v>
      </c>
      <c r="F108" s="215" t="s">
        <v>234</v>
      </c>
      <c r="G108" s="1050">
        <v>300</v>
      </c>
      <c r="H108" s="1052">
        <v>4</v>
      </c>
      <c r="I108" s="1052"/>
      <c r="J108" s="1052"/>
      <c r="K108" s="8"/>
      <c r="L108" s="8"/>
      <c r="M108" s="8"/>
      <c r="N108" s="8"/>
      <c r="P108" s="8"/>
      <c r="Q108" s="8"/>
      <c r="AN108" t="s">
        <v>437</v>
      </c>
      <c r="AO108" t="s">
        <v>437</v>
      </c>
      <c r="AP108" t="s">
        <v>2024</v>
      </c>
      <c r="AQ108" t="s">
        <v>2024</v>
      </c>
      <c r="AR108" t="s">
        <v>2001</v>
      </c>
    </row>
    <row r="109" spans="1:66" ht="13.05" customHeight="1" x14ac:dyDescent="0.3">
      <c r="B109" s="215" t="s">
        <v>307</v>
      </c>
      <c r="C109" s="215" t="s">
        <v>507</v>
      </c>
      <c r="D109" s="1191" t="s">
        <v>498</v>
      </c>
      <c r="E109" s="1192">
        <v>172</v>
      </c>
      <c r="F109" s="215" t="s">
        <v>234</v>
      </c>
      <c r="G109" s="1049">
        <v>350</v>
      </c>
      <c r="H109" s="1052">
        <v>5</v>
      </c>
      <c r="I109" s="1052"/>
      <c r="J109" s="1052"/>
      <c r="K109" s="8"/>
      <c r="L109" s="8"/>
      <c r="M109" s="8"/>
      <c r="N109" s="8"/>
      <c r="P109" s="8"/>
      <c r="Q109" s="8"/>
      <c r="AN109" t="s">
        <v>437</v>
      </c>
      <c r="AO109" t="s">
        <v>437</v>
      </c>
      <c r="AP109" t="s">
        <v>2024</v>
      </c>
      <c r="AQ109" t="s">
        <v>2024</v>
      </c>
      <c r="AR109" t="s">
        <v>2006</v>
      </c>
    </row>
    <row r="110" spans="1:66" ht="13.05" customHeight="1" x14ac:dyDescent="0.3">
      <c r="B110" s="215" t="s">
        <v>307</v>
      </c>
      <c r="C110" s="215" t="s">
        <v>493</v>
      </c>
      <c r="D110" s="215" t="s">
        <v>420</v>
      </c>
      <c r="E110" s="1190">
        <v>77</v>
      </c>
      <c r="F110" s="215" t="s">
        <v>234</v>
      </c>
      <c r="G110" s="1050">
        <v>200</v>
      </c>
      <c r="H110" s="1194">
        <v>2</v>
      </c>
      <c r="I110" s="1194"/>
      <c r="J110" s="1194"/>
      <c r="K110" s="8"/>
      <c r="L110" s="8"/>
      <c r="M110" s="8"/>
      <c r="N110" s="8"/>
      <c r="P110" s="8"/>
      <c r="Q110" s="8"/>
      <c r="AN110" t="s">
        <v>437</v>
      </c>
      <c r="AO110" t="s">
        <v>437</v>
      </c>
      <c r="AP110" t="s">
        <v>2024</v>
      </c>
      <c r="AQ110" t="s">
        <v>2024</v>
      </c>
      <c r="AR110" t="s">
        <v>2007</v>
      </c>
    </row>
    <row r="111" spans="1:66" ht="13.05" customHeight="1" x14ac:dyDescent="0.3">
      <c r="B111" s="215" t="s">
        <v>307</v>
      </c>
      <c r="C111" s="215" t="s">
        <v>493</v>
      </c>
      <c r="D111" s="215" t="s">
        <v>407</v>
      </c>
      <c r="E111" s="1190">
        <v>96</v>
      </c>
      <c r="F111" s="215" t="s">
        <v>234</v>
      </c>
      <c r="G111" s="1050">
        <v>240</v>
      </c>
      <c r="H111" s="1195">
        <v>3</v>
      </c>
      <c r="I111" s="1195"/>
      <c r="J111" s="1195"/>
      <c r="K111" s="8"/>
      <c r="L111" s="8"/>
      <c r="M111" s="8"/>
      <c r="N111" s="8"/>
      <c r="P111" s="8"/>
      <c r="Q111" s="8"/>
      <c r="AN111" t="s">
        <v>437</v>
      </c>
      <c r="AO111" t="s">
        <v>437</v>
      </c>
      <c r="AP111" t="s">
        <v>2024</v>
      </c>
      <c r="AQ111" t="s">
        <v>2024</v>
      </c>
      <c r="AR111" t="s">
        <v>2002</v>
      </c>
    </row>
    <row r="112" spans="1:66" ht="13.05" customHeight="1" x14ac:dyDescent="0.3">
      <c r="A112" s="10"/>
      <c r="B112" s="215" t="s">
        <v>307</v>
      </c>
      <c r="C112" s="1191" t="s">
        <v>523</v>
      </c>
      <c r="D112" s="215" t="s">
        <v>505</v>
      </c>
      <c r="E112" s="1190">
        <v>128</v>
      </c>
      <c r="F112" s="215" t="s">
        <v>234</v>
      </c>
      <c r="G112" s="1050">
        <v>300</v>
      </c>
      <c r="H112" s="1052">
        <v>4</v>
      </c>
      <c r="I112" s="1052"/>
      <c r="J112" s="1052"/>
      <c r="AN112" t="s">
        <v>437</v>
      </c>
      <c r="AO112" t="s">
        <v>437</v>
      </c>
      <c r="AP112" t="s">
        <v>2024</v>
      </c>
      <c r="AQ112" t="s">
        <v>2024</v>
      </c>
      <c r="AR112" t="s">
        <v>2003</v>
      </c>
    </row>
    <row r="113" spans="1:44" ht="13.05" customHeight="1" x14ac:dyDescent="0.3">
      <c r="A113" s="10"/>
      <c r="B113" s="215" t="s">
        <v>307</v>
      </c>
      <c r="C113" s="1191" t="s">
        <v>523</v>
      </c>
      <c r="D113" s="1191" t="s">
        <v>498</v>
      </c>
      <c r="E113" s="1192">
        <v>172</v>
      </c>
      <c r="F113" s="215" t="s">
        <v>234</v>
      </c>
      <c r="G113" s="1049">
        <v>350</v>
      </c>
      <c r="H113" s="1051">
        <v>5</v>
      </c>
      <c r="I113" s="1051"/>
      <c r="J113" s="1051"/>
      <c r="AN113" t="s">
        <v>437</v>
      </c>
      <c r="AO113" t="s">
        <v>437</v>
      </c>
      <c r="AP113" t="s">
        <v>2024</v>
      </c>
      <c r="AQ113" t="s">
        <v>2024</v>
      </c>
      <c r="AR113" t="s">
        <v>2020</v>
      </c>
    </row>
    <row r="114" spans="1:44" ht="13.05" customHeight="1" x14ac:dyDescent="0.3">
      <c r="A114" s="10"/>
      <c r="B114" s="215" t="s">
        <v>307</v>
      </c>
      <c r="C114" s="1191" t="s">
        <v>523</v>
      </c>
      <c r="D114" s="215" t="s">
        <v>1921</v>
      </c>
      <c r="E114" s="1190">
        <v>257</v>
      </c>
      <c r="F114" s="215" t="s">
        <v>234</v>
      </c>
      <c r="G114" s="1050">
        <v>390</v>
      </c>
      <c r="H114" s="1052">
        <v>6</v>
      </c>
      <c r="I114" s="1052"/>
      <c r="J114" s="1052"/>
      <c r="AN114" t="s">
        <v>447</v>
      </c>
      <c r="AO114" t="s">
        <v>2029</v>
      </c>
      <c r="AP114" t="s">
        <v>2027</v>
      </c>
      <c r="AQ114" t="s">
        <v>2049</v>
      </c>
      <c r="AR114" t="s">
        <v>2025</v>
      </c>
    </row>
    <row r="115" spans="1:44" ht="13.05" customHeight="1" x14ac:dyDescent="0.3">
      <c r="A115" s="10"/>
      <c r="B115" s="215" t="s">
        <v>307</v>
      </c>
      <c r="C115" s="215" t="s">
        <v>579</v>
      </c>
      <c r="D115" s="215" t="s">
        <v>1922</v>
      </c>
      <c r="E115" s="1190">
        <v>128</v>
      </c>
      <c r="F115" s="215" t="s">
        <v>234</v>
      </c>
      <c r="G115" s="1050">
        <v>300</v>
      </c>
      <c r="H115" s="1052">
        <v>4</v>
      </c>
      <c r="I115" s="1052"/>
      <c r="J115" s="1052"/>
      <c r="AN115" t="s">
        <v>447</v>
      </c>
      <c r="AO115" t="s">
        <v>2029</v>
      </c>
      <c r="AP115" t="s">
        <v>2027</v>
      </c>
      <c r="AQ115" t="s">
        <v>2049</v>
      </c>
      <c r="AR115" t="s">
        <v>2026</v>
      </c>
    </row>
    <row r="116" spans="1:44" ht="13.05" customHeight="1" x14ac:dyDescent="0.3">
      <c r="A116" s="10"/>
      <c r="B116" s="215" t="s">
        <v>307</v>
      </c>
      <c r="C116" s="215" t="s">
        <v>579</v>
      </c>
      <c r="D116" s="1191" t="s">
        <v>1923</v>
      </c>
      <c r="E116" s="1192">
        <v>172</v>
      </c>
      <c r="F116" s="215" t="s">
        <v>234</v>
      </c>
      <c r="G116" s="1049">
        <v>350</v>
      </c>
      <c r="H116" s="1052">
        <v>5</v>
      </c>
      <c r="I116" s="1052"/>
      <c r="J116" s="1052"/>
      <c r="AN116" t="s">
        <v>447</v>
      </c>
      <c r="AO116" t="s">
        <v>2029</v>
      </c>
      <c r="AP116" t="s">
        <v>2051</v>
      </c>
      <c r="AQ116" t="s">
        <v>2050</v>
      </c>
      <c r="AR116" t="s">
        <v>2031</v>
      </c>
    </row>
    <row r="117" spans="1:44" ht="13.05" customHeight="1" x14ac:dyDescent="0.3">
      <c r="A117" s="10"/>
      <c r="B117" s="215" t="s">
        <v>307</v>
      </c>
      <c r="C117" s="215" t="s">
        <v>579</v>
      </c>
      <c r="D117" s="215" t="s">
        <v>1921</v>
      </c>
      <c r="E117" s="1190">
        <v>257</v>
      </c>
      <c r="F117" s="215" t="s">
        <v>234</v>
      </c>
      <c r="G117" s="1190">
        <v>390</v>
      </c>
      <c r="H117" s="1052">
        <v>6</v>
      </c>
      <c r="I117" s="1052"/>
      <c r="J117" s="1052"/>
      <c r="AN117" t="s">
        <v>447</v>
      </c>
      <c r="AO117" t="s">
        <v>2029</v>
      </c>
      <c r="AP117" t="s">
        <v>2051</v>
      </c>
      <c r="AQ117" t="s">
        <v>2050</v>
      </c>
      <c r="AR117" t="s">
        <v>2032</v>
      </c>
    </row>
    <row r="118" spans="1:44" ht="13.05" customHeight="1" x14ac:dyDescent="0.3">
      <c r="A118" s="10"/>
      <c r="B118" s="215" t="s">
        <v>307</v>
      </c>
      <c r="C118" s="1191" t="s">
        <v>566</v>
      </c>
      <c r="D118" s="215" t="s">
        <v>1924</v>
      </c>
      <c r="E118" s="1190">
        <v>128</v>
      </c>
      <c r="F118" s="215" t="s">
        <v>234</v>
      </c>
      <c r="G118" s="1050">
        <v>300</v>
      </c>
      <c r="H118" s="1052">
        <v>4</v>
      </c>
      <c r="I118" s="1052"/>
      <c r="J118" s="1052"/>
      <c r="AN118" t="s">
        <v>447</v>
      </c>
      <c r="AO118" t="s">
        <v>2029</v>
      </c>
      <c r="AP118" t="s">
        <v>2052</v>
      </c>
      <c r="AQ118" t="s">
        <v>2048</v>
      </c>
      <c r="AR118" t="s">
        <v>1927</v>
      </c>
    </row>
    <row r="119" spans="1:44" ht="13.05" customHeight="1" x14ac:dyDescent="0.3">
      <c r="A119" s="10"/>
      <c r="B119" s="215" t="s">
        <v>307</v>
      </c>
      <c r="C119" s="1191" t="s">
        <v>566</v>
      </c>
      <c r="D119" s="1191" t="s">
        <v>1923</v>
      </c>
      <c r="E119" s="1192">
        <v>172</v>
      </c>
      <c r="F119" s="215" t="s">
        <v>234</v>
      </c>
      <c r="G119" s="1049">
        <v>350</v>
      </c>
      <c r="H119" s="1051">
        <v>5</v>
      </c>
      <c r="I119" s="1051"/>
      <c r="J119" s="1051"/>
      <c r="AN119" t="s">
        <v>447</v>
      </c>
      <c r="AO119" t="s">
        <v>2029</v>
      </c>
      <c r="AP119" t="s">
        <v>2053</v>
      </c>
      <c r="AQ119" t="s">
        <v>2047</v>
      </c>
      <c r="AR119" t="s">
        <v>1977</v>
      </c>
    </row>
    <row r="120" spans="1:44" ht="13.05" customHeight="1" x14ac:dyDescent="0.3">
      <c r="A120" s="10"/>
      <c r="B120" s="215" t="s">
        <v>307</v>
      </c>
      <c r="C120" s="1191" t="s">
        <v>566</v>
      </c>
      <c r="D120" s="215" t="s">
        <v>1921</v>
      </c>
      <c r="E120" s="1190">
        <v>257</v>
      </c>
      <c r="F120" s="215" t="s">
        <v>234</v>
      </c>
      <c r="G120" s="1190">
        <v>390</v>
      </c>
      <c r="H120" s="1052">
        <v>6</v>
      </c>
      <c r="I120" s="1052"/>
      <c r="J120" s="1052"/>
      <c r="AN120" t="s">
        <v>447</v>
      </c>
      <c r="AO120" t="s">
        <v>2029</v>
      </c>
      <c r="AP120" t="s">
        <v>2054</v>
      </c>
      <c r="AQ120" t="s">
        <v>2046</v>
      </c>
      <c r="AR120" t="s">
        <v>477</v>
      </c>
    </row>
    <row r="121" spans="1:44" ht="13.05" customHeight="1" x14ac:dyDescent="0.3">
      <c r="A121" s="10"/>
      <c r="B121" s="1191" t="s">
        <v>307</v>
      </c>
      <c r="C121" s="1191" t="s">
        <v>564</v>
      </c>
      <c r="D121" s="1191" t="s">
        <v>1922</v>
      </c>
      <c r="E121" s="1192">
        <v>128</v>
      </c>
      <c r="F121" s="215" t="s">
        <v>234</v>
      </c>
      <c r="G121" s="1049">
        <v>300</v>
      </c>
      <c r="H121" s="1052">
        <v>4</v>
      </c>
      <c r="I121" s="1052"/>
      <c r="J121" s="1052"/>
      <c r="AN121" t="s">
        <v>447</v>
      </c>
      <c r="AO121" t="s">
        <v>2029</v>
      </c>
      <c r="AP121" t="s">
        <v>2055</v>
      </c>
      <c r="AQ121" t="s">
        <v>2045</v>
      </c>
      <c r="AR121" t="s">
        <v>2033</v>
      </c>
    </row>
    <row r="122" spans="1:44" ht="13.05" customHeight="1" x14ac:dyDescent="0.3">
      <c r="B122" s="1191" t="s">
        <v>307</v>
      </c>
      <c r="C122" s="1191" t="s">
        <v>564</v>
      </c>
      <c r="D122" s="1191" t="s">
        <v>1923</v>
      </c>
      <c r="E122" s="1192">
        <v>172</v>
      </c>
      <c r="F122" s="1191" t="s">
        <v>234</v>
      </c>
      <c r="G122" s="1049">
        <v>350</v>
      </c>
      <c r="H122" s="1051">
        <v>5</v>
      </c>
      <c r="I122" s="1051"/>
      <c r="J122" s="1051"/>
      <c r="AN122" t="s">
        <v>447</v>
      </c>
      <c r="AO122" t="s">
        <v>2029</v>
      </c>
      <c r="AP122" t="s">
        <v>2056</v>
      </c>
      <c r="AQ122" t="s">
        <v>2044</v>
      </c>
      <c r="AR122" t="s">
        <v>2034</v>
      </c>
    </row>
    <row r="123" spans="1:44" ht="13.05" customHeight="1" x14ac:dyDescent="0.3">
      <c r="B123" s="1191" t="s">
        <v>307</v>
      </c>
      <c r="C123" s="1191" t="s">
        <v>564</v>
      </c>
      <c r="D123" s="1191" t="s">
        <v>1921</v>
      </c>
      <c r="E123" s="1190">
        <v>257</v>
      </c>
      <c r="F123" s="1191" t="s">
        <v>234</v>
      </c>
      <c r="G123" s="1050">
        <v>390</v>
      </c>
      <c r="H123" s="1052">
        <v>5</v>
      </c>
      <c r="I123" s="1052"/>
      <c r="J123" s="1052"/>
      <c r="AN123" t="s">
        <v>447</v>
      </c>
      <c r="AO123" t="s">
        <v>2029</v>
      </c>
      <c r="AP123" t="s">
        <v>2056</v>
      </c>
      <c r="AQ123" t="s">
        <v>2044</v>
      </c>
      <c r="AR123" t="s">
        <v>2035</v>
      </c>
    </row>
    <row r="124" spans="1:44" ht="13.05" customHeight="1" x14ac:dyDescent="0.3">
      <c r="B124" s="215" t="s">
        <v>307</v>
      </c>
      <c r="C124" s="215" t="s">
        <v>567</v>
      </c>
      <c r="D124" s="215" t="s">
        <v>1919</v>
      </c>
      <c r="E124" s="1190">
        <v>77</v>
      </c>
      <c r="F124" s="215" t="s">
        <v>234</v>
      </c>
      <c r="G124" s="1050">
        <v>200</v>
      </c>
      <c r="H124" s="1052">
        <v>2</v>
      </c>
      <c r="I124" s="1052"/>
      <c r="J124" s="1052"/>
      <c r="AN124" t="s">
        <v>447</v>
      </c>
      <c r="AO124" t="s">
        <v>2029</v>
      </c>
      <c r="AP124" t="s">
        <v>2056</v>
      </c>
      <c r="AQ124" t="s">
        <v>2044</v>
      </c>
      <c r="AR124" t="s">
        <v>2036</v>
      </c>
    </row>
    <row r="125" spans="1:44" ht="13.05" customHeight="1" x14ac:dyDescent="0.3">
      <c r="B125" s="215" t="s">
        <v>307</v>
      </c>
      <c r="C125" s="215" t="s">
        <v>567</v>
      </c>
      <c r="D125" s="1191" t="s">
        <v>1920</v>
      </c>
      <c r="E125" s="1192">
        <v>96</v>
      </c>
      <c r="F125" s="215" t="s">
        <v>234</v>
      </c>
      <c r="G125" s="1049">
        <v>240</v>
      </c>
      <c r="H125" s="1052">
        <v>3</v>
      </c>
      <c r="I125" s="1052"/>
      <c r="J125" s="1052"/>
      <c r="AN125" t="s">
        <v>447</v>
      </c>
      <c r="AO125" t="s">
        <v>2029</v>
      </c>
      <c r="AP125" t="s">
        <v>2056</v>
      </c>
      <c r="AQ125" t="s">
        <v>2044</v>
      </c>
      <c r="AR125" t="s">
        <v>2037</v>
      </c>
    </row>
    <row r="126" spans="1:44" ht="13.05" customHeight="1" x14ac:dyDescent="0.3">
      <c r="B126" s="1191" t="s">
        <v>307</v>
      </c>
      <c r="C126" s="1191" t="s">
        <v>568</v>
      </c>
      <c r="D126" s="1191" t="s">
        <v>1922</v>
      </c>
      <c r="E126" s="1192">
        <v>128</v>
      </c>
      <c r="F126" s="1191" t="s">
        <v>234</v>
      </c>
      <c r="G126" s="1049">
        <v>300</v>
      </c>
      <c r="H126" s="1051">
        <v>4</v>
      </c>
      <c r="I126" s="1051"/>
      <c r="J126" s="1051"/>
      <c r="AN126" t="s">
        <v>447</v>
      </c>
      <c r="AO126" t="s">
        <v>2029</v>
      </c>
      <c r="AP126" t="s">
        <v>2057</v>
      </c>
      <c r="AQ126" t="s">
        <v>2043</v>
      </c>
      <c r="AR126" t="s">
        <v>1948</v>
      </c>
    </row>
    <row r="127" spans="1:44" ht="13.05" customHeight="1" x14ac:dyDescent="0.3">
      <c r="B127" s="1191" t="s">
        <v>307</v>
      </c>
      <c r="C127" s="1191" t="s">
        <v>568</v>
      </c>
      <c r="D127" s="215" t="s">
        <v>1923</v>
      </c>
      <c r="E127" s="1190">
        <v>172</v>
      </c>
      <c r="F127" s="215" t="s">
        <v>234</v>
      </c>
      <c r="G127" s="1050">
        <v>350</v>
      </c>
      <c r="H127" s="1052">
        <v>5</v>
      </c>
      <c r="I127" s="1052"/>
      <c r="J127" s="1052"/>
      <c r="AN127" t="s">
        <v>447</v>
      </c>
      <c r="AO127" t="s">
        <v>2029</v>
      </c>
      <c r="AP127" t="s">
        <v>2057</v>
      </c>
      <c r="AQ127" t="s">
        <v>2043</v>
      </c>
      <c r="AR127" t="s">
        <v>2038</v>
      </c>
    </row>
    <row r="128" spans="1:44" ht="13.05" customHeight="1" x14ac:dyDescent="0.3">
      <c r="B128" s="1191" t="s">
        <v>307</v>
      </c>
      <c r="C128" s="1191" t="s">
        <v>570</v>
      </c>
      <c r="D128" s="1191" t="s">
        <v>1922</v>
      </c>
      <c r="E128" s="1192">
        <v>128</v>
      </c>
      <c r="F128" s="215" t="s">
        <v>234</v>
      </c>
      <c r="G128" s="1049">
        <v>300</v>
      </c>
      <c r="H128" s="1052">
        <v>4</v>
      </c>
      <c r="I128" s="1052"/>
      <c r="J128" s="1052"/>
      <c r="AN128" t="s">
        <v>447</v>
      </c>
      <c r="AO128" t="s">
        <v>2029</v>
      </c>
      <c r="AP128" t="s">
        <v>2057</v>
      </c>
      <c r="AQ128" t="s">
        <v>2043</v>
      </c>
      <c r="AR128" t="s">
        <v>1949</v>
      </c>
    </row>
    <row r="129" spans="2:44" ht="13.05" customHeight="1" x14ac:dyDescent="0.3">
      <c r="B129" s="1191" t="s">
        <v>307</v>
      </c>
      <c r="C129" s="1191" t="s">
        <v>570</v>
      </c>
      <c r="D129" s="1191" t="s">
        <v>1923</v>
      </c>
      <c r="E129" s="1192">
        <v>172</v>
      </c>
      <c r="F129" s="215" t="s">
        <v>234</v>
      </c>
      <c r="G129" s="1049">
        <v>350</v>
      </c>
      <c r="H129" s="1051">
        <v>5</v>
      </c>
      <c r="I129" s="1051"/>
      <c r="J129" s="1051"/>
      <c r="AN129" t="s">
        <v>447</v>
      </c>
      <c r="AO129" t="s">
        <v>2029</v>
      </c>
      <c r="AP129" t="s">
        <v>2057</v>
      </c>
      <c r="AQ129" t="s">
        <v>2043</v>
      </c>
      <c r="AR129" t="s">
        <v>1950</v>
      </c>
    </row>
    <row r="130" spans="2:44" ht="13.05" customHeight="1" x14ac:dyDescent="0.3">
      <c r="B130" s="1191" t="s">
        <v>307</v>
      </c>
      <c r="C130" s="1191" t="s">
        <v>570</v>
      </c>
      <c r="D130" s="215" t="s">
        <v>1921</v>
      </c>
      <c r="E130" s="1190">
        <v>257</v>
      </c>
      <c r="F130" s="215" t="s">
        <v>234</v>
      </c>
      <c r="G130" s="1190">
        <v>390</v>
      </c>
      <c r="H130" s="1052">
        <v>6</v>
      </c>
      <c r="I130" s="1052"/>
      <c r="J130" s="1052"/>
      <c r="AN130" t="s">
        <v>447</v>
      </c>
      <c r="AO130" t="s">
        <v>2029</v>
      </c>
      <c r="AP130" t="s">
        <v>2057</v>
      </c>
      <c r="AQ130" t="s">
        <v>2043</v>
      </c>
      <c r="AR130" t="s">
        <v>1951</v>
      </c>
    </row>
    <row r="131" spans="2:44" ht="13.05" customHeight="1" x14ac:dyDescent="0.3">
      <c r="B131" s="1191" t="s">
        <v>307</v>
      </c>
      <c r="C131" s="215" t="s">
        <v>569</v>
      </c>
      <c r="D131" s="1191" t="s">
        <v>1922</v>
      </c>
      <c r="E131" s="1192">
        <v>128</v>
      </c>
      <c r="F131" s="215" t="s">
        <v>234</v>
      </c>
      <c r="G131" s="1049">
        <v>300</v>
      </c>
      <c r="H131" s="1052">
        <v>4</v>
      </c>
      <c r="I131" s="1052"/>
      <c r="J131" s="1052"/>
      <c r="AN131" t="s">
        <v>447</v>
      </c>
      <c r="AO131" t="s">
        <v>2029</v>
      </c>
      <c r="AP131" t="s">
        <v>2058</v>
      </c>
      <c r="AQ131" t="s">
        <v>2042</v>
      </c>
      <c r="AR131" t="s">
        <v>1952</v>
      </c>
    </row>
    <row r="132" spans="2:44" ht="13.05" customHeight="1" x14ac:dyDescent="0.3">
      <c r="B132" s="1191" t="s">
        <v>307</v>
      </c>
      <c r="C132" s="215" t="s">
        <v>569</v>
      </c>
      <c r="D132" s="215" t="s">
        <v>1923</v>
      </c>
      <c r="E132" s="1190">
        <v>172</v>
      </c>
      <c r="F132" s="215" t="s">
        <v>234</v>
      </c>
      <c r="G132" s="1050">
        <v>350</v>
      </c>
      <c r="H132" s="1052">
        <v>5</v>
      </c>
      <c r="I132" s="1052"/>
      <c r="J132" s="1052"/>
      <c r="AN132" t="s">
        <v>447</v>
      </c>
      <c r="AO132" t="s">
        <v>2029</v>
      </c>
      <c r="AP132" t="s">
        <v>2058</v>
      </c>
      <c r="AQ132" t="s">
        <v>2042</v>
      </c>
      <c r="AR132" t="s">
        <v>1953</v>
      </c>
    </row>
    <row r="133" spans="2:44" ht="13.05" customHeight="1" x14ac:dyDescent="0.3">
      <c r="B133" s="1191" t="s">
        <v>307</v>
      </c>
      <c r="C133" s="215" t="s">
        <v>569</v>
      </c>
      <c r="D133" s="215" t="s">
        <v>1921</v>
      </c>
      <c r="E133" s="1190">
        <v>257</v>
      </c>
      <c r="F133" s="215" t="s">
        <v>234</v>
      </c>
      <c r="G133" s="1190">
        <v>390</v>
      </c>
      <c r="H133" s="1052">
        <v>6</v>
      </c>
      <c r="I133" s="1052"/>
      <c r="J133" s="1052"/>
      <c r="AN133" t="s">
        <v>447</v>
      </c>
      <c r="AO133" t="s">
        <v>2029</v>
      </c>
      <c r="AP133" t="s">
        <v>2058</v>
      </c>
      <c r="AQ133" t="s">
        <v>2042</v>
      </c>
      <c r="AR133" t="s">
        <v>1954</v>
      </c>
    </row>
    <row r="134" spans="2:44" ht="13.05" customHeight="1" x14ac:dyDescent="0.3">
      <c r="B134" s="215" t="s">
        <v>307</v>
      </c>
      <c r="C134" s="1191" t="s">
        <v>580</v>
      </c>
      <c r="D134" s="215" t="s">
        <v>1923</v>
      </c>
      <c r="E134" s="1190">
        <v>172</v>
      </c>
      <c r="F134" s="215" t="s">
        <v>234</v>
      </c>
      <c r="G134" s="1050">
        <v>350</v>
      </c>
      <c r="H134" s="1052">
        <v>5</v>
      </c>
      <c r="I134" s="1052"/>
      <c r="J134" s="1052"/>
      <c r="AN134" t="s">
        <v>447</v>
      </c>
      <c r="AO134" t="s">
        <v>2029</v>
      </c>
      <c r="AP134" t="s">
        <v>2058</v>
      </c>
      <c r="AQ134" t="s">
        <v>2042</v>
      </c>
      <c r="AR134" t="s">
        <v>1955</v>
      </c>
    </row>
    <row r="135" spans="2:44" ht="13.05" customHeight="1" x14ac:dyDescent="0.3">
      <c r="B135" s="215" t="s">
        <v>307</v>
      </c>
      <c r="C135" s="1191" t="s">
        <v>580</v>
      </c>
      <c r="D135" s="215" t="s">
        <v>1921</v>
      </c>
      <c r="E135" s="1190">
        <v>257</v>
      </c>
      <c r="F135" s="215" t="s">
        <v>234</v>
      </c>
      <c r="G135" s="1190">
        <v>390</v>
      </c>
      <c r="H135" s="1052">
        <v>6</v>
      </c>
      <c r="I135" s="1052"/>
      <c r="J135" s="1052"/>
      <c r="AN135" t="s">
        <v>447</v>
      </c>
      <c r="AO135" t="s">
        <v>2029</v>
      </c>
      <c r="AP135" t="s">
        <v>2059</v>
      </c>
      <c r="AQ135" t="s">
        <v>2041</v>
      </c>
      <c r="AR135" t="s">
        <v>1956</v>
      </c>
    </row>
    <row r="136" spans="2:44" ht="13.05" customHeight="1" x14ac:dyDescent="0.3">
      <c r="B136" s="1191" t="s">
        <v>307</v>
      </c>
      <c r="C136" s="1191" t="s">
        <v>580</v>
      </c>
      <c r="D136" s="1191" t="s">
        <v>1922</v>
      </c>
      <c r="E136" s="1192">
        <v>128</v>
      </c>
      <c r="F136" s="1191" t="s">
        <v>234</v>
      </c>
      <c r="G136" s="1049">
        <v>300</v>
      </c>
      <c r="H136" s="1051">
        <v>4</v>
      </c>
      <c r="I136" s="1051"/>
      <c r="J136" s="1051"/>
      <c r="AN136" t="s">
        <v>447</v>
      </c>
      <c r="AO136" t="s">
        <v>2029</v>
      </c>
      <c r="AP136" t="s">
        <v>2059</v>
      </c>
      <c r="AQ136" t="s">
        <v>2041</v>
      </c>
      <c r="AR136" t="s">
        <v>1958</v>
      </c>
    </row>
    <row r="137" spans="2:44" ht="13.05" customHeight="1" x14ac:dyDescent="0.3">
      <c r="B137" s="215" t="s">
        <v>307</v>
      </c>
      <c r="C137" s="215" t="s">
        <v>533</v>
      </c>
      <c r="D137" s="215" t="s">
        <v>534</v>
      </c>
      <c r="E137" s="1190">
        <v>289</v>
      </c>
      <c r="F137" s="215" t="s">
        <v>234</v>
      </c>
      <c r="G137" s="1050">
        <v>465</v>
      </c>
      <c r="H137" s="1052">
        <v>7</v>
      </c>
      <c r="I137" s="1052"/>
      <c r="J137" s="1052"/>
      <c r="AN137" t="s">
        <v>447</v>
      </c>
      <c r="AO137" t="s">
        <v>2029</v>
      </c>
      <c r="AP137" t="s">
        <v>2059</v>
      </c>
      <c r="AQ137" t="s">
        <v>2041</v>
      </c>
      <c r="AR137" t="s">
        <v>1959</v>
      </c>
    </row>
    <row r="138" spans="2:44" ht="13.05" customHeight="1" x14ac:dyDescent="0.3">
      <c r="B138" s="1191" t="s">
        <v>307</v>
      </c>
      <c r="C138" s="215" t="s">
        <v>561</v>
      </c>
      <c r="D138" s="1191" t="s">
        <v>531</v>
      </c>
      <c r="E138" s="1192">
        <v>128</v>
      </c>
      <c r="F138" s="215" t="s">
        <v>234</v>
      </c>
      <c r="G138" s="1049">
        <v>300</v>
      </c>
      <c r="H138" s="1052">
        <v>4</v>
      </c>
      <c r="I138" s="1052"/>
      <c r="J138" s="1052"/>
      <c r="AN138" t="s">
        <v>447</v>
      </c>
      <c r="AO138" t="s">
        <v>2029</v>
      </c>
      <c r="AP138" t="s">
        <v>2059</v>
      </c>
      <c r="AQ138" t="s">
        <v>2041</v>
      </c>
      <c r="AR138" t="s">
        <v>1928</v>
      </c>
    </row>
    <row r="139" spans="2:44" ht="13.05" customHeight="1" x14ac:dyDescent="0.3">
      <c r="B139" s="1191" t="s">
        <v>307</v>
      </c>
      <c r="C139" s="215" t="s">
        <v>561</v>
      </c>
      <c r="D139" s="215" t="s">
        <v>537</v>
      </c>
      <c r="E139" s="1190">
        <v>172</v>
      </c>
      <c r="F139" s="215" t="s">
        <v>234</v>
      </c>
      <c r="G139" s="1050">
        <v>350</v>
      </c>
      <c r="H139" s="1052">
        <v>5</v>
      </c>
      <c r="I139" s="1052"/>
      <c r="J139" s="1052"/>
      <c r="AN139" t="s">
        <v>447</v>
      </c>
      <c r="AO139" t="s">
        <v>2029</v>
      </c>
      <c r="AP139" t="s">
        <v>2060</v>
      </c>
      <c r="AQ139" t="s">
        <v>2040</v>
      </c>
      <c r="AR139" t="s">
        <v>477</v>
      </c>
    </row>
    <row r="140" spans="2:44" ht="13.05" customHeight="1" x14ac:dyDescent="0.3">
      <c r="B140" s="1191" t="s">
        <v>307</v>
      </c>
      <c r="C140" s="215" t="s">
        <v>561</v>
      </c>
      <c r="D140" s="215" t="s">
        <v>572</v>
      </c>
      <c r="E140" s="1190">
        <v>257</v>
      </c>
      <c r="F140" s="215" t="s">
        <v>234</v>
      </c>
      <c r="G140" s="1050">
        <v>390</v>
      </c>
      <c r="H140" s="1052">
        <v>6</v>
      </c>
      <c r="I140" s="1052"/>
      <c r="J140" s="1052"/>
      <c r="AN140" t="s">
        <v>447</v>
      </c>
      <c r="AO140" t="s">
        <v>2029</v>
      </c>
      <c r="AP140" t="s">
        <v>2060</v>
      </c>
      <c r="AQ140" t="s">
        <v>2040</v>
      </c>
      <c r="AR140" t="s">
        <v>1927</v>
      </c>
    </row>
    <row r="141" spans="2:44" ht="13.05" customHeight="1" x14ac:dyDescent="0.3">
      <c r="B141" s="215" t="s">
        <v>307</v>
      </c>
      <c r="C141" s="215" t="s">
        <v>557</v>
      </c>
      <c r="D141" s="215" t="s">
        <v>420</v>
      </c>
      <c r="E141" s="1190">
        <v>77</v>
      </c>
      <c r="F141" s="215" t="s">
        <v>234</v>
      </c>
      <c r="G141" s="1050">
        <v>200</v>
      </c>
      <c r="H141" s="1052">
        <v>2</v>
      </c>
      <c r="I141" s="1052"/>
      <c r="J141" s="1052"/>
      <c r="AN141" t="s">
        <v>447</v>
      </c>
      <c r="AO141" t="s">
        <v>2029</v>
      </c>
      <c r="AP141" t="s">
        <v>2060</v>
      </c>
      <c r="AQ141" t="s">
        <v>2040</v>
      </c>
      <c r="AR141" t="s">
        <v>2039</v>
      </c>
    </row>
    <row r="142" spans="2:44" ht="13.05" customHeight="1" x14ac:dyDescent="0.3">
      <c r="B142" s="215" t="s">
        <v>307</v>
      </c>
      <c r="C142" s="215" t="s">
        <v>557</v>
      </c>
      <c r="D142" s="215" t="s">
        <v>407</v>
      </c>
      <c r="E142" s="1190">
        <v>96</v>
      </c>
      <c r="F142" s="215" t="s">
        <v>234</v>
      </c>
      <c r="G142" s="1050">
        <v>240</v>
      </c>
      <c r="H142" s="1052">
        <v>3</v>
      </c>
      <c r="I142" s="1052"/>
      <c r="J142" s="1052"/>
      <c r="AN142" t="s">
        <v>447</v>
      </c>
      <c r="AO142" t="s">
        <v>2029</v>
      </c>
      <c r="AP142" t="s">
        <v>2060</v>
      </c>
      <c r="AQ142" t="s">
        <v>2040</v>
      </c>
      <c r="AR142" t="s">
        <v>428</v>
      </c>
    </row>
    <row r="143" spans="2:44" ht="13.05" customHeight="1" x14ac:dyDescent="0.3">
      <c r="B143" s="1191" t="s">
        <v>307</v>
      </c>
      <c r="C143" s="1191" t="s">
        <v>558</v>
      </c>
      <c r="D143" s="1191" t="s">
        <v>531</v>
      </c>
      <c r="E143" s="1192">
        <v>128</v>
      </c>
      <c r="F143" s="215" t="s">
        <v>234</v>
      </c>
      <c r="G143" s="1049">
        <v>300</v>
      </c>
      <c r="H143" s="1051">
        <v>4</v>
      </c>
      <c r="I143" s="1051"/>
      <c r="J143" s="1051"/>
    </row>
    <row r="144" spans="2:44" ht="13.05" customHeight="1" x14ac:dyDescent="0.3">
      <c r="B144" s="1191" t="s">
        <v>307</v>
      </c>
      <c r="C144" s="1191" t="s">
        <v>558</v>
      </c>
      <c r="D144" s="1191" t="s">
        <v>537</v>
      </c>
      <c r="E144" s="1192">
        <v>172</v>
      </c>
      <c r="F144" s="215" t="s">
        <v>234</v>
      </c>
      <c r="G144" s="1049">
        <v>350</v>
      </c>
      <c r="H144" s="1052">
        <v>5</v>
      </c>
      <c r="I144" s="1052"/>
      <c r="J144" s="1052"/>
    </row>
    <row r="145" spans="2:10" ht="13.05" customHeight="1" x14ac:dyDescent="0.3">
      <c r="B145" s="1191" t="s">
        <v>307</v>
      </c>
      <c r="C145" s="1191" t="s">
        <v>558</v>
      </c>
      <c r="D145" s="215" t="s">
        <v>572</v>
      </c>
      <c r="E145" s="1190">
        <v>257</v>
      </c>
      <c r="F145" s="215" t="s">
        <v>234</v>
      </c>
      <c r="G145" s="1050">
        <v>390</v>
      </c>
      <c r="H145" s="1052">
        <v>6</v>
      </c>
      <c r="I145" s="1052"/>
      <c r="J145" s="1052"/>
    </row>
    <row r="146" spans="2:10" ht="13.05" customHeight="1" x14ac:dyDescent="0.3">
      <c r="B146" s="1191" t="s">
        <v>307</v>
      </c>
      <c r="C146" s="215" t="s">
        <v>559</v>
      </c>
      <c r="D146" s="1191" t="s">
        <v>531</v>
      </c>
      <c r="E146" s="1192">
        <v>128</v>
      </c>
      <c r="F146" s="215" t="s">
        <v>234</v>
      </c>
      <c r="G146" s="1049">
        <v>300</v>
      </c>
      <c r="H146" s="1052">
        <v>4</v>
      </c>
      <c r="I146" s="1052"/>
      <c r="J146" s="1052"/>
    </row>
    <row r="147" spans="2:10" ht="13.05" customHeight="1" x14ac:dyDescent="0.3">
      <c r="B147" s="1191" t="s">
        <v>307</v>
      </c>
      <c r="C147" s="215" t="s">
        <v>559</v>
      </c>
      <c r="D147" s="215" t="s">
        <v>537</v>
      </c>
      <c r="E147" s="1190">
        <v>172</v>
      </c>
      <c r="F147" s="215" t="s">
        <v>234</v>
      </c>
      <c r="G147" s="1050">
        <v>350</v>
      </c>
      <c r="H147" s="1052">
        <v>5</v>
      </c>
      <c r="I147" s="1052"/>
      <c r="J147" s="1052"/>
    </row>
    <row r="148" spans="2:10" ht="13.05" customHeight="1" x14ac:dyDescent="0.3">
      <c r="B148" s="1191" t="s">
        <v>307</v>
      </c>
      <c r="C148" s="215" t="s">
        <v>559</v>
      </c>
      <c r="D148" s="215" t="s">
        <v>572</v>
      </c>
      <c r="E148" s="1190">
        <v>257</v>
      </c>
      <c r="F148" s="215" t="s">
        <v>234</v>
      </c>
      <c r="G148" s="1050">
        <v>390</v>
      </c>
      <c r="H148" s="1052">
        <v>6</v>
      </c>
      <c r="I148" s="1052"/>
      <c r="J148" s="1052"/>
    </row>
    <row r="149" spans="2:10" ht="13.05" customHeight="1" x14ac:dyDescent="0.3">
      <c r="B149" s="215" t="s">
        <v>307</v>
      </c>
      <c r="C149" s="215" t="s">
        <v>524</v>
      </c>
      <c r="D149" s="1191" t="s">
        <v>407</v>
      </c>
      <c r="E149" s="1192">
        <v>96</v>
      </c>
      <c r="F149" s="215" t="s">
        <v>234</v>
      </c>
      <c r="G149" s="1049">
        <v>240</v>
      </c>
      <c r="H149" s="1052">
        <v>3</v>
      </c>
      <c r="I149" s="1052"/>
      <c r="J149" s="1052"/>
    </row>
    <row r="150" spans="2:10" ht="13.05" customHeight="1" x14ac:dyDescent="0.3">
      <c r="B150" s="215" t="s">
        <v>307</v>
      </c>
      <c r="C150" s="215" t="s">
        <v>524</v>
      </c>
      <c r="D150" s="215" t="s">
        <v>505</v>
      </c>
      <c r="E150" s="1190">
        <v>128</v>
      </c>
      <c r="F150" s="215" t="s">
        <v>234</v>
      </c>
      <c r="G150" s="1050">
        <v>300</v>
      </c>
      <c r="H150" s="1052">
        <v>4</v>
      </c>
      <c r="I150" s="1052"/>
      <c r="J150" s="1052"/>
    </row>
    <row r="151" spans="2:10" ht="13.05" customHeight="1" x14ac:dyDescent="0.3">
      <c r="B151" s="1191" t="s">
        <v>307</v>
      </c>
      <c r="C151" s="1191" t="s">
        <v>525</v>
      </c>
      <c r="D151" s="1191" t="s">
        <v>498</v>
      </c>
      <c r="E151" s="1192">
        <v>172</v>
      </c>
      <c r="F151" s="1191" t="s">
        <v>234</v>
      </c>
      <c r="G151" s="1049">
        <v>350</v>
      </c>
      <c r="H151" s="1051">
        <v>5</v>
      </c>
      <c r="I151" s="1051"/>
      <c r="J151" s="1051"/>
    </row>
    <row r="152" spans="2:10" ht="13.05" customHeight="1" x14ac:dyDescent="0.3">
      <c r="B152" s="215" t="s">
        <v>307</v>
      </c>
      <c r="C152" s="1191" t="s">
        <v>535</v>
      </c>
      <c r="D152" s="1191" t="s">
        <v>420</v>
      </c>
      <c r="E152" s="1192">
        <v>77</v>
      </c>
      <c r="F152" s="215" t="s">
        <v>234</v>
      </c>
      <c r="G152" s="1049">
        <v>200</v>
      </c>
      <c r="H152" s="1052">
        <v>2</v>
      </c>
      <c r="I152" s="1052"/>
      <c r="J152" s="1052"/>
    </row>
    <row r="153" spans="2:10" ht="13.05" customHeight="1" x14ac:dyDescent="0.3">
      <c r="B153" s="215" t="s">
        <v>307</v>
      </c>
      <c r="C153" s="1191" t="s">
        <v>535</v>
      </c>
      <c r="D153" s="1191" t="s">
        <v>407</v>
      </c>
      <c r="E153" s="1192">
        <v>96</v>
      </c>
      <c r="F153" s="215" t="s">
        <v>234</v>
      </c>
      <c r="G153" s="1049">
        <v>240</v>
      </c>
      <c r="H153" s="1193">
        <v>3</v>
      </c>
      <c r="I153" s="1193"/>
      <c r="J153" s="1193"/>
    </row>
    <row r="154" spans="2:10" ht="13.05" customHeight="1" x14ac:dyDescent="0.3">
      <c r="B154" s="215" t="s">
        <v>307</v>
      </c>
      <c r="C154" s="1191" t="s">
        <v>535</v>
      </c>
      <c r="D154" s="1191" t="s">
        <v>531</v>
      </c>
      <c r="E154" s="1192">
        <v>128</v>
      </c>
      <c r="F154" s="215" t="s">
        <v>234</v>
      </c>
      <c r="G154" s="1049">
        <v>300</v>
      </c>
      <c r="H154" s="1194">
        <v>4</v>
      </c>
      <c r="I154" s="1194"/>
      <c r="J154" s="1194"/>
    </row>
    <row r="155" spans="2:10" ht="13.05" customHeight="1" x14ac:dyDescent="0.3">
      <c r="B155" s="1191" t="s">
        <v>307</v>
      </c>
      <c r="C155" s="1191" t="s">
        <v>542</v>
      </c>
      <c r="D155" s="1191" t="s">
        <v>420</v>
      </c>
      <c r="E155" s="1192">
        <v>77</v>
      </c>
      <c r="F155" s="1191" t="s">
        <v>234</v>
      </c>
      <c r="G155" s="1049">
        <v>200</v>
      </c>
      <c r="H155" s="1051">
        <v>2</v>
      </c>
      <c r="I155" s="1051"/>
      <c r="J155" s="1051"/>
    </row>
    <row r="156" spans="2:10" ht="13.05" customHeight="1" x14ac:dyDescent="0.3">
      <c r="B156" s="1191" t="s">
        <v>307</v>
      </c>
      <c r="C156" s="1191" t="s">
        <v>542</v>
      </c>
      <c r="D156" s="1191" t="s">
        <v>407</v>
      </c>
      <c r="E156" s="1192">
        <v>96</v>
      </c>
      <c r="F156" s="1191" t="s">
        <v>234</v>
      </c>
      <c r="G156" s="1049">
        <v>240</v>
      </c>
      <c r="H156" s="1052">
        <v>3</v>
      </c>
      <c r="I156" s="1052"/>
      <c r="J156" s="1052"/>
    </row>
    <row r="157" spans="2:10" ht="13.05" customHeight="1" x14ac:dyDescent="0.3">
      <c r="B157" s="215" t="s">
        <v>307</v>
      </c>
      <c r="C157" s="215" t="s">
        <v>536</v>
      </c>
      <c r="D157" s="1191" t="s">
        <v>531</v>
      </c>
      <c r="E157" s="1192">
        <v>128</v>
      </c>
      <c r="F157" s="215" t="s">
        <v>234</v>
      </c>
      <c r="G157" s="1049">
        <v>300</v>
      </c>
      <c r="H157" s="1194">
        <v>4</v>
      </c>
      <c r="I157" s="1194"/>
      <c r="J157" s="1194"/>
    </row>
    <row r="158" spans="2:10" ht="13.05" customHeight="1" x14ac:dyDescent="0.3">
      <c r="B158" s="215" t="s">
        <v>307</v>
      </c>
      <c r="C158" s="215" t="s">
        <v>536</v>
      </c>
      <c r="D158" s="215" t="s">
        <v>537</v>
      </c>
      <c r="E158" s="1190">
        <v>172</v>
      </c>
      <c r="F158" s="215" t="s">
        <v>234</v>
      </c>
      <c r="G158" s="1050">
        <v>350</v>
      </c>
      <c r="H158" s="1052">
        <v>5</v>
      </c>
      <c r="I158" s="1052"/>
      <c r="J158" s="1052"/>
    </row>
    <row r="159" spans="2:10" ht="13.05" customHeight="1" x14ac:dyDescent="0.3">
      <c r="B159" s="215" t="s">
        <v>307</v>
      </c>
      <c r="C159" s="215" t="s">
        <v>536</v>
      </c>
      <c r="D159" s="215" t="s">
        <v>572</v>
      </c>
      <c r="E159" s="1190">
        <v>257</v>
      </c>
      <c r="F159" s="215" t="s">
        <v>234</v>
      </c>
      <c r="G159" s="1050">
        <v>390</v>
      </c>
      <c r="H159" s="1052">
        <v>6</v>
      </c>
      <c r="I159" s="1052"/>
      <c r="J159" s="1052"/>
    </row>
    <row r="160" spans="2:10" ht="13.05" customHeight="1" x14ac:dyDescent="0.3">
      <c r="B160" s="1191" t="s">
        <v>307</v>
      </c>
      <c r="C160" s="215" t="s">
        <v>515</v>
      </c>
      <c r="D160" s="1191" t="s">
        <v>505</v>
      </c>
      <c r="E160" s="1192">
        <v>128</v>
      </c>
      <c r="F160" s="1191" t="s">
        <v>234</v>
      </c>
      <c r="G160" s="1049">
        <v>300</v>
      </c>
      <c r="H160" s="1052">
        <v>4</v>
      </c>
      <c r="I160" s="1052"/>
      <c r="J160" s="1052"/>
    </row>
    <row r="161" spans="2:10" ht="13.05" customHeight="1" x14ac:dyDescent="0.3">
      <c r="B161" s="1191" t="s">
        <v>307</v>
      </c>
      <c r="C161" s="215" t="s">
        <v>515</v>
      </c>
      <c r="D161" s="215" t="s">
        <v>498</v>
      </c>
      <c r="E161" s="1190">
        <v>172</v>
      </c>
      <c r="F161" s="215" t="s">
        <v>234</v>
      </c>
      <c r="G161" s="1050">
        <v>350</v>
      </c>
      <c r="H161" s="1052">
        <v>5</v>
      </c>
      <c r="I161" s="1052"/>
      <c r="J161" s="1052"/>
    </row>
    <row r="162" spans="2:10" ht="13.05" customHeight="1" x14ac:dyDescent="0.3">
      <c r="B162" s="1191" t="s">
        <v>307</v>
      </c>
      <c r="C162" s="215" t="s">
        <v>515</v>
      </c>
      <c r="D162" s="215" t="s">
        <v>572</v>
      </c>
      <c r="E162" s="1190">
        <v>257</v>
      </c>
      <c r="F162" s="215" t="s">
        <v>234</v>
      </c>
      <c r="G162" s="1050">
        <v>390</v>
      </c>
      <c r="H162" s="1052">
        <v>6</v>
      </c>
      <c r="I162" s="1052"/>
      <c r="J162" s="1052"/>
    </row>
    <row r="163" spans="2:10" ht="13.05" customHeight="1" x14ac:dyDescent="0.3">
      <c r="B163" s="1191" t="s">
        <v>307</v>
      </c>
      <c r="C163" s="1191" t="s">
        <v>529</v>
      </c>
      <c r="D163" s="1191" t="s">
        <v>498</v>
      </c>
      <c r="E163" s="1192">
        <v>172</v>
      </c>
      <c r="F163" s="1191" t="s">
        <v>234</v>
      </c>
      <c r="G163" s="1049">
        <v>350</v>
      </c>
      <c r="H163" s="1051">
        <v>5</v>
      </c>
      <c r="I163" s="1051"/>
      <c r="J163" s="1051"/>
    </row>
    <row r="164" spans="2:10" ht="13.05" customHeight="1" x14ac:dyDescent="0.3">
      <c r="B164" s="1191" t="s">
        <v>307</v>
      </c>
      <c r="C164" s="1191" t="s">
        <v>529</v>
      </c>
      <c r="D164" s="215" t="s">
        <v>572</v>
      </c>
      <c r="E164" s="1190">
        <v>257</v>
      </c>
      <c r="F164" s="215" t="s">
        <v>234</v>
      </c>
      <c r="G164" s="1050">
        <v>390</v>
      </c>
      <c r="H164" s="1052">
        <v>6</v>
      </c>
      <c r="I164" s="1052"/>
      <c r="J164" s="1052"/>
    </row>
    <row r="165" spans="2:10" ht="13.05" customHeight="1" x14ac:dyDescent="0.3">
      <c r="B165" s="215" t="s">
        <v>307</v>
      </c>
      <c r="C165" s="1191" t="s">
        <v>538</v>
      </c>
      <c r="D165" s="1191" t="s">
        <v>531</v>
      </c>
      <c r="E165" s="1192">
        <v>128</v>
      </c>
      <c r="F165" s="1191" t="s">
        <v>234</v>
      </c>
      <c r="G165" s="1049">
        <v>300</v>
      </c>
      <c r="H165" s="1051">
        <v>4</v>
      </c>
      <c r="I165" s="1051"/>
      <c r="J165" s="1051"/>
    </row>
    <row r="166" spans="2:10" ht="13.05" customHeight="1" x14ac:dyDescent="0.3">
      <c r="B166" s="215" t="s">
        <v>307</v>
      </c>
      <c r="C166" s="1191" t="s">
        <v>538</v>
      </c>
      <c r="D166" s="215" t="s">
        <v>537</v>
      </c>
      <c r="E166" s="1190">
        <v>172</v>
      </c>
      <c r="F166" s="1191" t="s">
        <v>234</v>
      </c>
      <c r="G166" s="1050">
        <v>350</v>
      </c>
      <c r="H166" s="1052">
        <v>5</v>
      </c>
      <c r="I166" s="1052"/>
      <c r="J166" s="1052"/>
    </row>
    <row r="167" spans="2:10" ht="13.05" customHeight="1" x14ac:dyDescent="0.3">
      <c r="B167" s="215" t="s">
        <v>307</v>
      </c>
      <c r="C167" s="1191" t="s">
        <v>538</v>
      </c>
      <c r="D167" s="215" t="s">
        <v>572</v>
      </c>
      <c r="E167" s="1190">
        <v>257</v>
      </c>
      <c r="F167" s="1191" t="s">
        <v>234</v>
      </c>
      <c r="G167" s="1050">
        <v>390</v>
      </c>
      <c r="H167" s="1052">
        <v>6</v>
      </c>
      <c r="I167" s="1052"/>
      <c r="J167" s="1052"/>
    </row>
    <row r="168" spans="2:10" ht="13.05" customHeight="1" x14ac:dyDescent="0.3">
      <c r="B168" s="215" t="s">
        <v>307</v>
      </c>
      <c r="C168" s="1191" t="s">
        <v>513</v>
      </c>
      <c r="D168" s="1191" t="s">
        <v>407</v>
      </c>
      <c r="E168" s="1192">
        <v>96</v>
      </c>
      <c r="F168" s="215" t="s">
        <v>234</v>
      </c>
      <c r="G168" s="1049">
        <v>240</v>
      </c>
      <c r="H168" s="1052">
        <v>3</v>
      </c>
      <c r="I168" s="1052"/>
      <c r="J168" s="1052"/>
    </row>
    <row r="169" spans="2:10" ht="13.05" customHeight="1" x14ac:dyDescent="0.3">
      <c r="B169" s="1191" t="s">
        <v>307</v>
      </c>
      <c r="C169" s="1191" t="s">
        <v>513</v>
      </c>
      <c r="D169" s="1191" t="s">
        <v>505</v>
      </c>
      <c r="E169" s="1192">
        <v>128</v>
      </c>
      <c r="F169" s="1191" t="s">
        <v>234</v>
      </c>
      <c r="G169" s="1049">
        <v>300</v>
      </c>
      <c r="H169" s="1051">
        <v>4</v>
      </c>
      <c r="I169" s="1051"/>
      <c r="J169" s="1051"/>
    </row>
    <row r="170" spans="2:10" ht="13.05" customHeight="1" x14ac:dyDescent="0.3">
      <c r="B170" s="1191" t="s">
        <v>307</v>
      </c>
      <c r="C170" s="215" t="s">
        <v>530</v>
      </c>
      <c r="D170" s="215" t="s">
        <v>531</v>
      </c>
      <c r="E170" s="1190">
        <v>128</v>
      </c>
      <c r="F170" s="215" t="s">
        <v>234</v>
      </c>
      <c r="G170" s="1050">
        <v>300</v>
      </c>
      <c r="H170" s="1052">
        <v>4</v>
      </c>
      <c r="I170" s="1052"/>
      <c r="J170" s="1052"/>
    </row>
    <row r="171" spans="2:10" ht="13.05" customHeight="1" x14ac:dyDescent="0.3">
      <c r="B171" s="1191" t="s">
        <v>307</v>
      </c>
      <c r="C171" s="215" t="s">
        <v>530</v>
      </c>
      <c r="D171" s="1191" t="s">
        <v>498</v>
      </c>
      <c r="E171" s="1192">
        <v>172</v>
      </c>
      <c r="F171" s="1191" t="s">
        <v>234</v>
      </c>
      <c r="G171" s="1049">
        <v>350</v>
      </c>
      <c r="H171" s="1052">
        <v>5</v>
      </c>
      <c r="I171" s="1052"/>
      <c r="J171" s="1052"/>
    </row>
    <row r="172" spans="2:10" ht="13.05" customHeight="1" x14ac:dyDescent="0.3">
      <c r="B172" s="1191" t="s">
        <v>307</v>
      </c>
      <c r="C172" s="1191" t="s">
        <v>550</v>
      </c>
      <c r="D172" s="1191" t="s">
        <v>531</v>
      </c>
      <c r="E172" s="1192">
        <v>128</v>
      </c>
      <c r="F172" s="215" t="s">
        <v>234</v>
      </c>
      <c r="G172" s="1049">
        <v>300</v>
      </c>
      <c r="H172" s="1051">
        <v>4</v>
      </c>
      <c r="I172" s="1051"/>
      <c r="J172" s="1051"/>
    </row>
    <row r="173" spans="2:10" ht="13.05" customHeight="1" x14ac:dyDescent="0.3">
      <c r="B173" s="1191" t="s">
        <v>307</v>
      </c>
      <c r="C173" s="1191" t="s">
        <v>550</v>
      </c>
      <c r="D173" s="215" t="s">
        <v>537</v>
      </c>
      <c r="E173" s="1190">
        <v>172</v>
      </c>
      <c r="F173" s="215" t="s">
        <v>234</v>
      </c>
      <c r="G173" s="1050">
        <v>350</v>
      </c>
      <c r="H173" s="1052">
        <v>5</v>
      </c>
      <c r="I173" s="1052"/>
      <c r="J173" s="1052"/>
    </row>
    <row r="174" spans="2:10" ht="13.05" customHeight="1" x14ac:dyDescent="0.3">
      <c r="B174" s="1191" t="s">
        <v>307</v>
      </c>
      <c r="C174" s="1191" t="s">
        <v>562</v>
      </c>
      <c r="D174" s="215" t="s">
        <v>420</v>
      </c>
      <c r="E174" s="1190">
        <v>77</v>
      </c>
      <c r="F174" s="215" t="s">
        <v>234</v>
      </c>
      <c r="G174" s="1050">
        <v>200</v>
      </c>
      <c r="H174" s="1052">
        <v>2</v>
      </c>
      <c r="I174" s="1052"/>
      <c r="J174" s="1052"/>
    </row>
    <row r="175" spans="2:10" ht="13.05" customHeight="1" x14ac:dyDescent="0.3">
      <c r="B175" s="1191" t="s">
        <v>307</v>
      </c>
      <c r="C175" s="1191" t="s">
        <v>562</v>
      </c>
      <c r="D175" s="1191" t="s">
        <v>407</v>
      </c>
      <c r="E175" s="1192">
        <v>96</v>
      </c>
      <c r="F175" s="1191" t="s">
        <v>234</v>
      </c>
      <c r="G175" s="1049">
        <v>240</v>
      </c>
      <c r="H175" s="1193">
        <v>3</v>
      </c>
      <c r="I175" s="1193"/>
      <c r="J175" s="1193"/>
    </row>
    <row r="176" spans="2:10" ht="13.05" customHeight="1" x14ac:dyDescent="0.3">
      <c r="B176" s="1191" t="s">
        <v>307</v>
      </c>
      <c r="C176" s="1191" t="s">
        <v>562</v>
      </c>
      <c r="D176" s="1191" t="s">
        <v>531</v>
      </c>
      <c r="E176" s="1192">
        <v>128</v>
      </c>
      <c r="F176" s="1191" t="s">
        <v>234</v>
      </c>
      <c r="G176" s="1049">
        <v>300</v>
      </c>
      <c r="H176" s="1194">
        <v>4</v>
      </c>
      <c r="I176" s="1194"/>
      <c r="J176" s="1194"/>
    </row>
    <row r="177" spans="1:10" ht="13.05" customHeight="1" x14ac:dyDescent="0.3">
      <c r="B177" s="215" t="s">
        <v>307</v>
      </c>
      <c r="C177" s="215" t="s">
        <v>581</v>
      </c>
      <c r="D177" s="215" t="s">
        <v>407</v>
      </c>
      <c r="E177" s="1190">
        <v>96</v>
      </c>
      <c r="F177" s="215" t="s">
        <v>234</v>
      </c>
      <c r="G177" s="1050">
        <v>240</v>
      </c>
      <c r="H177" s="1195">
        <v>3</v>
      </c>
      <c r="I177" s="1195"/>
      <c r="J177" s="1195"/>
    </row>
    <row r="178" spans="1:10" ht="13.05" customHeight="1" x14ac:dyDescent="0.3">
      <c r="B178" s="1191" t="s">
        <v>307</v>
      </c>
      <c r="C178" s="215" t="s">
        <v>526</v>
      </c>
      <c r="D178" s="1191" t="s">
        <v>407</v>
      </c>
      <c r="E178" s="1192">
        <v>96</v>
      </c>
      <c r="F178" s="215" t="s">
        <v>234</v>
      </c>
      <c r="G178" s="1049">
        <v>240</v>
      </c>
      <c r="H178" s="1052">
        <v>3</v>
      </c>
      <c r="I178" s="1052"/>
      <c r="J178" s="1052"/>
    </row>
    <row r="179" spans="1:10" ht="13.05" customHeight="1" x14ac:dyDescent="0.3">
      <c r="B179" s="1191" t="s">
        <v>307</v>
      </c>
      <c r="C179" s="215" t="s">
        <v>526</v>
      </c>
      <c r="D179" s="215" t="s">
        <v>505</v>
      </c>
      <c r="E179" s="1190">
        <v>128</v>
      </c>
      <c r="F179" s="215" t="s">
        <v>234</v>
      </c>
      <c r="G179" s="1050">
        <v>300</v>
      </c>
      <c r="H179" s="1052">
        <v>4</v>
      </c>
      <c r="I179" s="1052"/>
      <c r="J179" s="1052"/>
    </row>
    <row r="180" spans="1:10" ht="13.05" customHeight="1" x14ac:dyDescent="0.3">
      <c r="A180" t="s">
        <v>746</v>
      </c>
      <c r="B180" s="215" t="s">
        <v>307</v>
      </c>
      <c r="C180" s="1191" t="s">
        <v>509</v>
      </c>
      <c r="D180" s="215" t="s">
        <v>505</v>
      </c>
      <c r="E180" s="1190">
        <v>128</v>
      </c>
      <c r="F180" s="215" t="s">
        <v>234</v>
      </c>
      <c r="G180" s="1050">
        <v>300</v>
      </c>
      <c r="H180" s="1052">
        <v>4</v>
      </c>
      <c r="I180" s="1052"/>
      <c r="J180" s="1052"/>
    </row>
    <row r="181" spans="1:10" ht="13.05" customHeight="1" x14ac:dyDescent="0.3">
      <c r="B181" s="215" t="s">
        <v>307</v>
      </c>
      <c r="C181" s="1191" t="s">
        <v>509</v>
      </c>
      <c r="D181" s="1191" t="s">
        <v>498</v>
      </c>
      <c r="E181" s="1192">
        <v>172</v>
      </c>
      <c r="F181" s="1191" t="s">
        <v>234</v>
      </c>
      <c r="G181" s="1049">
        <v>350</v>
      </c>
      <c r="H181" s="1051">
        <v>5</v>
      </c>
      <c r="I181" s="1051"/>
      <c r="J181" s="1051"/>
    </row>
    <row r="182" spans="1:10" ht="13.05" customHeight="1" x14ac:dyDescent="0.3">
      <c r="B182" s="215" t="s">
        <v>307</v>
      </c>
      <c r="C182" s="1191" t="s">
        <v>509</v>
      </c>
      <c r="D182" s="215" t="s">
        <v>572</v>
      </c>
      <c r="E182" s="1190">
        <v>257</v>
      </c>
      <c r="F182" s="215" t="s">
        <v>234</v>
      </c>
      <c r="G182" s="1050">
        <v>390</v>
      </c>
      <c r="H182" s="1052">
        <v>6</v>
      </c>
      <c r="I182" s="1052"/>
      <c r="J182" s="1052"/>
    </row>
    <row r="183" spans="1:10" ht="13.05" customHeight="1" x14ac:dyDescent="0.3">
      <c r="B183" s="215" t="s">
        <v>307</v>
      </c>
      <c r="C183" s="1191" t="s">
        <v>495</v>
      </c>
      <c r="D183" s="215" t="s">
        <v>420</v>
      </c>
      <c r="E183" s="1190">
        <v>77</v>
      </c>
      <c r="F183" s="215" t="s">
        <v>234</v>
      </c>
      <c r="G183" s="1050">
        <v>200</v>
      </c>
      <c r="H183" s="1194">
        <v>2</v>
      </c>
      <c r="I183" s="1194"/>
      <c r="J183" s="1194"/>
    </row>
    <row r="184" spans="1:10" ht="13.05" customHeight="1" x14ac:dyDescent="0.3">
      <c r="B184" s="215" t="s">
        <v>307</v>
      </c>
      <c r="C184" s="1191" t="s">
        <v>495</v>
      </c>
      <c r="D184" s="1191" t="s">
        <v>407</v>
      </c>
      <c r="E184" s="1192">
        <v>96</v>
      </c>
      <c r="F184" s="1191" t="s">
        <v>234</v>
      </c>
      <c r="G184" s="1049">
        <v>240</v>
      </c>
      <c r="H184" s="1193">
        <v>3</v>
      </c>
      <c r="I184" s="1193"/>
      <c r="J184" s="1193"/>
    </row>
    <row r="185" spans="1:10" ht="13.05" customHeight="1" x14ac:dyDescent="0.3">
      <c r="B185" s="1191" t="s">
        <v>307</v>
      </c>
      <c r="C185" s="1191" t="s">
        <v>527</v>
      </c>
      <c r="D185" s="215" t="s">
        <v>505</v>
      </c>
      <c r="E185" s="1190">
        <v>128</v>
      </c>
      <c r="F185" s="215" t="s">
        <v>234</v>
      </c>
      <c r="G185" s="1050">
        <v>300</v>
      </c>
      <c r="H185" s="1052">
        <v>4</v>
      </c>
      <c r="I185" s="1052"/>
      <c r="J185" s="1052"/>
    </row>
    <row r="186" spans="1:10" ht="13.05" customHeight="1" x14ac:dyDescent="0.3">
      <c r="B186" s="1191" t="s">
        <v>307</v>
      </c>
      <c r="C186" s="1191" t="s">
        <v>527</v>
      </c>
      <c r="D186" s="1191" t="s">
        <v>498</v>
      </c>
      <c r="E186" s="1192">
        <v>172</v>
      </c>
      <c r="F186" s="215" t="s">
        <v>234</v>
      </c>
      <c r="G186" s="1049">
        <v>350</v>
      </c>
      <c r="H186" s="1051">
        <v>5</v>
      </c>
      <c r="I186" s="1051"/>
      <c r="J186" s="1051"/>
    </row>
    <row r="187" spans="1:10" ht="13.05" customHeight="1" x14ac:dyDescent="0.3">
      <c r="B187" s="1191" t="s">
        <v>307</v>
      </c>
      <c r="C187" s="1191" t="s">
        <v>527</v>
      </c>
      <c r="D187" s="215" t="s">
        <v>572</v>
      </c>
      <c r="E187" s="1190">
        <v>257</v>
      </c>
      <c r="F187" s="215" t="s">
        <v>234</v>
      </c>
      <c r="G187" s="1050">
        <v>390</v>
      </c>
      <c r="H187" s="1052">
        <v>6</v>
      </c>
      <c r="I187" s="1052"/>
      <c r="J187" s="1052"/>
    </row>
    <row r="188" spans="1:10" ht="13.05" customHeight="1" x14ac:dyDescent="0.3">
      <c r="B188" s="1191" t="s">
        <v>307</v>
      </c>
      <c r="C188" s="1191" t="s">
        <v>554</v>
      </c>
      <c r="D188" s="1191" t="s">
        <v>407</v>
      </c>
      <c r="E188" s="1192">
        <v>96</v>
      </c>
      <c r="F188" s="215" t="s">
        <v>234</v>
      </c>
      <c r="G188" s="1049">
        <v>240</v>
      </c>
      <c r="H188" s="1052">
        <v>3</v>
      </c>
      <c r="I188" s="1052"/>
      <c r="J188" s="1052"/>
    </row>
    <row r="189" spans="1:10" ht="13.05" customHeight="1" x14ac:dyDescent="0.3">
      <c r="B189" s="1191" t="s">
        <v>307</v>
      </c>
      <c r="C189" s="1191" t="s">
        <v>554</v>
      </c>
      <c r="D189" s="1191" t="s">
        <v>531</v>
      </c>
      <c r="E189" s="1192">
        <v>128</v>
      </c>
      <c r="F189" s="215" t="s">
        <v>234</v>
      </c>
      <c r="G189" s="1049">
        <v>300</v>
      </c>
      <c r="H189" s="1051">
        <v>4</v>
      </c>
      <c r="I189" s="1051"/>
      <c r="J189" s="1051"/>
    </row>
    <row r="190" spans="1:10" ht="13.05" customHeight="1" x14ac:dyDescent="0.3">
      <c r="B190" s="215" t="s">
        <v>307</v>
      </c>
      <c r="C190" s="215" t="s">
        <v>511</v>
      </c>
      <c r="D190" s="215" t="s">
        <v>505</v>
      </c>
      <c r="E190" s="1190">
        <v>128</v>
      </c>
      <c r="F190" s="215" t="s">
        <v>234</v>
      </c>
      <c r="G190" s="1050">
        <v>300</v>
      </c>
      <c r="H190" s="1052">
        <v>4</v>
      </c>
      <c r="I190" s="1052"/>
      <c r="J190" s="1052"/>
    </row>
    <row r="191" spans="1:10" ht="13.05" customHeight="1" x14ac:dyDescent="0.3">
      <c r="B191" s="215" t="s">
        <v>307</v>
      </c>
      <c r="C191" s="215" t="s">
        <v>511</v>
      </c>
      <c r="D191" s="215" t="s">
        <v>498</v>
      </c>
      <c r="E191" s="1190">
        <v>172</v>
      </c>
      <c r="F191" s="215" t="s">
        <v>234</v>
      </c>
      <c r="G191" s="1050">
        <v>350</v>
      </c>
      <c r="H191" s="1052">
        <v>5</v>
      </c>
      <c r="I191" s="1052"/>
      <c r="J191" s="1052"/>
    </row>
    <row r="192" spans="1:10" ht="13.05" customHeight="1" x14ac:dyDescent="0.3">
      <c r="B192" s="1191" t="s">
        <v>307</v>
      </c>
      <c r="C192" s="215" t="s">
        <v>563</v>
      </c>
      <c r="D192" s="1191" t="s">
        <v>531</v>
      </c>
      <c r="E192" s="1192">
        <v>128</v>
      </c>
      <c r="F192" s="1191" t="s">
        <v>234</v>
      </c>
      <c r="G192" s="1049">
        <v>300</v>
      </c>
      <c r="H192" s="1194">
        <v>4</v>
      </c>
      <c r="I192" s="1194"/>
      <c r="J192" s="1194"/>
    </row>
    <row r="193" spans="2:10" ht="13.05" customHeight="1" x14ac:dyDescent="0.3">
      <c r="B193" s="1191" t="s">
        <v>307</v>
      </c>
      <c r="C193" s="215" t="s">
        <v>563</v>
      </c>
      <c r="D193" s="215" t="s">
        <v>537</v>
      </c>
      <c r="E193" s="1190">
        <v>172</v>
      </c>
      <c r="F193" s="215" t="s">
        <v>234</v>
      </c>
      <c r="G193" s="1050">
        <v>350</v>
      </c>
      <c r="H193" s="1052">
        <v>5</v>
      </c>
      <c r="I193" s="1052"/>
      <c r="J193" s="1052"/>
    </row>
    <row r="194" spans="2:10" ht="13.05" customHeight="1" x14ac:dyDescent="0.3">
      <c r="B194" s="1191" t="s">
        <v>307</v>
      </c>
      <c r="C194" s="215" t="s">
        <v>563</v>
      </c>
      <c r="D194" s="215" t="s">
        <v>572</v>
      </c>
      <c r="E194" s="1190">
        <v>257</v>
      </c>
      <c r="F194" s="215" t="s">
        <v>234</v>
      </c>
      <c r="G194" s="1050">
        <v>390</v>
      </c>
      <c r="H194" s="1052">
        <v>6</v>
      </c>
      <c r="I194" s="1052"/>
      <c r="J194" s="1052"/>
    </row>
    <row r="195" spans="2:10" ht="13.05" customHeight="1" x14ac:dyDescent="0.3">
      <c r="B195" s="1191" t="s">
        <v>307</v>
      </c>
      <c r="C195" s="215" t="s">
        <v>528</v>
      </c>
      <c r="D195" s="215" t="s">
        <v>505</v>
      </c>
      <c r="E195" s="1190">
        <v>128</v>
      </c>
      <c r="F195" s="215" t="s">
        <v>234</v>
      </c>
      <c r="G195" s="1050">
        <v>300</v>
      </c>
      <c r="H195" s="1052">
        <v>4</v>
      </c>
      <c r="I195" s="1052"/>
      <c r="J195" s="1052"/>
    </row>
    <row r="196" spans="2:10" ht="13.05" customHeight="1" x14ac:dyDescent="0.3">
      <c r="B196" s="1191" t="s">
        <v>307</v>
      </c>
      <c r="C196" s="215" t="s">
        <v>528</v>
      </c>
      <c r="D196" s="215" t="s">
        <v>498</v>
      </c>
      <c r="E196" s="1190">
        <v>172</v>
      </c>
      <c r="F196" s="215" t="s">
        <v>234</v>
      </c>
      <c r="G196" s="1050">
        <v>350</v>
      </c>
      <c r="H196" s="1052">
        <v>5</v>
      </c>
      <c r="I196" s="1052"/>
      <c r="J196" s="1052"/>
    </row>
    <row r="197" spans="2:10" ht="13.05" customHeight="1" x14ac:dyDescent="0.3">
      <c r="B197" s="1191" t="s">
        <v>307</v>
      </c>
      <c r="C197" s="215" t="s">
        <v>528</v>
      </c>
      <c r="D197" s="215" t="s">
        <v>572</v>
      </c>
      <c r="E197" s="1190">
        <v>257</v>
      </c>
      <c r="F197" s="215" t="s">
        <v>234</v>
      </c>
      <c r="G197" s="1050">
        <v>390</v>
      </c>
      <c r="H197" s="1052">
        <v>6</v>
      </c>
      <c r="I197" s="1052"/>
      <c r="J197" s="1052"/>
    </row>
    <row r="198" spans="2:10" ht="13.05" customHeight="1" x14ac:dyDescent="0.3">
      <c r="B198" s="215" t="s">
        <v>307</v>
      </c>
      <c r="C198" s="215" t="s">
        <v>574</v>
      </c>
      <c r="D198" s="215" t="s">
        <v>575</v>
      </c>
      <c r="E198" s="1190">
        <v>257</v>
      </c>
      <c r="F198" s="215" t="s">
        <v>234</v>
      </c>
      <c r="G198" s="1190">
        <v>390</v>
      </c>
      <c r="H198" s="1052">
        <v>6</v>
      </c>
      <c r="I198" s="1052"/>
      <c r="J198" s="1052"/>
    </row>
    <row r="199" spans="2:10" ht="13.05" customHeight="1" x14ac:dyDescent="0.3">
      <c r="B199" s="215" t="s">
        <v>307</v>
      </c>
      <c r="C199" s="215" t="s">
        <v>543</v>
      </c>
      <c r="D199" s="215" t="s">
        <v>420</v>
      </c>
      <c r="E199" s="1190">
        <v>77</v>
      </c>
      <c r="F199" s="215" t="s">
        <v>234</v>
      </c>
      <c r="G199" s="1050">
        <v>200</v>
      </c>
      <c r="H199" s="1052">
        <v>2</v>
      </c>
      <c r="I199" s="1052"/>
      <c r="J199" s="1052"/>
    </row>
    <row r="200" spans="2:10" ht="13.05" customHeight="1" x14ac:dyDescent="0.3">
      <c r="B200" s="1191" t="s">
        <v>307</v>
      </c>
      <c r="C200" s="1191" t="s">
        <v>552</v>
      </c>
      <c r="D200" s="1191" t="s">
        <v>420</v>
      </c>
      <c r="E200" s="1192">
        <v>77</v>
      </c>
      <c r="F200" s="215" t="s">
        <v>234</v>
      </c>
      <c r="G200" s="1049">
        <v>200</v>
      </c>
      <c r="H200" s="1051">
        <v>2</v>
      </c>
      <c r="I200" s="1051"/>
      <c r="J200" s="1051"/>
    </row>
    <row r="201" spans="2:10" ht="13.05" customHeight="1" x14ac:dyDescent="0.3">
      <c r="B201" s="1191" t="s">
        <v>307</v>
      </c>
      <c r="C201" s="1191" t="s">
        <v>552</v>
      </c>
      <c r="D201" s="1191" t="s">
        <v>407</v>
      </c>
      <c r="E201" s="1192">
        <v>96</v>
      </c>
      <c r="F201" s="215" t="s">
        <v>234</v>
      </c>
      <c r="G201" s="1049">
        <v>240</v>
      </c>
      <c r="H201" s="1052">
        <v>3</v>
      </c>
      <c r="I201" s="1052"/>
      <c r="J201" s="1052"/>
    </row>
    <row r="202" spans="2:10" ht="13.05" customHeight="1" x14ac:dyDescent="0.3">
      <c r="B202" s="1191" t="s">
        <v>307</v>
      </c>
      <c r="C202" s="1191" t="s">
        <v>544</v>
      </c>
      <c r="D202" s="1191" t="s">
        <v>407</v>
      </c>
      <c r="E202" s="1192">
        <v>96</v>
      </c>
      <c r="F202" s="1191" t="s">
        <v>234</v>
      </c>
      <c r="G202" s="1049">
        <v>240</v>
      </c>
      <c r="H202" s="1193">
        <v>3</v>
      </c>
      <c r="I202" s="1193"/>
      <c r="J202" s="1193"/>
    </row>
    <row r="203" spans="2:10" ht="13.05" customHeight="1" x14ac:dyDescent="0.3">
      <c r="B203" s="1191" t="s">
        <v>307</v>
      </c>
      <c r="C203" s="215" t="s">
        <v>555</v>
      </c>
      <c r="D203" s="215" t="s">
        <v>531</v>
      </c>
      <c r="E203" s="1190">
        <v>128</v>
      </c>
      <c r="F203" s="215" t="s">
        <v>234</v>
      </c>
      <c r="G203" s="1050">
        <v>300</v>
      </c>
      <c r="H203" s="1052">
        <v>4</v>
      </c>
      <c r="I203" s="1052"/>
      <c r="J203" s="1052"/>
    </row>
    <row r="204" spans="2:10" ht="13.05" customHeight="1" x14ac:dyDescent="0.3">
      <c r="B204" s="1191" t="s">
        <v>307</v>
      </c>
      <c r="C204" s="215" t="s">
        <v>555</v>
      </c>
      <c r="D204" s="215" t="s">
        <v>537</v>
      </c>
      <c r="E204" s="1190">
        <v>172</v>
      </c>
      <c r="F204" s="215" t="s">
        <v>234</v>
      </c>
      <c r="G204" s="1050">
        <v>350</v>
      </c>
      <c r="H204" s="1052">
        <v>5</v>
      </c>
      <c r="I204" s="1052"/>
      <c r="J204" s="1052"/>
    </row>
    <row r="205" spans="2:10" ht="13.05" customHeight="1" x14ac:dyDescent="0.3">
      <c r="B205" s="1191" t="s">
        <v>307</v>
      </c>
      <c r="C205" s="215" t="s">
        <v>555</v>
      </c>
      <c r="D205" s="215" t="s">
        <v>572</v>
      </c>
      <c r="E205" s="1190">
        <v>257</v>
      </c>
      <c r="F205" s="215" t="s">
        <v>234</v>
      </c>
      <c r="G205" s="1050">
        <v>390</v>
      </c>
      <c r="H205" s="1052">
        <v>6</v>
      </c>
      <c r="I205" s="1052"/>
      <c r="J205" s="1052"/>
    </row>
    <row r="206" spans="2:10" ht="13.05" customHeight="1" x14ac:dyDescent="0.3">
      <c r="B206" s="1191" t="s">
        <v>307</v>
      </c>
      <c r="C206" s="1191" t="s">
        <v>573</v>
      </c>
      <c r="D206" s="1191" t="s">
        <v>572</v>
      </c>
      <c r="E206" s="1192">
        <v>257</v>
      </c>
      <c r="F206" s="1191" t="s">
        <v>234</v>
      </c>
      <c r="G206" s="1192">
        <v>390</v>
      </c>
      <c r="H206" s="1051">
        <v>6</v>
      </c>
      <c r="I206" s="1051"/>
      <c r="J206" s="1051"/>
    </row>
    <row r="207" spans="2:10" ht="13.05" customHeight="1" x14ac:dyDescent="0.3">
      <c r="B207" s="1191" t="s">
        <v>582</v>
      </c>
      <c r="C207" s="1191" t="s">
        <v>583</v>
      </c>
      <c r="D207" s="1191" t="s">
        <v>584</v>
      </c>
      <c r="E207" s="1192">
        <v>140</v>
      </c>
      <c r="F207" s="1191" t="s">
        <v>234</v>
      </c>
      <c r="G207" s="1049">
        <v>290</v>
      </c>
      <c r="H207" s="1051"/>
      <c r="I207" s="1051"/>
      <c r="J207" s="1051"/>
    </row>
    <row r="208" spans="2:10" ht="13.05" customHeight="1" x14ac:dyDescent="0.3">
      <c r="B208" s="215" t="s">
        <v>582</v>
      </c>
      <c r="C208" s="215" t="s">
        <v>585</v>
      </c>
      <c r="D208" s="215" t="s">
        <v>586</v>
      </c>
      <c r="E208" s="1190">
        <v>165</v>
      </c>
      <c r="F208" s="215" t="s">
        <v>234</v>
      </c>
      <c r="G208" s="1050">
        <v>315</v>
      </c>
      <c r="H208" s="1052"/>
      <c r="I208" s="1052"/>
      <c r="J208" s="1052"/>
    </row>
    <row r="209" spans="2:10" ht="13.05" customHeight="1" x14ac:dyDescent="0.3">
      <c r="B209" s="1191" t="s">
        <v>582</v>
      </c>
      <c r="C209" s="1191" t="s">
        <v>587</v>
      </c>
      <c r="D209" s="1191" t="s">
        <v>588</v>
      </c>
      <c r="E209" s="1192">
        <v>170</v>
      </c>
      <c r="F209" s="1191" t="s">
        <v>234</v>
      </c>
      <c r="G209" s="1049">
        <v>340</v>
      </c>
      <c r="H209" s="1051"/>
      <c r="I209" s="1051"/>
      <c r="J209" s="1051"/>
    </row>
    <row r="210" spans="2:10" ht="13.05" customHeight="1" x14ac:dyDescent="0.3">
      <c r="B210" s="215" t="s">
        <v>582</v>
      </c>
      <c r="C210" s="215" t="s">
        <v>589</v>
      </c>
      <c r="D210" s="215" t="s">
        <v>590</v>
      </c>
      <c r="E210" s="1190">
        <v>172.5</v>
      </c>
      <c r="F210" s="215" t="s">
        <v>234</v>
      </c>
      <c r="G210" s="1050">
        <v>370</v>
      </c>
      <c r="H210" s="1052"/>
      <c r="I210" s="1052"/>
      <c r="J210" s="1052"/>
    </row>
    <row r="211" spans="2:10" ht="13.05" customHeight="1" x14ac:dyDescent="0.3">
      <c r="B211" s="1191" t="s">
        <v>582</v>
      </c>
      <c r="C211" s="1191" t="s">
        <v>591</v>
      </c>
      <c r="D211" s="1191" t="s">
        <v>1833</v>
      </c>
      <c r="E211" s="1192">
        <v>285</v>
      </c>
      <c r="F211" s="1191" t="s">
        <v>234</v>
      </c>
      <c r="G211" s="1049">
        <v>500</v>
      </c>
      <c r="H211" s="1051">
        <v>7</v>
      </c>
      <c r="I211" s="1051"/>
      <c r="J211" s="1051"/>
    </row>
    <row r="212" spans="2:10" ht="13.05" customHeight="1" x14ac:dyDescent="0.3">
      <c r="B212" s="215" t="s">
        <v>582</v>
      </c>
      <c r="C212" s="215" t="s">
        <v>592</v>
      </c>
      <c r="D212" s="215" t="s">
        <v>593</v>
      </c>
      <c r="E212" s="1190">
        <v>112.5</v>
      </c>
      <c r="F212" s="215" t="s">
        <v>234</v>
      </c>
      <c r="G212" s="1050">
        <v>190</v>
      </c>
      <c r="H212" s="1052"/>
      <c r="I212" s="1052"/>
      <c r="J212" s="1052"/>
    </row>
    <row r="213" spans="2:10" ht="13.05" customHeight="1" x14ac:dyDescent="0.3">
      <c r="B213" s="1191" t="s">
        <v>582</v>
      </c>
      <c r="C213" s="1191" t="s">
        <v>594</v>
      </c>
      <c r="D213" s="1191" t="s">
        <v>595</v>
      </c>
      <c r="E213" s="1192">
        <v>135</v>
      </c>
      <c r="F213" s="1191" t="s">
        <v>234</v>
      </c>
      <c r="G213" s="1049">
        <v>235</v>
      </c>
      <c r="H213" s="1051"/>
      <c r="I213" s="1051"/>
      <c r="J213" s="1051"/>
    </row>
    <row r="214" spans="2:10" ht="13.05" customHeight="1" x14ac:dyDescent="0.3">
      <c r="B214" s="215" t="s">
        <v>582</v>
      </c>
      <c r="C214" s="215" t="s">
        <v>596</v>
      </c>
      <c r="D214" s="215" t="s">
        <v>597</v>
      </c>
      <c r="E214" s="1190">
        <v>135</v>
      </c>
      <c r="F214" s="215" t="s">
        <v>234</v>
      </c>
      <c r="G214" s="1050">
        <v>265</v>
      </c>
      <c r="H214" s="1052"/>
      <c r="I214" s="1052"/>
      <c r="J214" s="1052"/>
    </row>
    <row r="215" spans="2:10" ht="13.05" customHeight="1" x14ac:dyDescent="0.3">
      <c r="B215" s="1191" t="s">
        <v>582</v>
      </c>
      <c r="C215" s="1191" t="s">
        <v>598</v>
      </c>
      <c r="D215" s="1191" t="s">
        <v>599</v>
      </c>
      <c r="E215" s="1192">
        <v>130</v>
      </c>
      <c r="F215" s="1191" t="s">
        <v>234</v>
      </c>
      <c r="G215" s="1049">
        <v>235</v>
      </c>
      <c r="H215" s="1051"/>
      <c r="I215" s="1051"/>
      <c r="J215" s="1051"/>
    </row>
    <row r="216" spans="2:10" ht="13.05" customHeight="1" x14ac:dyDescent="0.3">
      <c r="B216" s="215" t="s">
        <v>582</v>
      </c>
      <c r="C216" s="215" t="s">
        <v>600</v>
      </c>
      <c r="D216" s="215" t="s">
        <v>601</v>
      </c>
      <c r="E216" s="1190">
        <v>137.5</v>
      </c>
      <c r="F216" s="215" t="s">
        <v>234</v>
      </c>
      <c r="G216" s="1050">
        <v>265</v>
      </c>
      <c r="H216" s="1052"/>
      <c r="I216" s="1052"/>
      <c r="J216" s="1052"/>
    </row>
    <row r="217" spans="2:10" ht="13.05" customHeight="1" x14ac:dyDescent="0.3">
      <c r="B217" s="1191" t="s">
        <v>582</v>
      </c>
      <c r="C217" s="1191" t="s">
        <v>602</v>
      </c>
      <c r="D217" s="1191" t="s">
        <v>603</v>
      </c>
      <c r="E217" s="1192">
        <v>65</v>
      </c>
      <c r="F217" s="1191" t="s">
        <v>234</v>
      </c>
      <c r="G217" s="1049">
        <v>125</v>
      </c>
      <c r="H217" s="1051"/>
      <c r="I217" s="1051"/>
      <c r="J217" s="1051"/>
    </row>
    <row r="218" spans="2:10" ht="13.05" customHeight="1" x14ac:dyDescent="0.3">
      <c r="B218" s="215" t="s">
        <v>582</v>
      </c>
      <c r="C218" s="215" t="s">
        <v>604</v>
      </c>
      <c r="D218" s="215" t="s">
        <v>605</v>
      </c>
      <c r="E218" s="1190">
        <v>72.5</v>
      </c>
      <c r="F218" s="215" t="s">
        <v>234</v>
      </c>
      <c r="G218" s="1050">
        <v>160</v>
      </c>
      <c r="H218" s="1052"/>
      <c r="I218" s="1052"/>
      <c r="J218" s="1052"/>
    </row>
    <row r="219" spans="2:10" ht="13.05" customHeight="1" x14ac:dyDescent="0.3">
      <c r="B219" s="1191" t="s">
        <v>582</v>
      </c>
      <c r="C219" s="1191" t="s">
        <v>606</v>
      </c>
      <c r="D219" s="1191" t="s">
        <v>607</v>
      </c>
      <c r="E219" s="1192">
        <v>80</v>
      </c>
      <c r="F219" s="1191" t="s">
        <v>234</v>
      </c>
      <c r="G219" s="1049">
        <v>170</v>
      </c>
      <c r="H219" s="1051"/>
      <c r="I219" s="1051"/>
      <c r="J219" s="1051"/>
    </row>
    <row r="220" spans="2:10" ht="13.05" customHeight="1" x14ac:dyDescent="0.3">
      <c r="B220" s="215" t="s">
        <v>582</v>
      </c>
      <c r="C220" s="215" t="s">
        <v>608</v>
      </c>
      <c r="D220" s="215" t="s">
        <v>609</v>
      </c>
      <c r="E220" s="1190">
        <v>90</v>
      </c>
      <c r="F220" s="215" t="s">
        <v>234</v>
      </c>
      <c r="G220" s="1050">
        <v>180</v>
      </c>
      <c r="H220" s="1052"/>
      <c r="I220" s="1052"/>
      <c r="J220" s="1052"/>
    </row>
    <row r="221" spans="2:10" ht="13.05" customHeight="1" x14ac:dyDescent="0.3">
      <c r="B221" s="1191" t="s">
        <v>582</v>
      </c>
      <c r="C221" s="1191" t="s">
        <v>610</v>
      </c>
      <c r="D221" s="1191" t="s">
        <v>611</v>
      </c>
      <c r="E221" s="1192">
        <v>105</v>
      </c>
      <c r="F221" s="1191" t="s">
        <v>234</v>
      </c>
      <c r="G221" s="1049">
        <v>190</v>
      </c>
      <c r="H221" s="1051"/>
      <c r="I221" s="1051"/>
      <c r="J221" s="1051"/>
    </row>
    <row r="222" spans="2:10" ht="13.05" customHeight="1" x14ac:dyDescent="0.3">
      <c r="B222" s="215" t="s">
        <v>582</v>
      </c>
      <c r="C222" s="215" t="s">
        <v>612</v>
      </c>
      <c r="D222" s="215" t="s">
        <v>613</v>
      </c>
      <c r="E222" s="1190">
        <v>107.5</v>
      </c>
      <c r="F222" s="215" t="s">
        <v>234</v>
      </c>
      <c r="G222" s="1050">
        <v>210</v>
      </c>
      <c r="H222" s="1052"/>
      <c r="I222" s="1052"/>
      <c r="J222" s="1052"/>
    </row>
    <row r="223" spans="2:10" ht="13.05" customHeight="1" x14ac:dyDescent="0.3">
      <c r="B223" s="1191" t="s">
        <v>582</v>
      </c>
      <c r="C223" s="1191" t="s">
        <v>614</v>
      </c>
      <c r="D223" s="1191" t="s">
        <v>615</v>
      </c>
      <c r="E223" s="1192">
        <v>65</v>
      </c>
      <c r="F223" s="1191" t="s">
        <v>234</v>
      </c>
      <c r="G223" s="1049">
        <v>125</v>
      </c>
      <c r="H223" s="1051"/>
      <c r="I223" s="1051"/>
      <c r="J223" s="1051"/>
    </row>
    <row r="224" spans="2:10" ht="13.05" customHeight="1" x14ac:dyDescent="0.3">
      <c r="B224" s="215" t="s">
        <v>582</v>
      </c>
      <c r="C224" s="215" t="s">
        <v>616</v>
      </c>
      <c r="D224" s="215" t="s">
        <v>617</v>
      </c>
      <c r="E224" s="1190">
        <v>75</v>
      </c>
      <c r="F224" s="215" t="s">
        <v>234</v>
      </c>
      <c r="G224" s="1050">
        <v>140</v>
      </c>
      <c r="H224" s="1052"/>
      <c r="I224" s="1052"/>
      <c r="J224" s="1052"/>
    </row>
    <row r="225" spans="2:10" ht="13.05" customHeight="1" x14ac:dyDescent="0.3">
      <c r="B225" s="1191" t="s">
        <v>582</v>
      </c>
      <c r="C225" s="1191" t="s">
        <v>618</v>
      </c>
      <c r="D225" s="1191" t="s">
        <v>619</v>
      </c>
      <c r="E225" s="1192">
        <v>80</v>
      </c>
      <c r="F225" s="1191" t="s">
        <v>234</v>
      </c>
      <c r="G225" s="1049">
        <v>160</v>
      </c>
      <c r="H225" s="1051"/>
      <c r="I225" s="1051"/>
      <c r="J225" s="1051"/>
    </row>
    <row r="226" spans="2:10" ht="13.05" customHeight="1" x14ac:dyDescent="0.3">
      <c r="B226" s="215" t="s">
        <v>582</v>
      </c>
      <c r="C226" s="215" t="s">
        <v>620</v>
      </c>
      <c r="D226" s="215" t="s">
        <v>621</v>
      </c>
      <c r="E226" s="1190">
        <v>90</v>
      </c>
      <c r="F226" s="215" t="s">
        <v>234</v>
      </c>
      <c r="G226" s="1050">
        <v>170</v>
      </c>
      <c r="H226" s="1052"/>
      <c r="I226" s="1052"/>
      <c r="J226" s="1052"/>
    </row>
    <row r="227" spans="2:10" ht="13.05" customHeight="1" x14ac:dyDescent="0.3">
      <c r="B227" s="1191" t="s">
        <v>582</v>
      </c>
      <c r="C227" s="1191" t="s">
        <v>622</v>
      </c>
      <c r="D227" s="1191" t="s">
        <v>623</v>
      </c>
      <c r="E227" s="1192">
        <v>105</v>
      </c>
      <c r="F227" s="1191" t="s">
        <v>234</v>
      </c>
      <c r="G227" s="1049">
        <v>180</v>
      </c>
      <c r="H227" s="1051"/>
      <c r="I227" s="1051"/>
      <c r="J227" s="1051"/>
    </row>
    <row r="228" spans="2:10" ht="13.05" customHeight="1" x14ac:dyDescent="0.3">
      <c r="B228" s="215" t="s">
        <v>582</v>
      </c>
      <c r="C228" s="215" t="s">
        <v>624</v>
      </c>
      <c r="D228" s="215" t="s">
        <v>625</v>
      </c>
      <c r="E228" s="1190">
        <v>65</v>
      </c>
      <c r="F228" s="215" t="s">
        <v>234</v>
      </c>
      <c r="G228" s="1050">
        <v>105</v>
      </c>
      <c r="H228" s="1052"/>
      <c r="I228" s="1052"/>
      <c r="J228" s="1052"/>
    </row>
    <row r="229" spans="2:10" ht="13.05" customHeight="1" x14ac:dyDescent="0.3">
      <c r="B229" s="1191" t="s">
        <v>582</v>
      </c>
      <c r="C229" s="1191" t="s">
        <v>626</v>
      </c>
      <c r="D229" s="1191" t="s">
        <v>627</v>
      </c>
      <c r="E229" s="1192">
        <v>75</v>
      </c>
      <c r="F229" s="1191" t="s">
        <v>234</v>
      </c>
      <c r="G229" s="1049">
        <v>125</v>
      </c>
      <c r="H229" s="1051"/>
      <c r="I229" s="1051"/>
      <c r="J229" s="1051"/>
    </row>
    <row r="230" spans="2:10" ht="13.05" customHeight="1" x14ac:dyDescent="0.3">
      <c r="B230" s="215" t="s">
        <v>582</v>
      </c>
      <c r="C230" s="215" t="s">
        <v>628</v>
      </c>
      <c r="D230" s="215" t="s">
        <v>629</v>
      </c>
      <c r="E230" s="1190">
        <v>80</v>
      </c>
      <c r="F230" s="215" t="s">
        <v>234</v>
      </c>
      <c r="G230" s="1050">
        <v>135</v>
      </c>
      <c r="H230" s="1052"/>
      <c r="I230" s="1052"/>
      <c r="J230" s="1052"/>
    </row>
    <row r="231" spans="2:10" ht="13.05" customHeight="1" x14ac:dyDescent="0.3">
      <c r="B231" s="1191" t="s">
        <v>582</v>
      </c>
      <c r="C231" s="1191" t="s">
        <v>630</v>
      </c>
      <c r="D231" s="1191" t="s">
        <v>631</v>
      </c>
      <c r="E231" s="1192">
        <v>80</v>
      </c>
      <c r="F231" s="1191" t="s">
        <v>234</v>
      </c>
      <c r="G231" s="1049">
        <v>145</v>
      </c>
      <c r="H231" s="1051"/>
      <c r="I231" s="1051"/>
      <c r="J231" s="1051"/>
    </row>
    <row r="232" spans="2:10" ht="13.05" customHeight="1" x14ac:dyDescent="0.3">
      <c r="B232" s="215" t="s">
        <v>582</v>
      </c>
      <c r="C232" s="215" t="s">
        <v>632</v>
      </c>
      <c r="D232" s="215" t="s">
        <v>633</v>
      </c>
      <c r="E232" s="1190">
        <v>90</v>
      </c>
      <c r="F232" s="215" t="s">
        <v>234</v>
      </c>
      <c r="G232" s="1050">
        <v>170</v>
      </c>
      <c r="H232" s="1052"/>
      <c r="I232" s="1052"/>
      <c r="J232" s="1052"/>
    </row>
    <row r="233" spans="2:10" ht="13.05" customHeight="1" x14ac:dyDescent="0.3">
      <c r="B233" s="1191" t="s">
        <v>582</v>
      </c>
      <c r="C233" s="1191" t="s">
        <v>634</v>
      </c>
      <c r="D233" s="1191" t="s">
        <v>635</v>
      </c>
      <c r="E233" s="1192">
        <v>105</v>
      </c>
      <c r="F233" s="1191" t="s">
        <v>234</v>
      </c>
      <c r="G233" s="1049">
        <v>180</v>
      </c>
      <c r="H233" s="1051"/>
      <c r="I233" s="1051"/>
      <c r="J233" s="1051"/>
    </row>
    <row r="234" spans="2:10" ht="13.05" customHeight="1" x14ac:dyDescent="0.3">
      <c r="B234" s="215" t="s">
        <v>582</v>
      </c>
      <c r="C234" s="215" t="s">
        <v>636</v>
      </c>
      <c r="D234" s="215" t="s">
        <v>637</v>
      </c>
      <c r="E234" s="1190">
        <v>65</v>
      </c>
      <c r="F234" s="215" t="s">
        <v>234</v>
      </c>
      <c r="G234" s="1050">
        <v>125</v>
      </c>
      <c r="H234" s="1052"/>
      <c r="I234" s="1052"/>
      <c r="J234" s="1052"/>
    </row>
    <row r="235" spans="2:10" ht="13.05" customHeight="1" x14ac:dyDescent="0.3">
      <c r="B235" s="1191" t="s">
        <v>582</v>
      </c>
      <c r="C235" s="1191" t="s">
        <v>638</v>
      </c>
      <c r="D235" s="1191" t="s">
        <v>639</v>
      </c>
      <c r="E235" s="1192">
        <v>75</v>
      </c>
      <c r="F235" s="1191" t="s">
        <v>234</v>
      </c>
      <c r="G235" s="1049">
        <v>135</v>
      </c>
      <c r="H235" s="1051"/>
      <c r="I235" s="1051"/>
      <c r="J235" s="1051"/>
    </row>
    <row r="236" spans="2:10" ht="13.05" customHeight="1" x14ac:dyDescent="0.3">
      <c r="B236" s="215" t="s">
        <v>582</v>
      </c>
      <c r="C236" s="215" t="s">
        <v>640</v>
      </c>
      <c r="D236" s="215" t="s">
        <v>641</v>
      </c>
      <c r="E236" s="1190">
        <v>80</v>
      </c>
      <c r="F236" s="215" t="s">
        <v>234</v>
      </c>
      <c r="G236" s="1050">
        <v>160</v>
      </c>
      <c r="H236" s="1052"/>
      <c r="I236" s="1052"/>
      <c r="J236" s="1052"/>
    </row>
    <row r="237" spans="2:10" ht="13.05" customHeight="1" x14ac:dyDescent="0.3">
      <c r="B237" s="1191" t="s">
        <v>582</v>
      </c>
      <c r="C237" s="1191" t="s">
        <v>642</v>
      </c>
      <c r="D237" s="1191" t="s">
        <v>643</v>
      </c>
      <c r="E237" s="1192">
        <v>90</v>
      </c>
      <c r="F237" s="1191" t="s">
        <v>234</v>
      </c>
      <c r="G237" s="1049">
        <v>180</v>
      </c>
      <c r="H237" s="1051"/>
      <c r="I237" s="1051"/>
      <c r="J237" s="1051"/>
    </row>
    <row r="238" spans="2:10" ht="13.05" customHeight="1" x14ac:dyDescent="0.3">
      <c r="B238" s="215" t="s">
        <v>582</v>
      </c>
      <c r="C238" s="215" t="s">
        <v>644</v>
      </c>
      <c r="D238" s="215" t="s">
        <v>645</v>
      </c>
      <c r="E238" s="1190">
        <v>105</v>
      </c>
      <c r="F238" s="215" t="s">
        <v>234</v>
      </c>
      <c r="G238" s="1050">
        <v>190</v>
      </c>
      <c r="H238" s="1052"/>
      <c r="I238" s="1052"/>
      <c r="J238" s="1052"/>
    </row>
    <row r="239" spans="2:10" ht="13.05" customHeight="1" x14ac:dyDescent="0.3">
      <c r="B239" s="1191" t="s">
        <v>582</v>
      </c>
      <c r="C239" s="1191" t="s">
        <v>646</v>
      </c>
      <c r="D239" s="1191" t="s">
        <v>647</v>
      </c>
      <c r="E239" s="1192">
        <v>65</v>
      </c>
      <c r="F239" s="1191" t="s">
        <v>234</v>
      </c>
      <c r="G239" s="1049">
        <v>125</v>
      </c>
      <c r="H239" s="1051"/>
      <c r="I239" s="1051"/>
      <c r="J239" s="1051"/>
    </row>
    <row r="240" spans="2:10" ht="13.05" customHeight="1" x14ac:dyDescent="0.3">
      <c r="B240" s="215" t="s">
        <v>582</v>
      </c>
      <c r="C240" s="215" t="s">
        <v>648</v>
      </c>
      <c r="D240" s="215" t="s">
        <v>649</v>
      </c>
      <c r="E240" s="1190">
        <v>70</v>
      </c>
      <c r="F240" s="215" t="s">
        <v>234</v>
      </c>
      <c r="G240" s="1050">
        <v>170</v>
      </c>
      <c r="H240" s="1052"/>
      <c r="I240" s="1052"/>
      <c r="J240" s="1052"/>
    </row>
    <row r="241" spans="2:10" ht="13.05" customHeight="1" x14ac:dyDescent="0.3">
      <c r="B241" s="1191" t="s">
        <v>582</v>
      </c>
      <c r="C241" s="1191" t="s">
        <v>650</v>
      </c>
      <c r="D241" s="1191" t="s">
        <v>651</v>
      </c>
      <c r="E241" s="1192">
        <v>110</v>
      </c>
      <c r="F241" s="1191" t="s">
        <v>234</v>
      </c>
      <c r="G241" s="1049">
        <v>190</v>
      </c>
      <c r="H241" s="1051"/>
      <c r="I241" s="1051"/>
      <c r="J241" s="1051"/>
    </row>
    <row r="242" spans="2:10" ht="13.05" customHeight="1" x14ac:dyDescent="0.3">
      <c r="B242" s="215" t="s">
        <v>582</v>
      </c>
      <c r="C242" s="215" t="s">
        <v>652</v>
      </c>
      <c r="D242" s="215" t="s">
        <v>653</v>
      </c>
      <c r="E242" s="1190">
        <v>107.5</v>
      </c>
      <c r="F242" s="215" t="s">
        <v>234</v>
      </c>
      <c r="G242" s="1050">
        <v>210</v>
      </c>
      <c r="H242" s="1052"/>
      <c r="I242" s="1052"/>
      <c r="J242" s="1052"/>
    </row>
    <row r="243" spans="2:10" ht="13.05" customHeight="1" x14ac:dyDescent="0.3">
      <c r="B243" s="1191" t="s">
        <v>582</v>
      </c>
      <c r="C243" s="1191" t="s">
        <v>654</v>
      </c>
      <c r="D243" s="1191" t="s">
        <v>655</v>
      </c>
      <c r="E243" s="1192">
        <v>120</v>
      </c>
      <c r="F243" s="1191" t="s">
        <v>234</v>
      </c>
      <c r="G243" s="1049">
        <v>235</v>
      </c>
      <c r="H243" s="1051"/>
      <c r="I243" s="1051"/>
      <c r="J243" s="1051"/>
    </row>
    <row r="244" spans="2:10" ht="13.05" customHeight="1" x14ac:dyDescent="0.3">
      <c r="B244" s="215" t="s">
        <v>582</v>
      </c>
      <c r="C244" s="215" t="s">
        <v>656</v>
      </c>
      <c r="D244" s="215" t="s">
        <v>657</v>
      </c>
      <c r="E244" s="1190">
        <v>140</v>
      </c>
      <c r="F244" s="215" t="s">
        <v>234</v>
      </c>
      <c r="G244" s="1050">
        <v>265</v>
      </c>
      <c r="H244" s="1052"/>
      <c r="I244" s="1052"/>
      <c r="J244" s="1052"/>
    </row>
    <row r="245" spans="2:10" ht="13.05" customHeight="1" x14ac:dyDescent="0.3">
      <c r="B245" s="1191" t="s">
        <v>582</v>
      </c>
      <c r="C245" s="1191" t="s">
        <v>658</v>
      </c>
      <c r="D245" s="1191" t="s">
        <v>659</v>
      </c>
      <c r="E245" s="1192">
        <v>77.5</v>
      </c>
      <c r="F245" s="1191" t="s">
        <v>234</v>
      </c>
      <c r="G245" s="1049">
        <v>145</v>
      </c>
      <c r="H245" s="1051"/>
      <c r="I245" s="1051"/>
      <c r="J245" s="1051"/>
    </row>
    <row r="246" spans="2:10" ht="13.05" customHeight="1" x14ac:dyDescent="0.3">
      <c r="B246" s="215" t="s">
        <v>582</v>
      </c>
      <c r="C246" s="215" t="s">
        <v>660</v>
      </c>
      <c r="D246" s="215" t="s">
        <v>661</v>
      </c>
      <c r="E246" s="1190">
        <v>90</v>
      </c>
      <c r="F246" s="215" t="s">
        <v>234</v>
      </c>
      <c r="G246" s="1050">
        <v>160</v>
      </c>
      <c r="H246" s="1052"/>
      <c r="I246" s="1052"/>
      <c r="J246" s="1052"/>
    </row>
    <row r="247" spans="2:10" ht="13.05" customHeight="1" x14ac:dyDescent="0.3">
      <c r="B247" s="1191" t="s">
        <v>582</v>
      </c>
      <c r="C247" s="1191" t="s">
        <v>662</v>
      </c>
      <c r="D247" s="1191" t="s">
        <v>663</v>
      </c>
      <c r="E247" s="1192">
        <v>95</v>
      </c>
      <c r="F247" s="1191" t="s">
        <v>234</v>
      </c>
      <c r="G247" s="1049">
        <v>170</v>
      </c>
      <c r="H247" s="1051"/>
      <c r="I247" s="1051"/>
      <c r="J247" s="1051"/>
    </row>
    <row r="248" spans="2:10" ht="13.05" customHeight="1" x14ac:dyDescent="0.3">
      <c r="B248" s="215" t="s">
        <v>582</v>
      </c>
      <c r="C248" s="215" t="s">
        <v>664</v>
      </c>
      <c r="D248" s="215" t="s">
        <v>665</v>
      </c>
      <c r="E248" s="1190">
        <v>102.5</v>
      </c>
      <c r="F248" s="215" t="s">
        <v>234</v>
      </c>
      <c r="G248" s="1050">
        <v>190</v>
      </c>
      <c r="H248" s="1052"/>
      <c r="I248" s="1052"/>
      <c r="J248" s="1052"/>
    </row>
    <row r="249" spans="2:10" ht="13.05" customHeight="1" x14ac:dyDescent="0.3">
      <c r="B249" s="1191" t="s">
        <v>582</v>
      </c>
      <c r="C249" s="1191" t="s">
        <v>666</v>
      </c>
      <c r="D249" s="1191" t="s">
        <v>667</v>
      </c>
      <c r="E249" s="1192">
        <v>107.5</v>
      </c>
      <c r="F249" s="1191" t="s">
        <v>234</v>
      </c>
      <c r="G249" s="1049">
        <v>210</v>
      </c>
      <c r="H249" s="1051"/>
      <c r="I249" s="1051"/>
      <c r="J249" s="1051"/>
    </row>
    <row r="250" spans="2:10" ht="13.05" customHeight="1" x14ac:dyDescent="0.3">
      <c r="B250" s="215" t="s">
        <v>582</v>
      </c>
      <c r="C250" s="215" t="s">
        <v>668</v>
      </c>
      <c r="D250" s="215" t="s">
        <v>669</v>
      </c>
      <c r="E250" s="1190">
        <v>140</v>
      </c>
      <c r="F250" s="215" t="s">
        <v>234</v>
      </c>
      <c r="G250" s="1050">
        <v>235</v>
      </c>
      <c r="H250" s="1052"/>
      <c r="I250" s="1052"/>
      <c r="J250" s="1052"/>
    </row>
    <row r="251" spans="2:10" ht="13.05" customHeight="1" x14ac:dyDescent="0.3">
      <c r="B251" s="1191" t="s">
        <v>582</v>
      </c>
      <c r="C251" s="1191" t="s">
        <v>670</v>
      </c>
      <c r="D251" s="1191" t="s">
        <v>671</v>
      </c>
      <c r="E251" s="1192">
        <v>75</v>
      </c>
      <c r="F251" s="1191" t="s">
        <v>234</v>
      </c>
      <c r="G251" s="1049">
        <v>135</v>
      </c>
      <c r="H251" s="1051"/>
      <c r="I251" s="1051"/>
      <c r="J251" s="1051"/>
    </row>
    <row r="252" spans="2:10" ht="13.05" customHeight="1" x14ac:dyDescent="0.3">
      <c r="B252" s="215" t="s">
        <v>582</v>
      </c>
      <c r="C252" s="215" t="s">
        <v>672</v>
      </c>
      <c r="D252" s="215" t="s">
        <v>673</v>
      </c>
      <c r="E252" s="1190">
        <v>85</v>
      </c>
      <c r="F252" s="215" t="s">
        <v>234</v>
      </c>
      <c r="G252" s="1050">
        <v>170</v>
      </c>
      <c r="H252" s="1052"/>
      <c r="I252" s="1052"/>
      <c r="J252" s="1052"/>
    </row>
    <row r="253" spans="2:10" ht="13.05" customHeight="1" x14ac:dyDescent="0.3">
      <c r="B253" s="1191" t="s">
        <v>582</v>
      </c>
      <c r="C253" s="1191" t="s">
        <v>674</v>
      </c>
      <c r="D253" s="1191" t="s">
        <v>675</v>
      </c>
      <c r="E253" s="1192">
        <v>85</v>
      </c>
      <c r="F253" s="1191" t="s">
        <v>234</v>
      </c>
      <c r="G253" s="1049">
        <v>190</v>
      </c>
      <c r="H253" s="1051"/>
      <c r="I253" s="1051"/>
      <c r="J253" s="1051"/>
    </row>
    <row r="254" spans="2:10" ht="13.05" customHeight="1" x14ac:dyDescent="0.3">
      <c r="B254" s="215" t="s">
        <v>582</v>
      </c>
      <c r="C254" s="215" t="s">
        <v>676</v>
      </c>
      <c r="D254" s="215" t="s">
        <v>677</v>
      </c>
      <c r="E254" s="1190">
        <v>85</v>
      </c>
      <c r="F254" s="215" t="s">
        <v>234</v>
      </c>
      <c r="G254" s="1050">
        <v>200</v>
      </c>
      <c r="H254" s="1052"/>
      <c r="I254" s="1052"/>
      <c r="J254" s="1052"/>
    </row>
    <row r="255" spans="2:10" ht="13.05" customHeight="1" x14ac:dyDescent="0.3">
      <c r="B255" s="1191" t="s">
        <v>582</v>
      </c>
      <c r="C255" s="1191" t="s">
        <v>678</v>
      </c>
      <c r="D255" s="1191" t="s">
        <v>679</v>
      </c>
      <c r="E255" s="1192">
        <v>105</v>
      </c>
      <c r="F255" s="1191" t="s">
        <v>234</v>
      </c>
      <c r="G255" s="1049">
        <v>205</v>
      </c>
      <c r="H255" s="1051"/>
      <c r="I255" s="1051"/>
      <c r="J255" s="1051"/>
    </row>
    <row r="256" spans="2:10" ht="13.05" customHeight="1" x14ac:dyDescent="0.3">
      <c r="B256" s="215" t="s">
        <v>582</v>
      </c>
      <c r="C256" s="215" t="s">
        <v>680</v>
      </c>
      <c r="D256" s="215" t="s">
        <v>681</v>
      </c>
      <c r="E256" s="1190">
        <v>105</v>
      </c>
      <c r="F256" s="215" t="s">
        <v>234</v>
      </c>
      <c r="G256" s="1050">
        <v>210</v>
      </c>
      <c r="H256" s="1052"/>
      <c r="I256" s="1052"/>
      <c r="J256" s="1052"/>
    </row>
    <row r="257" spans="2:10" ht="13.05" customHeight="1" x14ac:dyDescent="0.3">
      <c r="B257" s="1191" t="s">
        <v>582</v>
      </c>
      <c r="C257" s="1191" t="s">
        <v>682</v>
      </c>
      <c r="D257" s="1191" t="s">
        <v>683</v>
      </c>
      <c r="E257" s="1192">
        <v>122.5</v>
      </c>
      <c r="F257" s="1191" t="s">
        <v>234</v>
      </c>
      <c r="G257" s="1049">
        <v>210</v>
      </c>
      <c r="H257" s="1051"/>
      <c r="I257" s="1051"/>
      <c r="J257" s="1051"/>
    </row>
    <row r="258" spans="2:10" ht="13.05" customHeight="1" x14ac:dyDescent="0.3">
      <c r="B258" s="215" t="s">
        <v>582</v>
      </c>
      <c r="C258" s="215" t="s">
        <v>684</v>
      </c>
      <c r="D258" s="215" t="s">
        <v>685</v>
      </c>
      <c r="E258" s="1190">
        <v>80</v>
      </c>
      <c r="F258" s="215" t="s">
        <v>234</v>
      </c>
      <c r="G258" s="1050">
        <v>160</v>
      </c>
      <c r="H258" s="1052"/>
      <c r="I258" s="1052"/>
      <c r="J258" s="1052"/>
    </row>
    <row r="259" spans="2:10" ht="13.05" customHeight="1" x14ac:dyDescent="0.3">
      <c r="B259" s="1191" t="s">
        <v>582</v>
      </c>
      <c r="C259" s="1191" t="s">
        <v>686</v>
      </c>
      <c r="D259" s="1191" t="s">
        <v>687</v>
      </c>
      <c r="E259" s="1192">
        <v>82.5</v>
      </c>
      <c r="F259" s="1191" t="s">
        <v>234</v>
      </c>
      <c r="G259" s="1049">
        <v>170</v>
      </c>
      <c r="H259" s="1051"/>
      <c r="I259" s="1051"/>
      <c r="J259" s="1051"/>
    </row>
    <row r="260" spans="2:10" ht="13.05" customHeight="1" x14ac:dyDescent="0.3">
      <c r="B260" s="215" t="s">
        <v>582</v>
      </c>
      <c r="C260" s="215" t="s">
        <v>688</v>
      </c>
      <c r="D260" s="215" t="s">
        <v>689</v>
      </c>
      <c r="E260" s="1190">
        <v>90</v>
      </c>
      <c r="F260" s="215" t="s">
        <v>234</v>
      </c>
      <c r="G260" s="1050">
        <v>185</v>
      </c>
      <c r="H260" s="1052"/>
      <c r="I260" s="1052"/>
      <c r="J260" s="1052"/>
    </row>
    <row r="261" spans="2:10" ht="13.05" customHeight="1" x14ac:dyDescent="0.3">
      <c r="B261" s="1191" t="s">
        <v>582</v>
      </c>
      <c r="C261" s="1191" t="s">
        <v>690</v>
      </c>
      <c r="D261" s="1191" t="s">
        <v>691</v>
      </c>
      <c r="E261" s="1192">
        <v>132.5</v>
      </c>
      <c r="F261" s="1191" t="s">
        <v>234</v>
      </c>
      <c r="G261" s="1049">
        <v>235</v>
      </c>
      <c r="H261" s="1051"/>
      <c r="I261" s="1051"/>
      <c r="J261" s="1051"/>
    </row>
    <row r="262" spans="2:10" ht="13.05" customHeight="1" x14ac:dyDescent="0.3">
      <c r="B262" s="215" t="s">
        <v>582</v>
      </c>
      <c r="C262" s="215" t="s">
        <v>692</v>
      </c>
      <c r="D262" s="215" t="s">
        <v>693</v>
      </c>
      <c r="E262" s="1190">
        <v>155</v>
      </c>
      <c r="F262" s="215" t="s">
        <v>234</v>
      </c>
      <c r="G262" s="1050">
        <v>275</v>
      </c>
      <c r="H262" s="1052"/>
      <c r="I262" s="1052"/>
      <c r="J262" s="1052"/>
    </row>
    <row r="263" spans="2:10" ht="13.05" customHeight="1" x14ac:dyDescent="0.3">
      <c r="B263" s="1191" t="s">
        <v>582</v>
      </c>
      <c r="C263" s="1191" t="s">
        <v>694</v>
      </c>
      <c r="D263" s="1191" t="s">
        <v>695</v>
      </c>
      <c r="E263" s="1192">
        <v>167.5</v>
      </c>
      <c r="F263" s="1191" t="s">
        <v>234</v>
      </c>
      <c r="G263" s="1049">
        <v>290</v>
      </c>
      <c r="H263" s="1051"/>
      <c r="I263" s="1051"/>
      <c r="J263" s="1051"/>
    </row>
    <row r="264" spans="2:10" ht="13.05" customHeight="1" x14ac:dyDescent="0.3">
      <c r="B264" s="215" t="s">
        <v>582</v>
      </c>
      <c r="C264" s="215" t="s">
        <v>696</v>
      </c>
      <c r="D264" s="215" t="s">
        <v>697</v>
      </c>
      <c r="E264" s="1190">
        <v>85</v>
      </c>
      <c r="F264" s="215" t="s">
        <v>234</v>
      </c>
      <c r="G264" s="1050">
        <v>160</v>
      </c>
      <c r="H264" s="1052"/>
      <c r="I264" s="1052"/>
      <c r="J264" s="1052"/>
    </row>
    <row r="265" spans="2:10" ht="13.05" customHeight="1" x14ac:dyDescent="0.3">
      <c r="B265" s="1191" t="s">
        <v>582</v>
      </c>
      <c r="C265" s="1191" t="s">
        <v>698</v>
      </c>
      <c r="D265" s="1191" t="s">
        <v>699</v>
      </c>
      <c r="E265" s="1192">
        <v>105</v>
      </c>
      <c r="F265" s="1191" t="s">
        <v>234</v>
      </c>
      <c r="G265" s="1049">
        <v>190</v>
      </c>
      <c r="H265" s="1051"/>
      <c r="I265" s="1051"/>
      <c r="J265" s="1051"/>
    </row>
    <row r="266" spans="2:10" ht="13.05" customHeight="1" x14ac:dyDescent="0.3">
      <c r="B266" s="215" t="s">
        <v>582</v>
      </c>
      <c r="C266" s="215" t="s">
        <v>700</v>
      </c>
      <c r="D266" s="215" t="s">
        <v>701</v>
      </c>
      <c r="E266" s="1190">
        <v>107.5</v>
      </c>
      <c r="F266" s="215" t="s">
        <v>234</v>
      </c>
      <c r="G266" s="1050">
        <v>210</v>
      </c>
      <c r="H266" s="1052"/>
      <c r="I266" s="1052"/>
      <c r="J266" s="1052"/>
    </row>
    <row r="267" spans="2:10" ht="13.05" customHeight="1" x14ac:dyDescent="0.3">
      <c r="B267" s="1191" t="s">
        <v>582</v>
      </c>
      <c r="C267" s="1191" t="s">
        <v>702</v>
      </c>
      <c r="D267" s="1191" t="s">
        <v>703</v>
      </c>
      <c r="E267" s="1192">
        <v>115.5</v>
      </c>
      <c r="F267" s="1191" t="s">
        <v>234</v>
      </c>
      <c r="G267" s="1049">
        <v>235</v>
      </c>
      <c r="H267" s="1051"/>
      <c r="I267" s="1051"/>
      <c r="J267" s="1051"/>
    </row>
    <row r="268" spans="2:10" ht="13.05" customHeight="1" x14ac:dyDescent="0.3">
      <c r="B268" s="215" t="s">
        <v>582</v>
      </c>
      <c r="C268" s="215" t="s">
        <v>704</v>
      </c>
      <c r="D268" s="215" t="s">
        <v>705</v>
      </c>
      <c r="E268" s="1190">
        <v>162.5</v>
      </c>
      <c r="F268" s="215" t="s">
        <v>234</v>
      </c>
      <c r="G268" s="1050">
        <v>275</v>
      </c>
      <c r="H268" s="1052"/>
      <c r="I268" s="1052"/>
      <c r="J268" s="1052"/>
    </row>
    <row r="269" spans="2:10" ht="13.05" customHeight="1" x14ac:dyDescent="0.3">
      <c r="B269" s="1191" t="s">
        <v>582</v>
      </c>
      <c r="C269" s="1191" t="s">
        <v>706</v>
      </c>
      <c r="D269" s="1191" t="s">
        <v>707</v>
      </c>
      <c r="E269" s="1192">
        <v>162.5</v>
      </c>
      <c r="F269" s="1191" t="s">
        <v>234</v>
      </c>
      <c r="G269" s="1049">
        <v>275</v>
      </c>
      <c r="H269" s="1051"/>
      <c r="I269" s="1051"/>
      <c r="J269" s="1051"/>
    </row>
    <row r="270" spans="2:10" ht="13.05" customHeight="1" x14ac:dyDescent="0.3">
      <c r="B270" s="215" t="s">
        <v>582</v>
      </c>
      <c r="C270" s="215" t="s">
        <v>708</v>
      </c>
      <c r="D270" s="215" t="s">
        <v>709</v>
      </c>
      <c r="E270" s="1190">
        <v>162.5</v>
      </c>
      <c r="F270" s="215" t="s">
        <v>234</v>
      </c>
      <c r="G270" s="1050">
        <v>290</v>
      </c>
      <c r="H270" s="1052"/>
      <c r="I270" s="1052"/>
      <c r="J270" s="1052"/>
    </row>
    <row r="271" spans="2:10" ht="13.05" customHeight="1" x14ac:dyDescent="0.3">
      <c r="B271" s="1191" t="s">
        <v>582</v>
      </c>
      <c r="C271" s="1191" t="s">
        <v>710</v>
      </c>
      <c r="D271" s="1191" t="s">
        <v>711</v>
      </c>
      <c r="E271" s="1192">
        <v>162.5</v>
      </c>
      <c r="F271" s="1191" t="s">
        <v>234</v>
      </c>
      <c r="G271" s="1049">
        <v>315</v>
      </c>
      <c r="H271" s="1051"/>
      <c r="I271" s="1051"/>
      <c r="J271" s="1051"/>
    </row>
    <row r="272" spans="2:10" ht="13.05" customHeight="1" x14ac:dyDescent="0.3">
      <c r="B272" s="215" t="s">
        <v>582</v>
      </c>
      <c r="C272" s="215" t="s">
        <v>712</v>
      </c>
      <c r="D272" s="215" t="s">
        <v>713</v>
      </c>
      <c r="E272" s="1190">
        <v>207.5</v>
      </c>
      <c r="F272" s="215" t="s">
        <v>234</v>
      </c>
      <c r="G272" s="1050">
        <v>370</v>
      </c>
      <c r="H272" s="1052"/>
      <c r="I272" s="1052"/>
      <c r="J272" s="1052"/>
    </row>
    <row r="273" spans="2:10" ht="13.05" customHeight="1" x14ac:dyDescent="0.3">
      <c r="B273" s="1191" t="s">
        <v>582</v>
      </c>
      <c r="C273" s="1191" t="s">
        <v>532</v>
      </c>
      <c r="D273" s="1191" t="s">
        <v>714</v>
      </c>
      <c r="E273" s="1192">
        <v>97.5</v>
      </c>
      <c r="F273" s="1191" t="s">
        <v>234</v>
      </c>
      <c r="G273" s="1049">
        <v>160</v>
      </c>
      <c r="H273" s="1051"/>
      <c r="I273" s="1051"/>
      <c r="J273" s="1051"/>
    </row>
    <row r="274" spans="2:10" ht="13.05" customHeight="1" x14ac:dyDescent="0.3">
      <c r="B274" s="215" t="s">
        <v>582</v>
      </c>
      <c r="C274" s="215" t="s">
        <v>715</v>
      </c>
      <c r="D274" s="215" t="s">
        <v>716</v>
      </c>
      <c r="E274" s="1190">
        <v>105</v>
      </c>
      <c r="F274" s="215" t="s">
        <v>234</v>
      </c>
      <c r="G274" s="1050">
        <v>185</v>
      </c>
      <c r="H274" s="1052"/>
      <c r="I274" s="1052"/>
      <c r="J274" s="1052"/>
    </row>
    <row r="275" spans="2:10" ht="13.05" customHeight="1" x14ac:dyDescent="0.3">
      <c r="B275" s="1191" t="s">
        <v>582</v>
      </c>
      <c r="C275" s="1191" t="s">
        <v>717</v>
      </c>
      <c r="D275" s="1191" t="s">
        <v>718</v>
      </c>
      <c r="E275" s="1192">
        <v>107.5</v>
      </c>
      <c r="F275" s="1191" t="s">
        <v>234</v>
      </c>
      <c r="G275" s="1049">
        <v>195</v>
      </c>
      <c r="H275" s="1051"/>
      <c r="I275" s="1051"/>
      <c r="J275" s="1051"/>
    </row>
    <row r="276" spans="2:10" ht="13.05" customHeight="1" x14ac:dyDescent="0.3">
      <c r="B276" s="215" t="s">
        <v>582</v>
      </c>
      <c r="C276" s="215" t="s">
        <v>719</v>
      </c>
      <c r="D276" s="215" t="s">
        <v>720</v>
      </c>
      <c r="E276" s="1190">
        <v>75</v>
      </c>
      <c r="F276" s="215" t="s">
        <v>234</v>
      </c>
      <c r="G276" s="1050">
        <v>125</v>
      </c>
      <c r="H276" s="1052"/>
      <c r="I276" s="1052"/>
      <c r="J276" s="1052"/>
    </row>
    <row r="277" spans="2:10" ht="13.05" customHeight="1" x14ac:dyDescent="0.3">
      <c r="B277" s="1191" t="s">
        <v>582</v>
      </c>
      <c r="C277" s="1191" t="s">
        <v>721</v>
      </c>
      <c r="D277" s="1191" t="s">
        <v>722</v>
      </c>
      <c r="E277" s="1192">
        <v>80</v>
      </c>
      <c r="F277" s="1191" t="s">
        <v>234</v>
      </c>
      <c r="G277" s="1049">
        <v>145</v>
      </c>
      <c r="H277" s="1051"/>
      <c r="I277" s="1051"/>
      <c r="J277" s="1051"/>
    </row>
    <row r="278" spans="2:10" ht="13.05" customHeight="1" x14ac:dyDescent="0.3">
      <c r="B278" s="215" t="s">
        <v>582</v>
      </c>
      <c r="C278" s="215" t="s">
        <v>723</v>
      </c>
      <c r="D278" s="215" t="s">
        <v>724</v>
      </c>
      <c r="E278" s="1190">
        <v>82.5</v>
      </c>
      <c r="F278" s="215" t="s">
        <v>234</v>
      </c>
      <c r="G278" s="1050">
        <v>170</v>
      </c>
      <c r="H278" s="1052"/>
      <c r="I278" s="1052"/>
      <c r="J278" s="1052"/>
    </row>
    <row r="279" spans="2:10" ht="13.05" customHeight="1" x14ac:dyDescent="0.3">
      <c r="B279" s="1191" t="s">
        <v>582</v>
      </c>
      <c r="C279" s="1191" t="s">
        <v>725</v>
      </c>
      <c r="D279" s="1191" t="s">
        <v>726</v>
      </c>
      <c r="E279" s="1192">
        <v>85</v>
      </c>
      <c r="F279" s="1191" t="s">
        <v>234</v>
      </c>
      <c r="G279" s="1049">
        <v>190</v>
      </c>
      <c r="H279" s="1051"/>
      <c r="I279" s="1051"/>
      <c r="J279" s="1051"/>
    </row>
    <row r="280" spans="2:10" ht="13.05" customHeight="1" x14ac:dyDescent="0.3">
      <c r="B280" s="215" t="s">
        <v>582</v>
      </c>
      <c r="C280" s="215" t="s">
        <v>480</v>
      </c>
      <c r="D280" s="215" t="s">
        <v>727</v>
      </c>
      <c r="E280" s="1190">
        <v>70</v>
      </c>
      <c r="F280" s="215" t="s">
        <v>234</v>
      </c>
      <c r="G280" s="1050">
        <v>130</v>
      </c>
      <c r="H280" s="1052"/>
      <c r="I280" s="1052"/>
      <c r="J280" s="1052"/>
    </row>
    <row r="281" spans="2:10" ht="13.05" customHeight="1" x14ac:dyDescent="0.3">
      <c r="B281" s="1191" t="s">
        <v>582</v>
      </c>
      <c r="C281" s="1191" t="s">
        <v>728</v>
      </c>
      <c r="D281" s="1191" t="s">
        <v>729</v>
      </c>
      <c r="E281" s="1192">
        <v>80</v>
      </c>
      <c r="F281" s="1191" t="s">
        <v>234</v>
      </c>
      <c r="G281" s="1049">
        <v>160</v>
      </c>
      <c r="H281" s="1051"/>
      <c r="I281" s="1051"/>
      <c r="J281" s="1051"/>
    </row>
    <row r="282" spans="2:10" ht="13.05" customHeight="1" x14ac:dyDescent="0.3">
      <c r="B282" s="215" t="s">
        <v>582</v>
      </c>
      <c r="C282" s="215" t="s">
        <v>730</v>
      </c>
      <c r="D282" s="215" t="s">
        <v>731</v>
      </c>
      <c r="E282" s="1190">
        <v>105</v>
      </c>
      <c r="F282" s="215" t="s">
        <v>234</v>
      </c>
      <c r="G282" s="1050">
        <v>185</v>
      </c>
      <c r="H282" s="1052"/>
      <c r="I282" s="1052"/>
      <c r="J282" s="1052"/>
    </row>
    <row r="283" spans="2:10" ht="13.05" customHeight="1" x14ac:dyDescent="0.3">
      <c r="B283" s="1191" t="s">
        <v>582</v>
      </c>
      <c r="C283" s="1191" t="s">
        <v>732</v>
      </c>
      <c r="D283" s="1191" t="s">
        <v>733</v>
      </c>
      <c r="E283" s="1192">
        <v>120</v>
      </c>
      <c r="F283" s="1191" t="s">
        <v>234</v>
      </c>
      <c r="G283" s="1049">
        <v>235</v>
      </c>
      <c r="H283" s="1051"/>
      <c r="I283" s="1051"/>
      <c r="J283" s="1051"/>
    </row>
    <row r="284" spans="2:10" ht="13.05" customHeight="1" x14ac:dyDescent="0.3">
      <c r="B284" s="215" t="s">
        <v>582</v>
      </c>
      <c r="C284" s="215" t="s">
        <v>734</v>
      </c>
      <c r="D284" s="215" t="s">
        <v>735</v>
      </c>
      <c r="E284" s="1190">
        <v>132.5</v>
      </c>
      <c r="F284" s="215" t="s">
        <v>234</v>
      </c>
      <c r="G284" s="1050">
        <v>265</v>
      </c>
      <c r="H284" s="1052"/>
      <c r="I284" s="1052"/>
      <c r="J284" s="1052"/>
    </row>
    <row r="285" spans="2:10" ht="13.05" customHeight="1" x14ac:dyDescent="0.3">
      <c r="B285" s="1191" t="s">
        <v>582</v>
      </c>
      <c r="C285" s="1191" t="s">
        <v>736</v>
      </c>
      <c r="D285" s="1191" t="s">
        <v>737</v>
      </c>
      <c r="E285" s="1192">
        <v>80</v>
      </c>
      <c r="F285" s="1191" t="s">
        <v>234</v>
      </c>
      <c r="G285" s="1049">
        <v>135</v>
      </c>
      <c r="H285" s="1051"/>
      <c r="I285" s="1051"/>
      <c r="J285" s="1051"/>
    </row>
    <row r="286" spans="2:10" ht="13.05" customHeight="1" x14ac:dyDescent="0.3">
      <c r="B286" s="215" t="s">
        <v>582</v>
      </c>
      <c r="C286" s="215" t="s">
        <v>738</v>
      </c>
      <c r="D286" s="215" t="s">
        <v>739</v>
      </c>
      <c r="E286" s="1190">
        <v>90</v>
      </c>
      <c r="F286" s="215" t="s">
        <v>234</v>
      </c>
      <c r="G286" s="1050">
        <v>160</v>
      </c>
      <c r="H286" s="1052"/>
      <c r="I286" s="1052"/>
      <c r="J286" s="1052"/>
    </row>
    <row r="287" spans="2:10" ht="13.05" customHeight="1" x14ac:dyDescent="0.3">
      <c r="B287" s="1191" t="s">
        <v>582</v>
      </c>
      <c r="C287" s="1191" t="s">
        <v>740</v>
      </c>
      <c r="D287" s="1191" t="s">
        <v>741</v>
      </c>
      <c r="E287" s="1192">
        <v>105</v>
      </c>
      <c r="F287" s="1191" t="s">
        <v>234</v>
      </c>
      <c r="G287" s="1049">
        <v>185</v>
      </c>
      <c r="H287" s="1051"/>
      <c r="I287" s="1051"/>
      <c r="J287" s="1051"/>
    </row>
    <row r="288" spans="2:10" ht="13.05" customHeight="1" x14ac:dyDescent="0.3">
      <c r="B288" s="215" t="s">
        <v>582</v>
      </c>
      <c r="C288" s="215" t="s">
        <v>742</v>
      </c>
      <c r="D288" s="215" t="s">
        <v>743</v>
      </c>
      <c r="E288" s="1190">
        <v>120</v>
      </c>
      <c r="F288" s="215" t="s">
        <v>234</v>
      </c>
      <c r="G288" s="1050">
        <v>210</v>
      </c>
      <c r="H288" s="1052"/>
      <c r="I288" s="1052"/>
      <c r="J288" s="1052"/>
    </row>
    <row r="289" spans="2:10" ht="13.05" customHeight="1" x14ac:dyDescent="0.3">
      <c r="B289" s="1191" t="s">
        <v>582</v>
      </c>
      <c r="C289" s="1191" t="s">
        <v>744</v>
      </c>
      <c r="D289" s="1191" t="s">
        <v>745</v>
      </c>
      <c r="E289" s="1192">
        <v>172.5</v>
      </c>
      <c r="F289" s="1191" t="s">
        <v>234</v>
      </c>
      <c r="G289" s="1049">
        <v>370</v>
      </c>
      <c r="H289" s="1051"/>
      <c r="I289" s="1051"/>
      <c r="J289" s="1051"/>
    </row>
    <row r="290" spans="2:10" ht="13.05" customHeight="1" x14ac:dyDescent="0.3">
      <c r="B290" s="215" t="s">
        <v>432</v>
      </c>
      <c r="C290" s="215" t="s">
        <v>1632</v>
      </c>
      <c r="D290" s="215" t="s">
        <v>1648</v>
      </c>
      <c r="E290" s="1190">
        <v>45</v>
      </c>
      <c r="F290" s="215" t="s">
        <v>235</v>
      </c>
      <c r="G290" s="1050">
        <v>120</v>
      </c>
      <c r="H290" s="1052">
        <v>2</v>
      </c>
      <c r="I290" s="1052"/>
      <c r="J290" s="1052"/>
    </row>
    <row r="291" spans="2:10" ht="13.05" customHeight="1" x14ac:dyDescent="0.3">
      <c r="B291" s="1191" t="s">
        <v>432</v>
      </c>
      <c r="C291" s="1191" t="s">
        <v>1633</v>
      </c>
      <c r="D291" s="1191" t="s">
        <v>1649</v>
      </c>
      <c r="E291" s="1192">
        <v>45</v>
      </c>
      <c r="F291" s="1191" t="s">
        <v>235</v>
      </c>
      <c r="G291" s="1049">
        <v>120</v>
      </c>
      <c r="H291" s="1194">
        <v>2</v>
      </c>
      <c r="I291" s="1194"/>
      <c r="J291" s="1194"/>
    </row>
    <row r="292" spans="2:10" ht="13.05" customHeight="1" x14ac:dyDescent="0.3">
      <c r="B292" s="215" t="s">
        <v>432</v>
      </c>
      <c r="C292" s="215" t="s">
        <v>1685</v>
      </c>
      <c r="D292" s="215" t="s">
        <v>1702</v>
      </c>
      <c r="E292" s="1190">
        <v>45</v>
      </c>
      <c r="F292" s="215" t="s">
        <v>235</v>
      </c>
      <c r="G292" s="1050">
        <v>120</v>
      </c>
      <c r="H292" s="1052">
        <v>3</v>
      </c>
      <c r="I292" s="1052"/>
      <c r="J292" s="1052"/>
    </row>
    <row r="293" spans="2:10" ht="13.05" customHeight="1" x14ac:dyDescent="0.3">
      <c r="B293" s="1191" t="s">
        <v>432</v>
      </c>
      <c r="C293" s="1191" t="s">
        <v>1686</v>
      </c>
      <c r="D293" s="1191" t="s">
        <v>1703</v>
      </c>
      <c r="E293" s="1192">
        <v>45</v>
      </c>
      <c r="F293" s="1191" t="s">
        <v>235</v>
      </c>
      <c r="G293" s="1049">
        <v>120</v>
      </c>
      <c r="H293" s="1194">
        <v>3</v>
      </c>
      <c r="I293" s="1194"/>
      <c r="J293" s="1194"/>
    </row>
    <row r="294" spans="2:10" ht="13.05" customHeight="1" x14ac:dyDescent="0.3">
      <c r="B294" s="215" t="s">
        <v>432</v>
      </c>
      <c r="C294" s="215" t="s">
        <v>1766</v>
      </c>
      <c r="D294" s="215" t="s">
        <v>1743</v>
      </c>
      <c r="E294" s="1190">
        <v>60</v>
      </c>
      <c r="F294" s="215" t="s">
        <v>235</v>
      </c>
      <c r="G294" s="1050">
        <v>134</v>
      </c>
      <c r="H294" s="1052">
        <v>4</v>
      </c>
      <c r="I294" s="1052"/>
      <c r="J294" s="1052"/>
    </row>
    <row r="295" spans="2:10" ht="13.05" customHeight="1" x14ac:dyDescent="0.3">
      <c r="B295" s="1191" t="s">
        <v>432</v>
      </c>
      <c r="C295" s="1191" t="s">
        <v>1775</v>
      </c>
      <c r="D295" s="1191" t="s">
        <v>1785</v>
      </c>
      <c r="E295" s="1192">
        <v>70</v>
      </c>
      <c r="F295" s="1191" t="s">
        <v>235</v>
      </c>
      <c r="G295" s="1049">
        <v>140</v>
      </c>
      <c r="H295" s="1051">
        <v>5</v>
      </c>
      <c r="I295" s="1051"/>
      <c r="J295" s="1051"/>
    </row>
    <row r="296" spans="2:10" ht="13.05" customHeight="1" x14ac:dyDescent="0.3">
      <c r="B296" s="215" t="s">
        <v>432</v>
      </c>
      <c r="C296" s="215" t="s">
        <v>1825</v>
      </c>
      <c r="D296" s="215" t="s">
        <v>1807</v>
      </c>
      <c r="E296" s="1190">
        <v>85</v>
      </c>
      <c r="F296" s="215" t="s">
        <v>235</v>
      </c>
      <c r="G296" s="1050">
        <v>155</v>
      </c>
      <c r="H296" s="1052">
        <v>6</v>
      </c>
      <c r="I296" s="1052"/>
      <c r="J296" s="1052"/>
    </row>
    <row r="297" spans="2:10" ht="13.05" customHeight="1" x14ac:dyDescent="0.3">
      <c r="B297" s="1191" t="s">
        <v>432</v>
      </c>
      <c r="C297" s="1191" t="s">
        <v>1634</v>
      </c>
      <c r="D297" s="1191" t="s">
        <v>1650</v>
      </c>
      <c r="E297" s="1192">
        <v>45</v>
      </c>
      <c r="F297" s="1191" t="s">
        <v>235</v>
      </c>
      <c r="G297" s="1049">
        <v>120</v>
      </c>
      <c r="H297" s="1194">
        <v>2</v>
      </c>
      <c r="I297" s="1194"/>
      <c r="J297" s="1194"/>
    </row>
    <row r="298" spans="2:10" ht="13.05" customHeight="1" x14ac:dyDescent="0.3">
      <c r="B298" s="215" t="s">
        <v>432</v>
      </c>
      <c r="C298" s="215" t="s">
        <v>1635</v>
      </c>
      <c r="D298" s="215" t="s">
        <v>1651</v>
      </c>
      <c r="E298" s="1190">
        <v>45</v>
      </c>
      <c r="F298" s="215" t="s">
        <v>235</v>
      </c>
      <c r="G298" s="1050">
        <v>120</v>
      </c>
      <c r="H298" s="1052">
        <v>2</v>
      </c>
      <c r="I298" s="1052"/>
      <c r="J298" s="1052"/>
    </row>
    <row r="299" spans="2:10" ht="13.05" customHeight="1" x14ac:dyDescent="0.3">
      <c r="B299" s="1191" t="s">
        <v>432</v>
      </c>
      <c r="C299" s="1191" t="s">
        <v>1687</v>
      </c>
      <c r="D299" s="1191" t="s">
        <v>1704</v>
      </c>
      <c r="E299" s="1192">
        <v>45</v>
      </c>
      <c r="F299" s="1191" t="s">
        <v>235</v>
      </c>
      <c r="G299" s="1049">
        <v>120</v>
      </c>
      <c r="H299" s="1194">
        <v>3</v>
      </c>
      <c r="I299" s="1194"/>
      <c r="J299" s="1194"/>
    </row>
    <row r="300" spans="2:10" ht="13.05" customHeight="1" x14ac:dyDescent="0.3">
      <c r="B300" s="215" t="s">
        <v>432</v>
      </c>
      <c r="C300" s="215" t="s">
        <v>1688</v>
      </c>
      <c r="D300" s="215" t="s">
        <v>1705</v>
      </c>
      <c r="E300" s="1190">
        <v>45</v>
      </c>
      <c r="F300" s="215" t="s">
        <v>235</v>
      </c>
      <c r="G300" s="1050">
        <v>120</v>
      </c>
      <c r="H300" s="1052">
        <v>3</v>
      </c>
      <c r="I300" s="1052"/>
      <c r="J300" s="1052"/>
    </row>
    <row r="301" spans="2:10" ht="13.05" customHeight="1" x14ac:dyDescent="0.3">
      <c r="B301" s="1191" t="s">
        <v>432</v>
      </c>
      <c r="C301" s="1191" t="s">
        <v>1767</v>
      </c>
      <c r="D301" s="1191" t="s">
        <v>1744</v>
      </c>
      <c r="E301" s="1192">
        <v>60</v>
      </c>
      <c r="F301" s="1191" t="s">
        <v>235</v>
      </c>
      <c r="G301" s="1049">
        <v>134</v>
      </c>
      <c r="H301" s="1194">
        <v>4</v>
      </c>
      <c r="I301" s="1194"/>
      <c r="J301" s="1194"/>
    </row>
    <row r="302" spans="2:10" ht="13.05" customHeight="1" x14ac:dyDescent="0.3">
      <c r="B302" s="215" t="s">
        <v>432</v>
      </c>
      <c r="C302" s="215" t="s">
        <v>1776</v>
      </c>
      <c r="D302" s="215" t="s">
        <v>1786</v>
      </c>
      <c r="E302" s="1190">
        <v>70</v>
      </c>
      <c r="F302" s="215" t="s">
        <v>235</v>
      </c>
      <c r="G302" s="1050">
        <v>140</v>
      </c>
      <c r="H302" s="1196">
        <v>5</v>
      </c>
      <c r="I302" s="1196"/>
      <c r="J302" s="1196"/>
    </row>
    <row r="303" spans="2:10" ht="13.05" customHeight="1" x14ac:dyDescent="0.3">
      <c r="B303" s="1191" t="s">
        <v>432</v>
      </c>
      <c r="C303" s="1191" t="s">
        <v>1826</v>
      </c>
      <c r="D303" s="1191" t="s">
        <v>1808</v>
      </c>
      <c r="E303" s="1192">
        <v>85</v>
      </c>
      <c r="F303" s="1191" t="s">
        <v>235</v>
      </c>
      <c r="G303" s="1049">
        <v>155</v>
      </c>
      <c r="H303" s="1194">
        <v>6</v>
      </c>
      <c r="I303" s="1194"/>
      <c r="J303" s="1194"/>
    </row>
    <row r="304" spans="2:10" ht="13.05" customHeight="1" x14ac:dyDescent="0.3">
      <c r="B304" s="215" t="s">
        <v>432</v>
      </c>
      <c r="C304" s="215" t="s">
        <v>1636</v>
      </c>
      <c r="D304" s="215" t="s">
        <v>1652</v>
      </c>
      <c r="E304" s="1190">
        <v>45</v>
      </c>
      <c r="F304" s="215" t="s">
        <v>235</v>
      </c>
      <c r="G304" s="1050">
        <v>122</v>
      </c>
      <c r="H304" s="1052">
        <v>2</v>
      </c>
      <c r="I304" s="1052"/>
      <c r="J304" s="1052"/>
    </row>
    <row r="305" spans="2:10" ht="13.05" customHeight="1" x14ac:dyDescent="0.3">
      <c r="B305" s="1191" t="s">
        <v>432</v>
      </c>
      <c r="C305" s="1191" t="s">
        <v>1689</v>
      </c>
      <c r="D305" s="1191" t="s">
        <v>1706</v>
      </c>
      <c r="E305" s="1192">
        <v>50</v>
      </c>
      <c r="F305" s="1191" t="s">
        <v>235</v>
      </c>
      <c r="G305" s="1049">
        <v>136</v>
      </c>
      <c r="H305" s="1194">
        <v>3</v>
      </c>
      <c r="I305" s="1194"/>
      <c r="J305" s="1194"/>
    </row>
    <row r="306" spans="2:10" ht="13.05" customHeight="1" x14ac:dyDescent="0.3">
      <c r="B306" s="215" t="s">
        <v>432</v>
      </c>
      <c r="C306" s="215" t="s">
        <v>1690</v>
      </c>
      <c r="D306" s="215" t="s">
        <v>1707</v>
      </c>
      <c r="E306" s="1190">
        <v>50</v>
      </c>
      <c r="F306" s="215" t="s">
        <v>235</v>
      </c>
      <c r="G306" s="1050">
        <v>136</v>
      </c>
      <c r="H306" s="1052">
        <v>3</v>
      </c>
      <c r="I306" s="1052"/>
      <c r="J306" s="1052"/>
    </row>
    <row r="307" spans="2:10" ht="13.05" customHeight="1" x14ac:dyDescent="0.3">
      <c r="B307" s="1191" t="s">
        <v>432</v>
      </c>
      <c r="C307" s="1191" t="s">
        <v>747</v>
      </c>
      <c r="D307" s="1191" t="s">
        <v>1745</v>
      </c>
      <c r="E307" s="1192">
        <v>55</v>
      </c>
      <c r="F307" s="1191" t="s">
        <v>235</v>
      </c>
      <c r="G307" s="1049">
        <v>138</v>
      </c>
      <c r="H307" s="1194">
        <v>4</v>
      </c>
      <c r="I307" s="1194"/>
      <c r="J307" s="1194"/>
    </row>
    <row r="308" spans="2:10" ht="13.05" customHeight="1" x14ac:dyDescent="0.3">
      <c r="B308" s="215" t="s">
        <v>432</v>
      </c>
      <c r="C308" s="215" t="s">
        <v>748</v>
      </c>
      <c r="D308" s="215" t="s">
        <v>1708</v>
      </c>
      <c r="E308" s="1190">
        <v>50</v>
      </c>
      <c r="F308" s="215" t="s">
        <v>235</v>
      </c>
      <c r="G308" s="1050">
        <v>136</v>
      </c>
      <c r="H308" s="1052">
        <v>3</v>
      </c>
      <c r="I308" s="1052"/>
      <c r="J308" s="1052"/>
    </row>
    <row r="309" spans="2:10" ht="13.05" customHeight="1" x14ac:dyDescent="0.3">
      <c r="B309" s="1191" t="s">
        <v>432</v>
      </c>
      <c r="C309" s="1197" t="s">
        <v>749</v>
      </c>
      <c r="D309" s="1197" t="s">
        <v>1746</v>
      </c>
      <c r="E309" s="1192">
        <v>55</v>
      </c>
      <c r="F309" s="1191" t="s">
        <v>235</v>
      </c>
      <c r="G309" s="1049">
        <v>138</v>
      </c>
      <c r="H309" s="1194">
        <v>4</v>
      </c>
      <c r="I309" s="1194"/>
      <c r="J309" s="1194"/>
    </row>
    <row r="310" spans="2:10" ht="13.05" customHeight="1" x14ac:dyDescent="0.3">
      <c r="B310" s="215" t="s">
        <v>432</v>
      </c>
      <c r="C310" s="1198" t="s">
        <v>1637</v>
      </c>
      <c r="D310" s="1198" t="s">
        <v>1653</v>
      </c>
      <c r="E310" s="1190">
        <v>45</v>
      </c>
      <c r="F310" s="215" t="s">
        <v>235</v>
      </c>
      <c r="G310" s="1050">
        <v>120</v>
      </c>
      <c r="H310" s="1052">
        <v>2</v>
      </c>
      <c r="I310" s="1052"/>
      <c r="J310" s="1052"/>
    </row>
    <row r="311" spans="2:10" ht="13.05" customHeight="1" x14ac:dyDescent="0.3">
      <c r="B311" s="1191" t="s">
        <v>432</v>
      </c>
      <c r="C311" s="1197" t="s">
        <v>1638</v>
      </c>
      <c r="D311" s="1197" t="s">
        <v>1654</v>
      </c>
      <c r="E311" s="1192">
        <v>45</v>
      </c>
      <c r="F311" s="1191" t="s">
        <v>235</v>
      </c>
      <c r="G311" s="1049">
        <v>120</v>
      </c>
      <c r="H311" s="1194">
        <v>2</v>
      </c>
      <c r="I311" s="1194"/>
      <c r="J311" s="1194"/>
    </row>
    <row r="312" spans="2:10" ht="13.05" customHeight="1" x14ac:dyDescent="0.3">
      <c r="B312" s="215" t="s">
        <v>432</v>
      </c>
      <c r="C312" s="1198" t="s">
        <v>1691</v>
      </c>
      <c r="D312" s="1198" t="s">
        <v>1709</v>
      </c>
      <c r="E312" s="1190">
        <v>45</v>
      </c>
      <c r="F312" s="215" t="s">
        <v>235</v>
      </c>
      <c r="G312" s="1050">
        <v>120</v>
      </c>
      <c r="H312" s="1052">
        <v>3</v>
      </c>
      <c r="I312" s="1052"/>
      <c r="J312" s="1052"/>
    </row>
    <row r="313" spans="2:10" ht="13.05" customHeight="1" x14ac:dyDescent="0.3">
      <c r="B313" s="1191" t="s">
        <v>432</v>
      </c>
      <c r="C313" s="1197" t="s">
        <v>1692</v>
      </c>
      <c r="D313" s="1197" t="s">
        <v>1710</v>
      </c>
      <c r="E313" s="1192">
        <v>45</v>
      </c>
      <c r="F313" s="1191" t="s">
        <v>235</v>
      </c>
      <c r="G313" s="1049">
        <v>120</v>
      </c>
      <c r="H313" s="1194">
        <v>3</v>
      </c>
      <c r="I313" s="1194"/>
      <c r="J313" s="1194"/>
    </row>
    <row r="314" spans="2:10" ht="13.05" customHeight="1" x14ac:dyDescent="0.3">
      <c r="B314" s="215" t="s">
        <v>432</v>
      </c>
      <c r="C314" s="1198" t="s">
        <v>1768</v>
      </c>
      <c r="D314" s="1198" t="s">
        <v>1747</v>
      </c>
      <c r="E314" s="1190">
        <v>60</v>
      </c>
      <c r="F314" s="215" t="s">
        <v>235</v>
      </c>
      <c r="G314" s="1050">
        <v>134</v>
      </c>
      <c r="H314" s="1052">
        <v>4</v>
      </c>
      <c r="I314" s="1052"/>
      <c r="J314" s="1052"/>
    </row>
    <row r="315" spans="2:10" ht="13.05" customHeight="1" x14ac:dyDescent="0.3">
      <c r="B315" s="1191" t="s">
        <v>432</v>
      </c>
      <c r="C315" s="1197" t="s">
        <v>1777</v>
      </c>
      <c r="D315" s="1197" t="s">
        <v>1787</v>
      </c>
      <c r="E315" s="1192">
        <v>70</v>
      </c>
      <c r="F315" s="1191" t="s">
        <v>235</v>
      </c>
      <c r="G315" s="1049">
        <v>140</v>
      </c>
      <c r="H315" s="1051">
        <v>5</v>
      </c>
      <c r="I315" s="1051"/>
      <c r="J315" s="1051"/>
    </row>
    <row r="316" spans="2:10" ht="13.05" customHeight="1" x14ac:dyDescent="0.3">
      <c r="B316" s="215" t="s">
        <v>432</v>
      </c>
      <c r="C316" s="1198" t="s">
        <v>1827</v>
      </c>
      <c r="D316" s="1198" t="s">
        <v>1809</v>
      </c>
      <c r="E316" s="1190">
        <v>85</v>
      </c>
      <c r="F316" s="215" t="s">
        <v>235</v>
      </c>
      <c r="G316" s="1050">
        <v>155</v>
      </c>
      <c r="H316" s="1052">
        <v>6</v>
      </c>
      <c r="I316" s="1052"/>
      <c r="J316" s="1052"/>
    </row>
    <row r="317" spans="2:10" ht="13.05" customHeight="1" x14ac:dyDescent="0.3">
      <c r="B317" s="1191" t="s">
        <v>443</v>
      </c>
      <c r="C317" s="1197" t="s">
        <v>1632</v>
      </c>
      <c r="D317" s="1197" t="s">
        <v>1655</v>
      </c>
      <c r="E317" s="1192">
        <v>13</v>
      </c>
      <c r="F317" s="1191" t="s">
        <v>235</v>
      </c>
      <c r="G317" s="1049">
        <v>36</v>
      </c>
      <c r="H317" s="1194">
        <v>2</v>
      </c>
      <c r="I317" s="1194"/>
      <c r="J317" s="1194"/>
    </row>
    <row r="318" spans="2:10" ht="13.05" customHeight="1" x14ac:dyDescent="0.3">
      <c r="B318" s="215" t="s">
        <v>443</v>
      </c>
      <c r="C318" s="1198" t="s">
        <v>1633</v>
      </c>
      <c r="D318" s="1198" t="s">
        <v>1656</v>
      </c>
      <c r="E318" s="1190">
        <v>21</v>
      </c>
      <c r="F318" s="215" t="s">
        <v>235</v>
      </c>
      <c r="G318" s="1050">
        <v>57</v>
      </c>
      <c r="H318" s="1052">
        <v>2</v>
      </c>
      <c r="I318" s="1052"/>
      <c r="J318" s="1052"/>
    </row>
    <row r="319" spans="2:10" ht="13.05" customHeight="1" x14ac:dyDescent="0.3">
      <c r="B319" s="1191" t="s">
        <v>443</v>
      </c>
      <c r="C319" s="1191" t="s">
        <v>1685</v>
      </c>
      <c r="D319" s="1191" t="s">
        <v>1711</v>
      </c>
      <c r="E319" s="1192">
        <v>39</v>
      </c>
      <c r="F319" s="1191" t="s">
        <v>235</v>
      </c>
      <c r="G319" s="1049">
        <v>87</v>
      </c>
      <c r="H319" s="1194">
        <v>3</v>
      </c>
      <c r="I319" s="1194"/>
      <c r="J319" s="1194"/>
    </row>
    <row r="320" spans="2:10" ht="13.05" customHeight="1" x14ac:dyDescent="0.3">
      <c r="B320" s="215" t="s">
        <v>443</v>
      </c>
      <c r="C320" s="215" t="s">
        <v>1686</v>
      </c>
      <c r="D320" s="215" t="s">
        <v>1712</v>
      </c>
      <c r="E320" s="1190">
        <v>49</v>
      </c>
      <c r="F320" s="215" t="s">
        <v>235</v>
      </c>
      <c r="G320" s="1050">
        <v>103</v>
      </c>
      <c r="H320" s="1052">
        <v>3</v>
      </c>
      <c r="I320" s="1052"/>
      <c r="J320" s="1052"/>
    </row>
    <row r="321" spans="2:10" ht="13.05" customHeight="1" x14ac:dyDescent="0.3">
      <c r="B321" s="1191" t="s">
        <v>443</v>
      </c>
      <c r="C321" s="1191" t="s">
        <v>1766</v>
      </c>
      <c r="D321" s="1191" t="s">
        <v>1748</v>
      </c>
      <c r="E321" s="1192">
        <v>60</v>
      </c>
      <c r="F321" s="1191" t="s">
        <v>235</v>
      </c>
      <c r="G321" s="1049">
        <v>120</v>
      </c>
      <c r="H321" s="1194">
        <v>4</v>
      </c>
      <c r="I321" s="1194"/>
      <c r="J321" s="1194"/>
    </row>
    <row r="322" spans="2:10" ht="13.05" customHeight="1" x14ac:dyDescent="0.3">
      <c r="B322" s="215" t="s">
        <v>443</v>
      </c>
      <c r="C322" s="215" t="s">
        <v>1775</v>
      </c>
      <c r="D322" s="215" t="s">
        <v>1788</v>
      </c>
      <c r="E322" s="1190">
        <v>81</v>
      </c>
      <c r="F322" s="215" t="s">
        <v>235</v>
      </c>
      <c r="G322" s="1050">
        <v>148</v>
      </c>
      <c r="H322" s="1196">
        <v>5</v>
      </c>
      <c r="I322" s="1196"/>
      <c r="J322" s="1196"/>
    </row>
    <row r="323" spans="2:10" ht="13.05" customHeight="1" x14ac:dyDescent="0.3">
      <c r="B323" s="1191" t="s">
        <v>443</v>
      </c>
      <c r="C323" s="1191" t="s">
        <v>1825</v>
      </c>
      <c r="D323" s="1191" t="s">
        <v>1810</v>
      </c>
      <c r="E323" s="1192">
        <v>99</v>
      </c>
      <c r="F323" s="1191" t="s">
        <v>235</v>
      </c>
      <c r="G323" s="1049">
        <v>165</v>
      </c>
      <c r="H323" s="1194">
        <v>6</v>
      </c>
      <c r="I323" s="1194"/>
      <c r="J323" s="1194"/>
    </row>
    <row r="324" spans="2:10" ht="13.05" customHeight="1" x14ac:dyDescent="0.3">
      <c r="B324" s="215" t="s">
        <v>443</v>
      </c>
      <c r="C324" s="215" t="s">
        <v>1639</v>
      </c>
      <c r="D324" s="215" t="s">
        <v>1657</v>
      </c>
      <c r="E324" s="1190">
        <v>11</v>
      </c>
      <c r="F324" s="215" t="s">
        <v>235</v>
      </c>
      <c r="G324" s="1050">
        <v>30</v>
      </c>
      <c r="H324" s="1052">
        <v>2</v>
      </c>
      <c r="I324" s="1052"/>
      <c r="J324" s="1052"/>
    </row>
    <row r="325" spans="2:10" ht="13.05" customHeight="1" x14ac:dyDescent="0.3">
      <c r="B325" s="1191" t="s">
        <v>443</v>
      </c>
      <c r="C325" s="1191" t="s">
        <v>1640</v>
      </c>
      <c r="D325" s="1191" t="s">
        <v>1658</v>
      </c>
      <c r="E325" s="1192">
        <v>18</v>
      </c>
      <c r="F325" s="1191" t="s">
        <v>235</v>
      </c>
      <c r="G325" s="1049">
        <v>49</v>
      </c>
      <c r="H325" s="1194">
        <v>2</v>
      </c>
      <c r="I325" s="1194"/>
      <c r="J325" s="1194"/>
    </row>
    <row r="326" spans="2:10" ht="13.05" customHeight="1" x14ac:dyDescent="0.3">
      <c r="B326" s="215" t="s">
        <v>443</v>
      </c>
      <c r="C326" s="215" t="s">
        <v>1693</v>
      </c>
      <c r="D326" s="215" t="s">
        <v>1713</v>
      </c>
      <c r="E326" s="1190">
        <v>25</v>
      </c>
      <c r="F326" s="215" t="s">
        <v>235</v>
      </c>
      <c r="G326" s="1050">
        <v>56</v>
      </c>
      <c r="H326" s="1052">
        <v>3</v>
      </c>
      <c r="I326" s="1052"/>
      <c r="J326" s="1052"/>
    </row>
    <row r="327" spans="2:10" ht="13.05" customHeight="1" x14ac:dyDescent="0.3">
      <c r="B327" s="1191" t="s">
        <v>443</v>
      </c>
      <c r="C327" s="1191" t="s">
        <v>1694</v>
      </c>
      <c r="D327" s="1191" t="s">
        <v>1714</v>
      </c>
      <c r="E327" s="1192">
        <v>33</v>
      </c>
      <c r="F327" s="1191" t="s">
        <v>235</v>
      </c>
      <c r="G327" s="1049">
        <v>69</v>
      </c>
      <c r="H327" s="1194">
        <v>3</v>
      </c>
      <c r="I327" s="1194"/>
      <c r="J327" s="1194"/>
    </row>
    <row r="328" spans="2:10" ht="13.05" customHeight="1" x14ac:dyDescent="0.3">
      <c r="B328" s="215" t="s">
        <v>443</v>
      </c>
      <c r="C328" s="215" t="s">
        <v>1634</v>
      </c>
      <c r="D328" s="215" t="s">
        <v>1659</v>
      </c>
      <c r="E328" s="1190">
        <v>13</v>
      </c>
      <c r="F328" s="215" t="s">
        <v>235</v>
      </c>
      <c r="G328" s="1050">
        <v>36</v>
      </c>
      <c r="H328" s="1052">
        <v>2</v>
      </c>
      <c r="I328" s="1052"/>
      <c r="J328" s="1052"/>
    </row>
    <row r="329" spans="2:10" ht="13.05" customHeight="1" x14ac:dyDescent="0.3">
      <c r="B329" s="1191" t="s">
        <v>443</v>
      </c>
      <c r="C329" s="1191" t="s">
        <v>1635</v>
      </c>
      <c r="D329" s="1191" t="s">
        <v>1660</v>
      </c>
      <c r="E329" s="1192">
        <v>23</v>
      </c>
      <c r="F329" s="1191" t="s">
        <v>235</v>
      </c>
      <c r="G329" s="1049">
        <v>63</v>
      </c>
      <c r="H329" s="1194">
        <v>2</v>
      </c>
      <c r="I329" s="1194"/>
      <c r="J329" s="1194"/>
    </row>
    <row r="330" spans="2:10" ht="13.05" customHeight="1" x14ac:dyDescent="0.3">
      <c r="B330" s="215" t="s">
        <v>443</v>
      </c>
      <c r="C330" s="215" t="s">
        <v>1687</v>
      </c>
      <c r="D330" s="215" t="s">
        <v>1715</v>
      </c>
      <c r="E330" s="1190">
        <v>43</v>
      </c>
      <c r="F330" s="215" t="s">
        <v>235</v>
      </c>
      <c r="G330" s="1050">
        <v>96</v>
      </c>
      <c r="H330" s="1052">
        <v>3</v>
      </c>
      <c r="I330" s="1052"/>
      <c r="J330" s="1052"/>
    </row>
    <row r="331" spans="2:10" ht="13.05" customHeight="1" x14ac:dyDescent="0.3">
      <c r="B331" s="1191" t="s">
        <v>443</v>
      </c>
      <c r="C331" s="1191" t="s">
        <v>1688</v>
      </c>
      <c r="D331" s="1191" t="s">
        <v>1716</v>
      </c>
      <c r="E331" s="1192">
        <v>53</v>
      </c>
      <c r="F331" s="1191" t="s">
        <v>235</v>
      </c>
      <c r="G331" s="1049">
        <v>111</v>
      </c>
      <c r="H331" s="1194">
        <v>3</v>
      </c>
      <c r="I331" s="1194"/>
      <c r="J331" s="1194"/>
    </row>
    <row r="332" spans="2:10" ht="13.05" customHeight="1" x14ac:dyDescent="0.3">
      <c r="B332" s="215" t="s">
        <v>443</v>
      </c>
      <c r="C332" s="215" t="s">
        <v>1767</v>
      </c>
      <c r="D332" s="215" t="s">
        <v>1749</v>
      </c>
      <c r="E332" s="1190">
        <v>60</v>
      </c>
      <c r="F332" s="215" t="s">
        <v>235</v>
      </c>
      <c r="G332" s="1050">
        <v>120</v>
      </c>
      <c r="H332" s="1052">
        <v>4</v>
      </c>
      <c r="I332" s="1052"/>
      <c r="J332" s="1052"/>
    </row>
    <row r="333" spans="2:10" ht="13.05" customHeight="1" x14ac:dyDescent="0.3">
      <c r="B333" s="1191" t="s">
        <v>443</v>
      </c>
      <c r="C333" s="1191" t="s">
        <v>1776</v>
      </c>
      <c r="D333" s="1191" t="s">
        <v>1789</v>
      </c>
      <c r="E333" s="1192">
        <v>81</v>
      </c>
      <c r="F333" s="1191" t="s">
        <v>235</v>
      </c>
      <c r="G333" s="1049">
        <v>148</v>
      </c>
      <c r="H333" s="1051">
        <v>5</v>
      </c>
      <c r="I333" s="1051"/>
      <c r="J333" s="1051"/>
    </row>
    <row r="334" spans="2:10" ht="13.05" customHeight="1" x14ac:dyDescent="0.3">
      <c r="B334" s="215" t="s">
        <v>443</v>
      </c>
      <c r="C334" s="215" t="s">
        <v>1826</v>
      </c>
      <c r="D334" s="215" t="s">
        <v>1811</v>
      </c>
      <c r="E334" s="1190">
        <v>99</v>
      </c>
      <c r="F334" s="215" t="s">
        <v>235</v>
      </c>
      <c r="G334" s="1050">
        <v>165</v>
      </c>
      <c r="H334" s="1052">
        <v>6</v>
      </c>
      <c r="I334" s="1052"/>
      <c r="J334" s="1052"/>
    </row>
    <row r="335" spans="2:10" ht="13.05" customHeight="1" x14ac:dyDescent="0.3">
      <c r="B335" s="1191" t="s">
        <v>443</v>
      </c>
      <c r="C335" s="1191" t="s">
        <v>1641</v>
      </c>
      <c r="D335" s="1191" t="s">
        <v>1661</v>
      </c>
      <c r="E335" s="1192">
        <v>13</v>
      </c>
      <c r="F335" s="1191" t="s">
        <v>235</v>
      </c>
      <c r="G335" s="1049">
        <v>36</v>
      </c>
      <c r="H335" s="1194">
        <v>2</v>
      </c>
      <c r="I335" s="1194"/>
      <c r="J335" s="1194"/>
    </row>
    <row r="336" spans="2:10" ht="13.05" customHeight="1" x14ac:dyDescent="0.3">
      <c r="B336" s="215" t="s">
        <v>443</v>
      </c>
      <c r="C336" s="215" t="s">
        <v>1695</v>
      </c>
      <c r="D336" s="215" t="s">
        <v>1717</v>
      </c>
      <c r="E336" s="1190">
        <v>27</v>
      </c>
      <c r="F336" s="215" t="s">
        <v>235</v>
      </c>
      <c r="G336" s="1050">
        <v>73</v>
      </c>
      <c r="H336" s="1052">
        <v>3</v>
      </c>
      <c r="I336" s="1052"/>
      <c r="J336" s="1052"/>
    </row>
    <row r="337" spans="2:10" ht="13.05" customHeight="1" x14ac:dyDescent="0.3">
      <c r="B337" s="1191" t="s">
        <v>443</v>
      </c>
      <c r="C337" s="1191" t="s">
        <v>1769</v>
      </c>
      <c r="D337" s="1191" t="s">
        <v>1750</v>
      </c>
      <c r="E337" s="1192">
        <v>41</v>
      </c>
      <c r="F337" s="1191" t="s">
        <v>235</v>
      </c>
      <c r="G337" s="1049">
        <v>86</v>
      </c>
      <c r="H337" s="1194">
        <v>4</v>
      </c>
      <c r="I337" s="1194"/>
      <c r="J337" s="1194"/>
    </row>
    <row r="338" spans="2:10" ht="13.05" customHeight="1" x14ac:dyDescent="0.3">
      <c r="B338" s="215" t="s">
        <v>443</v>
      </c>
      <c r="C338" s="215" t="s">
        <v>1642</v>
      </c>
      <c r="D338" s="215" t="s">
        <v>1662</v>
      </c>
      <c r="E338" s="1190">
        <v>13</v>
      </c>
      <c r="F338" s="215" t="s">
        <v>235</v>
      </c>
      <c r="G338" s="1050">
        <v>36</v>
      </c>
      <c r="H338" s="1052">
        <v>2</v>
      </c>
      <c r="I338" s="1052"/>
      <c r="J338" s="1052"/>
    </row>
    <row r="339" spans="2:10" ht="13.05" customHeight="1" x14ac:dyDescent="0.3">
      <c r="B339" s="1191" t="s">
        <v>443</v>
      </c>
      <c r="C339" s="1191" t="s">
        <v>1696</v>
      </c>
      <c r="D339" s="1191" t="s">
        <v>1718</v>
      </c>
      <c r="E339" s="1192">
        <v>22</v>
      </c>
      <c r="F339" s="1191" t="s">
        <v>235</v>
      </c>
      <c r="G339" s="1049">
        <v>53</v>
      </c>
      <c r="H339" s="1194">
        <v>3</v>
      </c>
      <c r="I339" s="1194"/>
      <c r="J339" s="1194"/>
    </row>
    <row r="340" spans="2:10" ht="13.05" customHeight="1" x14ac:dyDescent="0.3">
      <c r="B340" s="215" t="s">
        <v>443</v>
      </c>
      <c r="C340" s="215" t="s">
        <v>1770</v>
      </c>
      <c r="D340" s="215" t="s">
        <v>1751</v>
      </c>
      <c r="E340" s="1190">
        <v>39</v>
      </c>
      <c r="F340" s="215" t="s">
        <v>235</v>
      </c>
      <c r="G340" s="1050">
        <v>82</v>
      </c>
      <c r="H340" s="1052">
        <v>4</v>
      </c>
      <c r="I340" s="1052"/>
      <c r="J340" s="1052"/>
    </row>
    <row r="341" spans="2:10" ht="13.05" customHeight="1" x14ac:dyDescent="0.3">
      <c r="B341" s="1191" t="s">
        <v>443</v>
      </c>
      <c r="C341" s="1191" t="s">
        <v>1778</v>
      </c>
      <c r="D341" s="1191" t="s">
        <v>1790</v>
      </c>
      <c r="E341" s="1192">
        <v>53</v>
      </c>
      <c r="F341" s="1191" t="s">
        <v>235</v>
      </c>
      <c r="G341" s="1049">
        <v>106</v>
      </c>
      <c r="H341" s="1051">
        <v>5</v>
      </c>
      <c r="I341" s="1051"/>
      <c r="J341" s="1051"/>
    </row>
    <row r="342" spans="2:10" ht="13.05" customHeight="1" x14ac:dyDescent="0.3">
      <c r="B342" s="215" t="s">
        <v>443</v>
      </c>
      <c r="C342" s="215" t="s">
        <v>1779</v>
      </c>
      <c r="D342" s="215" t="s">
        <v>1791</v>
      </c>
      <c r="E342" s="1190">
        <v>63</v>
      </c>
      <c r="F342" s="215" t="s">
        <v>235</v>
      </c>
      <c r="G342" s="1050">
        <v>126</v>
      </c>
      <c r="H342" s="1196">
        <v>5</v>
      </c>
      <c r="I342" s="1196"/>
      <c r="J342" s="1196"/>
    </row>
    <row r="343" spans="2:10" ht="13.05" customHeight="1" x14ac:dyDescent="0.3">
      <c r="B343" s="1191" t="s">
        <v>443</v>
      </c>
      <c r="C343" s="1191" t="s">
        <v>1828</v>
      </c>
      <c r="D343" s="1191" t="s">
        <v>1812</v>
      </c>
      <c r="E343" s="1192">
        <v>81</v>
      </c>
      <c r="F343" s="1191" t="s">
        <v>235</v>
      </c>
      <c r="G343" s="1049">
        <v>162</v>
      </c>
      <c r="H343" s="1194">
        <v>6</v>
      </c>
      <c r="I343" s="1194"/>
      <c r="J343" s="1194"/>
    </row>
    <row r="344" spans="2:10" ht="13.05" customHeight="1" x14ac:dyDescent="0.3">
      <c r="B344" s="215" t="s">
        <v>443</v>
      </c>
      <c r="C344" s="215" t="s">
        <v>1690</v>
      </c>
      <c r="D344" s="215" t="s">
        <v>1719</v>
      </c>
      <c r="E344" s="1190">
        <v>32</v>
      </c>
      <c r="F344" s="215" t="s">
        <v>235</v>
      </c>
      <c r="G344" s="1050">
        <v>67</v>
      </c>
      <c r="H344" s="1052">
        <v>3</v>
      </c>
      <c r="I344" s="1052"/>
      <c r="J344" s="1052"/>
    </row>
    <row r="345" spans="2:10" ht="13.05" customHeight="1" x14ac:dyDescent="0.3">
      <c r="B345" s="1191" t="s">
        <v>443</v>
      </c>
      <c r="C345" s="1191" t="s">
        <v>1780</v>
      </c>
      <c r="D345" s="1191" t="s">
        <v>1792</v>
      </c>
      <c r="E345" s="1192">
        <v>41</v>
      </c>
      <c r="F345" s="1191" t="s">
        <v>235</v>
      </c>
      <c r="G345" s="1049">
        <v>82</v>
      </c>
      <c r="H345" s="1051">
        <v>5</v>
      </c>
      <c r="I345" s="1051"/>
      <c r="J345" s="1051"/>
    </row>
    <row r="346" spans="2:10" ht="13.05" customHeight="1" x14ac:dyDescent="0.3">
      <c r="B346" s="215" t="s">
        <v>443</v>
      </c>
      <c r="C346" s="215" t="s">
        <v>1771</v>
      </c>
      <c r="D346" s="215" t="s">
        <v>1752</v>
      </c>
      <c r="E346" s="1190">
        <v>49</v>
      </c>
      <c r="F346" s="215" t="s">
        <v>235</v>
      </c>
      <c r="G346" s="1050">
        <v>98</v>
      </c>
      <c r="H346" s="1052">
        <v>4</v>
      </c>
      <c r="I346" s="1052"/>
      <c r="J346" s="1052"/>
    </row>
    <row r="347" spans="2:10" ht="13.05" customHeight="1" x14ac:dyDescent="0.3">
      <c r="B347" s="1191" t="s">
        <v>443</v>
      </c>
      <c r="C347" s="1191" t="s">
        <v>1781</v>
      </c>
      <c r="D347" s="1191" t="s">
        <v>1793</v>
      </c>
      <c r="E347" s="1192">
        <v>53</v>
      </c>
      <c r="F347" s="1191" t="s">
        <v>235</v>
      </c>
      <c r="G347" s="1049">
        <v>106</v>
      </c>
      <c r="H347" s="1051">
        <v>5</v>
      </c>
      <c r="I347" s="1051"/>
      <c r="J347" s="1051"/>
    </row>
    <row r="348" spans="2:10" ht="13.05" customHeight="1" x14ac:dyDescent="0.3">
      <c r="B348" s="215" t="s">
        <v>443</v>
      </c>
      <c r="C348" s="215" t="s">
        <v>1829</v>
      </c>
      <c r="D348" s="215" t="s">
        <v>1813</v>
      </c>
      <c r="E348" s="1190">
        <v>65</v>
      </c>
      <c r="F348" s="215" t="s">
        <v>235</v>
      </c>
      <c r="G348" s="1050">
        <v>130</v>
      </c>
      <c r="H348" s="1052">
        <v>6</v>
      </c>
      <c r="I348" s="1052"/>
      <c r="J348" s="1052"/>
    </row>
    <row r="349" spans="2:10" ht="13.05" customHeight="1" x14ac:dyDescent="0.3">
      <c r="B349" s="1191" t="s">
        <v>443</v>
      </c>
      <c r="C349" s="1191" t="s">
        <v>1643</v>
      </c>
      <c r="D349" s="1191" t="s">
        <v>1663</v>
      </c>
      <c r="E349" s="1192">
        <v>26</v>
      </c>
      <c r="F349" s="1191" t="s">
        <v>235</v>
      </c>
      <c r="G349" s="1049">
        <v>71</v>
      </c>
      <c r="H349" s="1194">
        <v>2</v>
      </c>
      <c r="I349" s="1194"/>
      <c r="J349" s="1194"/>
    </row>
    <row r="350" spans="2:10" ht="13.05" customHeight="1" x14ac:dyDescent="0.3">
      <c r="B350" s="215" t="s">
        <v>443</v>
      </c>
      <c r="C350" s="215" t="s">
        <v>1697</v>
      </c>
      <c r="D350" s="215" t="s">
        <v>1720</v>
      </c>
      <c r="E350" s="1190">
        <v>33</v>
      </c>
      <c r="F350" s="215" t="s">
        <v>235</v>
      </c>
      <c r="G350" s="1050">
        <v>79</v>
      </c>
      <c r="H350" s="1052">
        <v>3</v>
      </c>
      <c r="I350" s="1052"/>
      <c r="J350" s="1052"/>
    </row>
    <row r="351" spans="2:10" ht="13.05" customHeight="1" x14ac:dyDescent="0.3">
      <c r="B351" s="1191" t="s">
        <v>443</v>
      </c>
      <c r="C351" s="1191" t="s">
        <v>1772</v>
      </c>
      <c r="D351" s="1191" t="s">
        <v>1753</v>
      </c>
      <c r="E351" s="1192">
        <v>49</v>
      </c>
      <c r="F351" s="1191" t="s">
        <v>235</v>
      </c>
      <c r="G351" s="1049">
        <v>103</v>
      </c>
      <c r="H351" s="1194">
        <v>4</v>
      </c>
      <c r="I351" s="1194"/>
      <c r="J351" s="1194"/>
    </row>
    <row r="352" spans="2:10" ht="13.05" customHeight="1" x14ac:dyDescent="0.3">
      <c r="B352" s="215" t="s">
        <v>443</v>
      </c>
      <c r="C352" s="215" t="s">
        <v>1782</v>
      </c>
      <c r="D352" s="215" t="s">
        <v>1794</v>
      </c>
      <c r="E352" s="1190">
        <v>53</v>
      </c>
      <c r="F352" s="215" t="s">
        <v>235</v>
      </c>
      <c r="G352" s="1050">
        <v>106</v>
      </c>
      <c r="H352" s="1196">
        <v>5</v>
      </c>
      <c r="I352" s="1196"/>
      <c r="J352" s="1196"/>
    </row>
    <row r="353" spans="2:10" ht="13.05" customHeight="1" x14ac:dyDescent="0.3">
      <c r="B353" s="1191" t="s">
        <v>443</v>
      </c>
      <c r="C353" s="1191" t="s">
        <v>1830</v>
      </c>
      <c r="D353" s="1191" t="s">
        <v>1814</v>
      </c>
      <c r="E353" s="1192">
        <v>65</v>
      </c>
      <c r="F353" s="1191" t="s">
        <v>235</v>
      </c>
      <c r="G353" s="1049">
        <v>130</v>
      </c>
      <c r="H353" s="1194">
        <v>6</v>
      </c>
      <c r="I353" s="1194"/>
      <c r="J353" s="1194"/>
    </row>
    <row r="354" spans="2:10" ht="13.05" customHeight="1" x14ac:dyDescent="0.3">
      <c r="B354" s="215" t="s">
        <v>443</v>
      </c>
      <c r="C354" s="215" t="s">
        <v>1637</v>
      </c>
      <c r="D354" s="215" t="s">
        <v>1664</v>
      </c>
      <c r="E354" s="1190">
        <v>11</v>
      </c>
      <c r="F354" s="215" t="s">
        <v>235</v>
      </c>
      <c r="G354" s="1050">
        <v>30</v>
      </c>
      <c r="H354" s="1052">
        <v>2</v>
      </c>
      <c r="I354" s="1052"/>
      <c r="J354" s="1052"/>
    </row>
    <row r="355" spans="2:10" ht="13.05" customHeight="1" x14ac:dyDescent="0.3">
      <c r="B355" s="1191" t="s">
        <v>443</v>
      </c>
      <c r="C355" s="1191" t="s">
        <v>1638</v>
      </c>
      <c r="D355" s="1191" t="s">
        <v>1665</v>
      </c>
      <c r="E355" s="1192">
        <v>18</v>
      </c>
      <c r="F355" s="1191" t="s">
        <v>235</v>
      </c>
      <c r="G355" s="1049">
        <v>49</v>
      </c>
      <c r="H355" s="1194">
        <v>2</v>
      </c>
      <c r="I355" s="1194"/>
      <c r="J355" s="1194"/>
    </row>
    <row r="356" spans="2:10" ht="13.05" customHeight="1" x14ac:dyDescent="0.3">
      <c r="B356" s="215" t="s">
        <v>443</v>
      </c>
      <c r="C356" s="215" t="s">
        <v>1691</v>
      </c>
      <c r="D356" s="215" t="s">
        <v>1721</v>
      </c>
      <c r="E356" s="1190">
        <v>25</v>
      </c>
      <c r="F356" s="215" t="s">
        <v>235</v>
      </c>
      <c r="G356" s="1050">
        <v>56</v>
      </c>
      <c r="H356" s="1052">
        <v>3</v>
      </c>
      <c r="I356" s="1052"/>
      <c r="J356" s="1052"/>
    </row>
    <row r="357" spans="2:10" ht="13.05" customHeight="1" x14ac:dyDescent="0.3">
      <c r="B357" s="1191" t="s">
        <v>443</v>
      </c>
      <c r="C357" s="1191" t="s">
        <v>1692</v>
      </c>
      <c r="D357" s="1191" t="s">
        <v>1722</v>
      </c>
      <c r="E357" s="1192">
        <v>33</v>
      </c>
      <c r="F357" s="1191" t="s">
        <v>235</v>
      </c>
      <c r="G357" s="1049">
        <v>69</v>
      </c>
      <c r="H357" s="1194">
        <v>3</v>
      </c>
      <c r="I357" s="1194"/>
      <c r="J357" s="1194"/>
    </row>
    <row r="358" spans="2:10" ht="13.05" customHeight="1" x14ac:dyDescent="0.3">
      <c r="B358" s="215" t="s">
        <v>443</v>
      </c>
      <c r="C358" s="215" t="s">
        <v>1768</v>
      </c>
      <c r="D358" s="215" t="s">
        <v>1754</v>
      </c>
      <c r="E358" s="1190">
        <v>39</v>
      </c>
      <c r="F358" s="215" t="s">
        <v>235</v>
      </c>
      <c r="G358" s="1050">
        <v>78</v>
      </c>
      <c r="H358" s="1052">
        <v>4</v>
      </c>
      <c r="I358" s="1052"/>
      <c r="J358" s="1052"/>
    </row>
    <row r="359" spans="2:10" ht="13.05" customHeight="1" x14ac:dyDescent="0.3">
      <c r="B359" s="1191" t="s">
        <v>443</v>
      </c>
      <c r="C359" s="1191" t="s">
        <v>1777</v>
      </c>
      <c r="D359" s="1191" t="s">
        <v>1795</v>
      </c>
      <c r="E359" s="1192">
        <v>51</v>
      </c>
      <c r="F359" s="1191" t="s">
        <v>235</v>
      </c>
      <c r="G359" s="1049">
        <v>93</v>
      </c>
      <c r="H359" s="1051">
        <v>5</v>
      </c>
      <c r="I359" s="1051"/>
      <c r="J359" s="1051"/>
    </row>
    <row r="360" spans="2:10" ht="13.05" customHeight="1" x14ac:dyDescent="0.3">
      <c r="B360" s="215" t="s">
        <v>443</v>
      </c>
      <c r="C360" s="215" t="s">
        <v>1827</v>
      </c>
      <c r="D360" s="215" t="s">
        <v>1815</v>
      </c>
      <c r="E360" s="1190">
        <v>63</v>
      </c>
      <c r="F360" s="215" t="s">
        <v>235</v>
      </c>
      <c r="G360" s="1050">
        <v>105</v>
      </c>
      <c r="H360" s="1052">
        <v>6</v>
      </c>
      <c r="I360" s="1052"/>
      <c r="J360" s="1052"/>
    </row>
    <row r="361" spans="2:10" ht="13.05" customHeight="1" x14ac:dyDescent="0.3">
      <c r="B361" s="1191" t="s">
        <v>443</v>
      </c>
      <c r="C361" s="1191" t="s">
        <v>1644</v>
      </c>
      <c r="D361" s="1191" t="s">
        <v>1666</v>
      </c>
      <c r="E361" s="1192">
        <v>13</v>
      </c>
      <c r="F361" s="1191" t="s">
        <v>235</v>
      </c>
      <c r="G361" s="1049">
        <v>36</v>
      </c>
      <c r="H361" s="1194">
        <v>2</v>
      </c>
      <c r="I361" s="1194"/>
      <c r="J361" s="1194"/>
    </row>
    <row r="362" spans="2:10" ht="13.05" customHeight="1" x14ac:dyDescent="0.3">
      <c r="B362" s="215" t="s">
        <v>443</v>
      </c>
      <c r="C362" s="215" t="s">
        <v>1645</v>
      </c>
      <c r="D362" s="215" t="s">
        <v>1667</v>
      </c>
      <c r="E362" s="1190">
        <v>20</v>
      </c>
      <c r="F362" s="215" t="s">
        <v>235</v>
      </c>
      <c r="G362" s="1050">
        <v>55</v>
      </c>
      <c r="H362" s="1052">
        <v>2</v>
      </c>
      <c r="I362" s="1052"/>
      <c r="J362" s="1052"/>
    </row>
    <row r="363" spans="2:10" ht="13.05" customHeight="1" x14ac:dyDescent="0.3">
      <c r="B363" s="1191" t="s">
        <v>443</v>
      </c>
      <c r="C363" s="1191" t="s">
        <v>1698</v>
      </c>
      <c r="D363" s="1191" t="s">
        <v>1723</v>
      </c>
      <c r="E363" s="1192">
        <v>35</v>
      </c>
      <c r="F363" s="1191" t="s">
        <v>235</v>
      </c>
      <c r="G363" s="1049">
        <v>78</v>
      </c>
      <c r="H363" s="1194">
        <v>3</v>
      </c>
      <c r="I363" s="1194"/>
      <c r="J363" s="1194"/>
    </row>
    <row r="364" spans="2:10" ht="13.05" customHeight="1" x14ac:dyDescent="0.3">
      <c r="B364" s="215" t="s">
        <v>443</v>
      </c>
      <c r="C364" s="215" t="s">
        <v>1699</v>
      </c>
      <c r="D364" s="215" t="s">
        <v>1724</v>
      </c>
      <c r="E364" s="1190">
        <v>45</v>
      </c>
      <c r="F364" s="215" t="s">
        <v>235</v>
      </c>
      <c r="G364" s="1050">
        <v>94</v>
      </c>
      <c r="H364" s="1052">
        <v>3</v>
      </c>
      <c r="I364" s="1052"/>
      <c r="J364" s="1052"/>
    </row>
    <row r="365" spans="2:10" ht="13.05" customHeight="1" x14ac:dyDescent="0.3">
      <c r="B365" s="1191" t="s">
        <v>443</v>
      </c>
      <c r="C365" s="1191" t="s">
        <v>1773</v>
      </c>
      <c r="D365" s="1191" t="s">
        <v>1755</v>
      </c>
      <c r="E365" s="1192">
        <v>57</v>
      </c>
      <c r="F365" s="1191" t="s">
        <v>235</v>
      </c>
      <c r="G365" s="1049">
        <v>114</v>
      </c>
      <c r="H365" s="1194">
        <v>4</v>
      </c>
      <c r="I365" s="1194"/>
      <c r="J365" s="1194"/>
    </row>
    <row r="366" spans="2:10" ht="13.05" customHeight="1" x14ac:dyDescent="0.3">
      <c r="B366" s="215" t="s">
        <v>443</v>
      </c>
      <c r="C366" s="215" t="s">
        <v>1783</v>
      </c>
      <c r="D366" s="215" t="s">
        <v>1796</v>
      </c>
      <c r="E366" s="1190">
        <v>69</v>
      </c>
      <c r="F366" s="215" t="s">
        <v>235</v>
      </c>
      <c r="G366" s="1050">
        <v>126</v>
      </c>
      <c r="H366" s="1196">
        <v>5</v>
      </c>
      <c r="I366" s="1196"/>
      <c r="J366" s="1196"/>
    </row>
    <row r="367" spans="2:10" ht="13.05" customHeight="1" x14ac:dyDescent="0.3">
      <c r="B367" s="1191" t="s">
        <v>443</v>
      </c>
      <c r="C367" s="1191" t="s">
        <v>1831</v>
      </c>
      <c r="D367" s="1191" t="s">
        <v>1816</v>
      </c>
      <c r="E367" s="1192">
        <v>81</v>
      </c>
      <c r="F367" s="1191" t="s">
        <v>235</v>
      </c>
      <c r="G367" s="1049">
        <v>135</v>
      </c>
      <c r="H367" s="1194">
        <v>6</v>
      </c>
      <c r="I367" s="1194"/>
      <c r="J367" s="1194"/>
    </row>
    <row r="368" spans="2:10" ht="13.05" customHeight="1" x14ac:dyDescent="0.3">
      <c r="B368" s="215" t="s">
        <v>443</v>
      </c>
      <c r="C368" s="215" t="s">
        <v>1646</v>
      </c>
      <c r="D368" s="215" t="s">
        <v>1668</v>
      </c>
      <c r="E368" s="1190">
        <v>13</v>
      </c>
      <c r="F368" s="215" t="s">
        <v>235</v>
      </c>
      <c r="G368" s="1050">
        <v>36</v>
      </c>
      <c r="H368" s="1052">
        <v>2</v>
      </c>
      <c r="I368" s="1052"/>
      <c r="J368" s="1052"/>
    </row>
    <row r="369" spans="2:10" ht="13.05" customHeight="1" x14ac:dyDescent="0.3">
      <c r="B369" s="1191" t="s">
        <v>443</v>
      </c>
      <c r="C369" s="1191" t="s">
        <v>1647</v>
      </c>
      <c r="D369" s="1191" t="s">
        <v>1669</v>
      </c>
      <c r="E369" s="1192">
        <v>24</v>
      </c>
      <c r="F369" s="1191" t="s">
        <v>235</v>
      </c>
      <c r="G369" s="1049">
        <v>65</v>
      </c>
      <c r="H369" s="1194">
        <v>2</v>
      </c>
      <c r="I369" s="1194"/>
      <c r="J369" s="1194"/>
    </row>
    <row r="370" spans="2:10" ht="13.05" customHeight="1" x14ac:dyDescent="0.3">
      <c r="B370" s="215" t="s">
        <v>443</v>
      </c>
      <c r="C370" s="215" t="s">
        <v>1700</v>
      </c>
      <c r="D370" s="215" t="s">
        <v>1725</v>
      </c>
      <c r="E370" s="1190">
        <v>43</v>
      </c>
      <c r="F370" s="215" t="s">
        <v>235</v>
      </c>
      <c r="G370" s="1050">
        <v>96</v>
      </c>
      <c r="H370" s="1052">
        <v>3</v>
      </c>
      <c r="I370" s="1052"/>
      <c r="J370" s="1052"/>
    </row>
    <row r="371" spans="2:10" ht="13.05" customHeight="1" x14ac:dyDescent="0.3">
      <c r="B371" s="1191" t="s">
        <v>443</v>
      </c>
      <c r="C371" s="1191" t="s">
        <v>1701</v>
      </c>
      <c r="D371" s="1191" t="s">
        <v>1726</v>
      </c>
      <c r="E371" s="1192">
        <v>56</v>
      </c>
      <c r="F371" s="1191" t="s">
        <v>235</v>
      </c>
      <c r="G371" s="1049">
        <v>117</v>
      </c>
      <c r="H371" s="1194">
        <v>3</v>
      </c>
      <c r="I371" s="1194"/>
      <c r="J371" s="1194"/>
    </row>
    <row r="372" spans="2:10" ht="13.05" customHeight="1" x14ac:dyDescent="0.3">
      <c r="B372" s="215" t="s">
        <v>443</v>
      </c>
      <c r="C372" s="215" t="s">
        <v>1774</v>
      </c>
      <c r="D372" s="215" t="s">
        <v>1756</v>
      </c>
      <c r="E372" s="1190">
        <v>69</v>
      </c>
      <c r="F372" s="215" t="s">
        <v>235</v>
      </c>
      <c r="G372" s="1050">
        <v>138</v>
      </c>
      <c r="H372" s="1052">
        <v>4</v>
      </c>
      <c r="I372" s="1052"/>
      <c r="J372" s="1052"/>
    </row>
    <row r="373" spans="2:10" ht="13.05" customHeight="1" x14ac:dyDescent="0.3">
      <c r="B373" s="1191" t="s">
        <v>443</v>
      </c>
      <c r="C373" s="1191" t="s">
        <v>1784</v>
      </c>
      <c r="D373" s="1191" t="s">
        <v>1797</v>
      </c>
      <c r="E373" s="1192">
        <v>81</v>
      </c>
      <c r="F373" s="1191" t="s">
        <v>235</v>
      </c>
      <c r="G373" s="1049">
        <v>148</v>
      </c>
      <c r="H373" s="1051">
        <v>5</v>
      </c>
      <c r="I373" s="1051"/>
      <c r="J373" s="1051"/>
    </row>
    <row r="374" spans="2:10" ht="13.05" customHeight="1" x14ac:dyDescent="0.3">
      <c r="B374" s="215" t="s">
        <v>443</v>
      </c>
      <c r="C374" s="215" t="s">
        <v>1832</v>
      </c>
      <c r="D374" s="215" t="s">
        <v>1835</v>
      </c>
      <c r="E374" s="1190">
        <v>99</v>
      </c>
      <c r="F374" s="215" t="s">
        <v>235</v>
      </c>
      <c r="G374" s="1050">
        <v>165</v>
      </c>
      <c r="H374" s="1052">
        <v>6</v>
      </c>
      <c r="I374" s="1052"/>
      <c r="J374" s="1052"/>
    </row>
    <row r="375" spans="2:10" ht="13.05" customHeight="1" x14ac:dyDescent="0.3">
      <c r="B375" s="1191" t="s">
        <v>418</v>
      </c>
      <c r="C375" s="1191" t="s">
        <v>1632</v>
      </c>
      <c r="D375" s="1191" t="s">
        <v>1670</v>
      </c>
      <c r="E375" s="1192">
        <v>13</v>
      </c>
      <c r="F375" s="1191" t="s">
        <v>235</v>
      </c>
      <c r="G375" s="1049">
        <v>36</v>
      </c>
      <c r="H375" s="1194">
        <v>2</v>
      </c>
      <c r="I375" s="1194"/>
      <c r="J375" s="1194"/>
    </row>
    <row r="376" spans="2:10" ht="13.05" customHeight="1" x14ac:dyDescent="0.3">
      <c r="B376" s="215" t="s">
        <v>418</v>
      </c>
      <c r="C376" s="215" t="s">
        <v>1633</v>
      </c>
      <c r="D376" s="215" t="s">
        <v>1671</v>
      </c>
      <c r="E376" s="1190">
        <v>21</v>
      </c>
      <c r="F376" s="215" t="s">
        <v>235</v>
      </c>
      <c r="G376" s="1050">
        <v>57</v>
      </c>
      <c r="H376" s="1052">
        <v>2</v>
      </c>
      <c r="I376" s="1052"/>
      <c r="J376" s="1052"/>
    </row>
    <row r="377" spans="2:10" ht="13.05" customHeight="1" x14ac:dyDescent="0.3">
      <c r="B377" s="1191" t="s">
        <v>418</v>
      </c>
      <c r="C377" s="1191" t="s">
        <v>1685</v>
      </c>
      <c r="D377" s="1191" t="s">
        <v>1727</v>
      </c>
      <c r="E377" s="1192">
        <v>39</v>
      </c>
      <c r="F377" s="1191" t="s">
        <v>235</v>
      </c>
      <c r="G377" s="1049">
        <v>87</v>
      </c>
      <c r="H377" s="1194">
        <v>3</v>
      </c>
      <c r="I377" s="1194"/>
      <c r="J377" s="1194"/>
    </row>
    <row r="378" spans="2:10" ht="13.05" customHeight="1" x14ac:dyDescent="0.3">
      <c r="B378" s="215" t="s">
        <v>418</v>
      </c>
      <c r="C378" s="215" t="s">
        <v>1686</v>
      </c>
      <c r="D378" s="215" t="s">
        <v>1728</v>
      </c>
      <c r="E378" s="1190">
        <v>49</v>
      </c>
      <c r="F378" s="215" t="s">
        <v>235</v>
      </c>
      <c r="G378" s="1050">
        <v>103</v>
      </c>
      <c r="H378" s="1052">
        <v>3</v>
      </c>
      <c r="I378" s="1052"/>
      <c r="J378" s="1052"/>
    </row>
    <row r="379" spans="2:10" ht="13.05" customHeight="1" x14ac:dyDescent="0.3">
      <c r="B379" s="1191" t="s">
        <v>418</v>
      </c>
      <c r="C379" s="1191" t="s">
        <v>1766</v>
      </c>
      <c r="D379" s="1191" t="s">
        <v>1757</v>
      </c>
      <c r="E379" s="1192">
        <v>60</v>
      </c>
      <c r="F379" s="1191" t="s">
        <v>235</v>
      </c>
      <c r="G379" s="1049">
        <v>120</v>
      </c>
      <c r="H379" s="1194">
        <v>4</v>
      </c>
      <c r="I379" s="1194"/>
      <c r="J379" s="1194"/>
    </row>
    <row r="380" spans="2:10" ht="13.05" customHeight="1" x14ac:dyDescent="0.3">
      <c r="B380" s="215" t="s">
        <v>418</v>
      </c>
      <c r="C380" s="215" t="s">
        <v>1775</v>
      </c>
      <c r="D380" s="215" t="s">
        <v>1798</v>
      </c>
      <c r="E380" s="1190">
        <v>81</v>
      </c>
      <c r="F380" s="215" t="s">
        <v>235</v>
      </c>
      <c r="G380" s="1050">
        <v>148</v>
      </c>
      <c r="H380" s="1196">
        <v>5</v>
      </c>
      <c r="I380" s="1196"/>
      <c r="J380" s="1196"/>
    </row>
    <row r="381" spans="2:10" ht="13.05" customHeight="1" x14ac:dyDescent="0.3">
      <c r="B381" s="1191" t="s">
        <v>418</v>
      </c>
      <c r="C381" s="1191" t="s">
        <v>1825</v>
      </c>
      <c r="D381" s="1191" t="s">
        <v>1817</v>
      </c>
      <c r="E381" s="1192">
        <v>99</v>
      </c>
      <c r="F381" s="1191" t="s">
        <v>235</v>
      </c>
      <c r="G381" s="1049">
        <v>165</v>
      </c>
      <c r="H381" s="1194">
        <v>6</v>
      </c>
      <c r="I381" s="1194"/>
      <c r="J381" s="1194"/>
    </row>
    <row r="382" spans="2:10" ht="13.05" customHeight="1" x14ac:dyDescent="0.3">
      <c r="B382" s="215" t="s">
        <v>418</v>
      </c>
      <c r="C382" s="215" t="s">
        <v>1639</v>
      </c>
      <c r="D382" s="215" t="s">
        <v>1672</v>
      </c>
      <c r="E382" s="1190">
        <v>11</v>
      </c>
      <c r="F382" s="215" t="s">
        <v>235</v>
      </c>
      <c r="G382" s="1050">
        <v>30</v>
      </c>
      <c r="H382" s="1052">
        <v>2</v>
      </c>
      <c r="I382" s="1052"/>
      <c r="J382" s="1052"/>
    </row>
    <row r="383" spans="2:10" ht="13.05" customHeight="1" x14ac:dyDescent="0.3">
      <c r="B383" s="1191" t="s">
        <v>418</v>
      </c>
      <c r="C383" s="1191" t="s">
        <v>1640</v>
      </c>
      <c r="D383" s="1191" t="s">
        <v>1673</v>
      </c>
      <c r="E383" s="1192">
        <v>18</v>
      </c>
      <c r="F383" s="1191" t="s">
        <v>235</v>
      </c>
      <c r="G383" s="1049">
        <v>49</v>
      </c>
      <c r="H383" s="1194">
        <v>2</v>
      </c>
      <c r="I383" s="1194"/>
      <c r="J383" s="1194"/>
    </row>
    <row r="384" spans="2:10" ht="13.05" customHeight="1" x14ac:dyDescent="0.3">
      <c r="B384" s="215" t="s">
        <v>418</v>
      </c>
      <c r="C384" s="215" t="s">
        <v>1693</v>
      </c>
      <c r="D384" s="215" t="s">
        <v>1729</v>
      </c>
      <c r="E384" s="1190">
        <v>25</v>
      </c>
      <c r="F384" s="215" t="s">
        <v>235</v>
      </c>
      <c r="G384" s="1050">
        <v>56</v>
      </c>
      <c r="H384" s="1052">
        <v>3</v>
      </c>
      <c r="I384" s="1052"/>
      <c r="J384" s="1052"/>
    </row>
    <row r="385" spans="2:10" ht="13.05" customHeight="1" x14ac:dyDescent="0.3">
      <c r="B385" s="1191" t="s">
        <v>418</v>
      </c>
      <c r="C385" s="1191" t="s">
        <v>1694</v>
      </c>
      <c r="D385" s="1191" t="s">
        <v>1730</v>
      </c>
      <c r="E385" s="1192">
        <v>33</v>
      </c>
      <c r="F385" s="1191" t="s">
        <v>235</v>
      </c>
      <c r="G385" s="1049">
        <v>69</v>
      </c>
      <c r="H385" s="1194">
        <v>3</v>
      </c>
      <c r="I385" s="1194"/>
      <c r="J385" s="1194"/>
    </row>
    <row r="386" spans="2:10" ht="13.05" customHeight="1" x14ac:dyDescent="0.3">
      <c r="B386" s="215" t="s">
        <v>418</v>
      </c>
      <c r="C386" s="215" t="s">
        <v>1634</v>
      </c>
      <c r="D386" s="215" t="s">
        <v>1674</v>
      </c>
      <c r="E386" s="1190">
        <v>13</v>
      </c>
      <c r="F386" s="215" t="s">
        <v>235</v>
      </c>
      <c r="G386" s="1050">
        <v>36</v>
      </c>
      <c r="H386" s="1052">
        <v>2</v>
      </c>
      <c r="I386" s="1052"/>
      <c r="J386" s="1052"/>
    </row>
    <row r="387" spans="2:10" ht="13.05" customHeight="1" x14ac:dyDescent="0.3">
      <c r="B387" s="1191" t="s">
        <v>418</v>
      </c>
      <c r="C387" s="1191" t="s">
        <v>1635</v>
      </c>
      <c r="D387" s="1191" t="s">
        <v>1675</v>
      </c>
      <c r="E387" s="1192">
        <v>23</v>
      </c>
      <c r="F387" s="1191" t="s">
        <v>235</v>
      </c>
      <c r="G387" s="1049">
        <v>63</v>
      </c>
      <c r="H387" s="1194">
        <v>2</v>
      </c>
      <c r="I387" s="1194"/>
      <c r="J387" s="1194"/>
    </row>
    <row r="388" spans="2:10" ht="13.05" customHeight="1" x14ac:dyDescent="0.3">
      <c r="B388" s="215" t="s">
        <v>418</v>
      </c>
      <c r="C388" s="215" t="s">
        <v>1687</v>
      </c>
      <c r="D388" s="215" t="s">
        <v>1731</v>
      </c>
      <c r="E388" s="1190">
        <v>43</v>
      </c>
      <c r="F388" s="215" t="s">
        <v>235</v>
      </c>
      <c r="G388" s="1050">
        <v>96</v>
      </c>
      <c r="H388" s="1052">
        <v>3</v>
      </c>
      <c r="I388" s="1052"/>
      <c r="J388" s="1052"/>
    </row>
    <row r="389" spans="2:10" ht="13.05" customHeight="1" x14ac:dyDescent="0.3">
      <c r="B389" s="1191" t="s">
        <v>418</v>
      </c>
      <c r="C389" s="1191" t="s">
        <v>1688</v>
      </c>
      <c r="D389" s="1191" t="s">
        <v>1732</v>
      </c>
      <c r="E389" s="1192">
        <v>53</v>
      </c>
      <c r="F389" s="1191" t="s">
        <v>235</v>
      </c>
      <c r="G389" s="1049">
        <v>111</v>
      </c>
      <c r="H389" s="1194">
        <v>3</v>
      </c>
      <c r="I389" s="1194"/>
      <c r="J389" s="1194"/>
    </row>
    <row r="390" spans="2:10" ht="13.05" customHeight="1" x14ac:dyDescent="0.3">
      <c r="B390" s="215" t="s">
        <v>418</v>
      </c>
      <c r="C390" s="215" t="s">
        <v>1767</v>
      </c>
      <c r="D390" s="215" t="s">
        <v>1758</v>
      </c>
      <c r="E390" s="1190">
        <v>60</v>
      </c>
      <c r="F390" s="215" t="s">
        <v>235</v>
      </c>
      <c r="G390" s="1050">
        <v>120</v>
      </c>
      <c r="H390" s="1052">
        <v>4</v>
      </c>
      <c r="I390" s="1052"/>
      <c r="J390" s="1052"/>
    </row>
    <row r="391" spans="2:10" ht="13.05" customHeight="1" x14ac:dyDescent="0.3">
      <c r="B391" s="1191" t="s">
        <v>418</v>
      </c>
      <c r="C391" s="1191" t="s">
        <v>1776</v>
      </c>
      <c r="D391" s="1191" t="s">
        <v>1799</v>
      </c>
      <c r="E391" s="1192">
        <v>81</v>
      </c>
      <c r="F391" s="1191" t="s">
        <v>235</v>
      </c>
      <c r="G391" s="1049">
        <v>148</v>
      </c>
      <c r="H391" s="1051">
        <v>5</v>
      </c>
      <c r="I391" s="1051"/>
      <c r="J391" s="1051"/>
    </row>
    <row r="392" spans="2:10" ht="13.05" customHeight="1" x14ac:dyDescent="0.3">
      <c r="B392" s="215" t="s">
        <v>418</v>
      </c>
      <c r="C392" s="215" t="s">
        <v>1826</v>
      </c>
      <c r="D392" s="215" t="s">
        <v>1818</v>
      </c>
      <c r="E392" s="1190">
        <v>99</v>
      </c>
      <c r="F392" s="215" t="s">
        <v>235</v>
      </c>
      <c r="G392" s="1050">
        <v>165</v>
      </c>
      <c r="H392" s="1052">
        <v>6</v>
      </c>
      <c r="I392" s="1052"/>
      <c r="J392" s="1052"/>
    </row>
    <row r="393" spans="2:10" ht="13.05" customHeight="1" x14ac:dyDescent="0.3">
      <c r="B393" s="1191" t="s">
        <v>418</v>
      </c>
      <c r="C393" s="1191" t="s">
        <v>1641</v>
      </c>
      <c r="D393" s="1191" t="s">
        <v>1676</v>
      </c>
      <c r="E393" s="1192">
        <v>13</v>
      </c>
      <c r="F393" s="1191" t="s">
        <v>235</v>
      </c>
      <c r="G393" s="1049">
        <v>36</v>
      </c>
      <c r="H393" s="1194">
        <v>2</v>
      </c>
      <c r="I393" s="1194"/>
      <c r="J393" s="1194"/>
    </row>
    <row r="394" spans="2:10" ht="13.05" customHeight="1" x14ac:dyDescent="0.3">
      <c r="B394" s="215" t="s">
        <v>418</v>
      </c>
      <c r="C394" s="215" t="s">
        <v>1695</v>
      </c>
      <c r="D394" s="215" t="s">
        <v>1733</v>
      </c>
      <c r="E394" s="1190">
        <v>27</v>
      </c>
      <c r="F394" s="215" t="s">
        <v>235</v>
      </c>
      <c r="G394" s="1050">
        <v>73</v>
      </c>
      <c r="H394" s="1052">
        <v>3</v>
      </c>
      <c r="I394" s="1052"/>
      <c r="J394" s="1052"/>
    </row>
    <row r="395" spans="2:10" ht="13.05" customHeight="1" x14ac:dyDescent="0.3">
      <c r="B395" s="1191" t="s">
        <v>418</v>
      </c>
      <c r="C395" s="1191" t="s">
        <v>1769</v>
      </c>
      <c r="D395" s="1191" t="s">
        <v>1759</v>
      </c>
      <c r="E395" s="1192">
        <v>41</v>
      </c>
      <c r="F395" s="1191" t="s">
        <v>235</v>
      </c>
      <c r="G395" s="1049">
        <v>86</v>
      </c>
      <c r="H395" s="1194">
        <v>4</v>
      </c>
      <c r="I395" s="1194"/>
      <c r="J395" s="1194"/>
    </row>
    <row r="396" spans="2:10" ht="13.05" customHeight="1" x14ac:dyDescent="0.3">
      <c r="B396" s="215" t="s">
        <v>418</v>
      </c>
      <c r="C396" s="215" t="s">
        <v>1642</v>
      </c>
      <c r="D396" s="215" t="s">
        <v>1677</v>
      </c>
      <c r="E396" s="1190">
        <v>13</v>
      </c>
      <c r="F396" s="215" t="s">
        <v>235</v>
      </c>
      <c r="G396" s="1050">
        <v>36</v>
      </c>
      <c r="H396" s="1052">
        <v>2</v>
      </c>
      <c r="I396" s="1052"/>
      <c r="J396" s="1052"/>
    </row>
    <row r="397" spans="2:10" ht="13.05" customHeight="1" x14ac:dyDescent="0.3">
      <c r="B397" s="1191" t="s">
        <v>418</v>
      </c>
      <c r="C397" s="1191" t="s">
        <v>1696</v>
      </c>
      <c r="D397" s="1191" t="s">
        <v>1734</v>
      </c>
      <c r="E397" s="1192">
        <v>22</v>
      </c>
      <c r="F397" s="1191" t="s">
        <v>235</v>
      </c>
      <c r="G397" s="1049">
        <v>53</v>
      </c>
      <c r="H397" s="1194">
        <v>3</v>
      </c>
      <c r="I397" s="1194"/>
      <c r="J397" s="1194"/>
    </row>
    <row r="398" spans="2:10" ht="13.05" customHeight="1" x14ac:dyDescent="0.3">
      <c r="B398" s="215" t="s">
        <v>418</v>
      </c>
      <c r="C398" s="215" t="s">
        <v>1770</v>
      </c>
      <c r="D398" s="215" t="s">
        <v>1760</v>
      </c>
      <c r="E398" s="1190">
        <v>39</v>
      </c>
      <c r="F398" s="215" t="s">
        <v>235</v>
      </c>
      <c r="G398" s="1050">
        <v>82</v>
      </c>
      <c r="H398" s="1052">
        <v>4</v>
      </c>
      <c r="I398" s="1052"/>
      <c r="J398" s="1052"/>
    </row>
    <row r="399" spans="2:10" ht="13.05" customHeight="1" x14ac:dyDescent="0.3">
      <c r="B399" s="1191" t="s">
        <v>418</v>
      </c>
      <c r="C399" s="1191" t="s">
        <v>1778</v>
      </c>
      <c r="D399" s="1191" t="s">
        <v>1800</v>
      </c>
      <c r="E399" s="1192">
        <v>53</v>
      </c>
      <c r="F399" s="1191" t="s">
        <v>235</v>
      </c>
      <c r="G399" s="1049">
        <v>106</v>
      </c>
      <c r="H399" s="1051">
        <v>5</v>
      </c>
      <c r="I399" s="1051"/>
      <c r="J399" s="1051"/>
    </row>
    <row r="400" spans="2:10" ht="13.05" customHeight="1" x14ac:dyDescent="0.3">
      <c r="B400" s="215" t="s">
        <v>418</v>
      </c>
      <c r="C400" s="215" t="s">
        <v>1779</v>
      </c>
      <c r="D400" s="215" t="s">
        <v>1834</v>
      </c>
      <c r="E400" s="1190">
        <v>63</v>
      </c>
      <c r="F400" s="215" t="s">
        <v>235</v>
      </c>
      <c r="G400" s="1050">
        <v>126</v>
      </c>
      <c r="H400" s="1052">
        <v>5</v>
      </c>
      <c r="I400" s="1052"/>
      <c r="J400" s="1052"/>
    </row>
    <row r="401" spans="2:10" ht="13.05" customHeight="1" x14ac:dyDescent="0.3">
      <c r="B401" s="1191" t="s">
        <v>418</v>
      </c>
      <c r="C401" s="1191" t="s">
        <v>1828</v>
      </c>
      <c r="D401" s="1191" t="s">
        <v>1819</v>
      </c>
      <c r="E401" s="1192">
        <v>81</v>
      </c>
      <c r="F401" s="1191" t="s">
        <v>235</v>
      </c>
      <c r="G401" s="1049">
        <v>162</v>
      </c>
      <c r="H401" s="1194">
        <v>6</v>
      </c>
      <c r="I401" s="1194"/>
      <c r="J401" s="1194"/>
    </row>
    <row r="402" spans="2:10" ht="13.05" customHeight="1" x14ac:dyDescent="0.3">
      <c r="B402" s="215" t="s">
        <v>418</v>
      </c>
      <c r="C402" s="215" t="s">
        <v>1690</v>
      </c>
      <c r="D402" s="215" t="s">
        <v>1735</v>
      </c>
      <c r="E402" s="1190">
        <v>32</v>
      </c>
      <c r="F402" s="215" t="s">
        <v>235</v>
      </c>
      <c r="G402" s="1050">
        <v>67</v>
      </c>
      <c r="H402" s="1052">
        <v>3</v>
      </c>
      <c r="I402" s="1052"/>
      <c r="J402" s="1052"/>
    </row>
    <row r="403" spans="2:10" ht="13.05" customHeight="1" x14ac:dyDescent="0.3">
      <c r="B403" s="1191" t="s">
        <v>418</v>
      </c>
      <c r="C403" s="1191" t="s">
        <v>1780</v>
      </c>
      <c r="D403" s="1191" t="s">
        <v>1801</v>
      </c>
      <c r="E403" s="1192">
        <v>41</v>
      </c>
      <c r="F403" s="1191" t="s">
        <v>235</v>
      </c>
      <c r="G403" s="1049">
        <v>82</v>
      </c>
      <c r="H403" s="1051">
        <v>5</v>
      </c>
      <c r="I403" s="1051"/>
      <c r="J403" s="1051"/>
    </row>
    <row r="404" spans="2:10" ht="13.05" customHeight="1" x14ac:dyDescent="0.3">
      <c r="B404" s="215" t="s">
        <v>418</v>
      </c>
      <c r="C404" s="215" t="s">
        <v>1771</v>
      </c>
      <c r="D404" s="215" t="s">
        <v>1761</v>
      </c>
      <c r="E404" s="1190">
        <v>49</v>
      </c>
      <c r="F404" s="215" t="s">
        <v>235</v>
      </c>
      <c r="G404" s="1050">
        <v>98</v>
      </c>
      <c r="H404" s="1052">
        <v>4</v>
      </c>
      <c r="I404" s="1052"/>
      <c r="J404" s="1052"/>
    </row>
    <row r="405" spans="2:10" ht="13.05" customHeight="1" x14ac:dyDescent="0.3">
      <c r="B405" s="1191" t="s">
        <v>418</v>
      </c>
      <c r="C405" s="1191" t="s">
        <v>1781</v>
      </c>
      <c r="D405" s="1191" t="s">
        <v>1802</v>
      </c>
      <c r="E405" s="1192">
        <v>53</v>
      </c>
      <c r="F405" s="1191" t="s">
        <v>235</v>
      </c>
      <c r="G405" s="1049">
        <v>106</v>
      </c>
      <c r="H405" s="1051">
        <v>5</v>
      </c>
      <c r="I405" s="1051"/>
      <c r="J405" s="1051"/>
    </row>
    <row r="406" spans="2:10" ht="13.05" customHeight="1" x14ac:dyDescent="0.3">
      <c r="B406" s="215" t="s">
        <v>418</v>
      </c>
      <c r="C406" s="215" t="s">
        <v>1829</v>
      </c>
      <c r="D406" s="215" t="s">
        <v>1820</v>
      </c>
      <c r="E406" s="1190">
        <v>65</v>
      </c>
      <c r="F406" s="215" t="s">
        <v>235</v>
      </c>
      <c r="G406" s="1050">
        <v>130</v>
      </c>
      <c r="H406" s="1052">
        <v>6</v>
      </c>
      <c r="I406" s="1052"/>
      <c r="J406" s="1052"/>
    </row>
    <row r="407" spans="2:10" ht="13.05" customHeight="1" x14ac:dyDescent="0.3">
      <c r="B407" s="1191" t="s">
        <v>418</v>
      </c>
      <c r="C407" s="1191" t="s">
        <v>1643</v>
      </c>
      <c r="D407" s="1191" t="s">
        <v>1678</v>
      </c>
      <c r="E407" s="1192">
        <v>26</v>
      </c>
      <c r="F407" s="1191" t="s">
        <v>235</v>
      </c>
      <c r="G407" s="1049">
        <v>71</v>
      </c>
      <c r="H407" s="1194">
        <v>2</v>
      </c>
      <c r="I407" s="1194"/>
      <c r="J407" s="1194"/>
    </row>
    <row r="408" spans="2:10" ht="13.05" customHeight="1" x14ac:dyDescent="0.3">
      <c r="B408" s="215" t="s">
        <v>418</v>
      </c>
      <c r="C408" s="215" t="s">
        <v>1697</v>
      </c>
      <c r="D408" s="215" t="s">
        <v>1736</v>
      </c>
      <c r="E408" s="1190">
        <v>33</v>
      </c>
      <c r="F408" s="215" t="s">
        <v>235</v>
      </c>
      <c r="G408" s="1050">
        <v>79</v>
      </c>
      <c r="H408" s="1052">
        <v>3</v>
      </c>
      <c r="I408" s="1052"/>
      <c r="J408" s="1052"/>
    </row>
    <row r="409" spans="2:10" ht="13.05" customHeight="1" x14ac:dyDescent="0.3">
      <c r="B409" s="1191" t="s">
        <v>418</v>
      </c>
      <c r="C409" s="1191" t="s">
        <v>1772</v>
      </c>
      <c r="D409" s="1191" t="s">
        <v>1762</v>
      </c>
      <c r="E409" s="1192">
        <v>49</v>
      </c>
      <c r="F409" s="1191" t="s">
        <v>235</v>
      </c>
      <c r="G409" s="1049">
        <v>103</v>
      </c>
      <c r="H409" s="1194">
        <v>4</v>
      </c>
      <c r="I409" s="1194"/>
      <c r="J409" s="1194"/>
    </row>
    <row r="410" spans="2:10" ht="13.05" customHeight="1" x14ac:dyDescent="0.3">
      <c r="B410" s="215" t="s">
        <v>418</v>
      </c>
      <c r="C410" s="215" t="s">
        <v>1782</v>
      </c>
      <c r="D410" s="215" t="s">
        <v>1803</v>
      </c>
      <c r="E410" s="1190">
        <v>53</v>
      </c>
      <c r="F410" s="215" t="s">
        <v>235</v>
      </c>
      <c r="G410" s="1050">
        <v>106</v>
      </c>
      <c r="H410" s="1196">
        <v>5</v>
      </c>
      <c r="I410" s="1196"/>
      <c r="J410" s="1196"/>
    </row>
    <row r="411" spans="2:10" ht="13.05" customHeight="1" x14ac:dyDescent="0.3">
      <c r="B411" s="1191" t="s">
        <v>418</v>
      </c>
      <c r="C411" s="1191" t="s">
        <v>1830</v>
      </c>
      <c r="D411" s="1191" t="s">
        <v>1821</v>
      </c>
      <c r="E411" s="1192">
        <v>65</v>
      </c>
      <c r="F411" s="1191" t="s">
        <v>235</v>
      </c>
      <c r="G411" s="1049">
        <v>130</v>
      </c>
      <c r="H411" s="1194">
        <v>6</v>
      </c>
      <c r="I411" s="1194"/>
      <c r="J411" s="1194"/>
    </row>
    <row r="412" spans="2:10" ht="13.05" customHeight="1" x14ac:dyDescent="0.3">
      <c r="B412" s="215" t="s">
        <v>418</v>
      </c>
      <c r="C412" s="215" t="s">
        <v>1637</v>
      </c>
      <c r="D412" s="215" t="s">
        <v>1679</v>
      </c>
      <c r="E412" s="1190">
        <v>11</v>
      </c>
      <c r="F412" s="215" t="s">
        <v>235</v>
      </c>
      <c r="G412" s="1050">
        <v>30</v>
      </c>
      <c r="H412" s="1052">
        <v>2</v>
      </c>
      <c r="I412" s="1052"/>
      <c r="J412" s="1052"/>
    </row>
    <row r="413" spans="2:10" ht="13.05" customHeight="1" x14ac:dyDescent="0.3">
      <c r="B413" s="1191" t="s">
        <v>418</v>
      </c>
      <c r="C413" s="1191" t="s">
        <v>1638</v>
      </c>
      <c r="D413" s="1191" t="s">
        <v>1680</v>
      </c>
      <c r="E413" s="1192">
        <v>18</v>
      </c>
      <c r="F413" s="1191" t="s">
        <v>235</v>
      </c>
      <c r="G413" s="1049">
        <v>49</v>
      </c>
      <c r="H413" s="1194">
        <v>2</v>
      </c>
      <c r="I413" s="1194"/>
      <c r="J413" s="1194"/>
    </row>
    <row r="414" spans="2:10" ht="13.05" customHeight="1" x14ac:dyDescent="0.3">
      <c r="B414" s="215" t="s">
        <v>418</v>
      </c>
      <c r="C414" s="215" t="s">
        <v>1691</v>
      </c>
      <c r="D414" s="215" t="s">
        <v>1737</v>
      </c>
      <c r="E414" s="1190">
        <v>25</v>
      </c>
      <c r="F414" s="215" t="s">
        <v>235</v>
      </c>
      <c r="G414" s="1050">
        <v>56</v>
      </c>
      <c r="H414" s="1052">
        <v>3</v>
      </c>
      <c r="I414" s="1052"/>
      <c r="J414" s="1052"/>
    </row>
    <row r="415" spans="2:10" ht="13.05" customHeight="1" x14ac:dyDescent="0.3">
      <c r="B415" s="1191" t="s">
        <v>418</v>
      </c>
      <c r="C415" s="1191" t="s">
        <v>1692</v>
      </c>
      <c r="D415" s="1191" t="s">
        <v>1738</v>
      </c>
      <c r="E415" s="1192">
        <v>33</v>
      </c>
      <c r="F415" s="1191" t="s">
        <v>235</v>
      </c>
      <c r="G415" s="1049">
        <v>69</v>
      </c>
      <c r="H415" s="1194">
        <v>3</v>
      </c>
      <c r="I415" s="1194"/>
      <c r="J415" s="1194"/>
    </row>
    <row r="416" spans="2:10" ht="13.05" customHeight="1" x14ac:dyDescent="0.3">
      <c r="B416" s="215" t="s">
        <v>418</v>
      </c>
      <c r="C416" s="215" t="s">
        <v>1768</v>
      </c>
      <c r="D416" s="215" t="s">
        <v>1763</v>
      </c>
      <c r="E416" s="1190">
        <v>39</v>
      </c>
      <c r="F416" s="215" t="s">
        <v>235</v>
      </c>
      <c r="G416" s="1050">
        <v>78</v>
      </c>
      <c r="H416" s="1052">
        <v>4</v>
      </c>
      <c r="I416" s="1052"/>
      <c r="J416" s="1052"/>
    </row>
    <row r="417" spans="2:10" ht="13.05" customHeight="1" x14ac:dyDescent="0.3">
      <c r="B417" s="1191" t="s">
        <v>418</v>
      </c>
      <c r="C417" s="1191" t="s">
        <v>1777</v>
      </c>
      <c r="D417" s="1191" t="s">
        <v>1804</v>
      </c>
      <c r="E417" s="1192">
        <v>51</v>
      </c>
      <c r="F417" s="1191" t="s">
        <v>235</v>
      </c>
      <c r="G417" s="1049">
        <v>93</v>
      </c>
      <c r="H417" s="1051">
        <v>5</v>
      </c>
      <c r="I417" s="1051"/>
      <c r="J417" s="1051"/>
    </row>
    <row r="418" spans="2:10" ht="13.05" customHeight="1" x14ac:dyDescent="0.3">
      <c r="B418" s="215" t="s">
        <v>418</v>
      </c>
      <c r="C418" s="215" t="s">
        <v>1827</v>
      </c>
      <c r="D418" s="215" t="s">
        <v>1822</v>
      </c>
      <c r="E418" s="1190">
        <v>63</v>
      </c>
      <c r="F418" s="215" t="s">
        <v>235</v>
      </c>
      <c r="G418" s="1050">
        <v>105</v>
      </c>
      <c r="H418" s="1052">
        <v>6</v>
      </c>
      <c r="I418" s="1052"/>
      <c r="J418" s="1052"/>
    </row>
    <row r="419" spans="2:10" ht="13.05" customHeight="1" x14ac:dyDescent="0.3">
      <c r="B419" s="1191" t="s">
        <v>418</v>
      </c>
      <c r="C419" s="1191" t="s">
        <v>1644</v>
      </c>
      <c r="D419" s="1191" t="s">
        <v>1681</v>
      </c>
      <c r="E419" s="1192">
        <v>13</v>
      </c>
      <c r="F419" s="1191" t="s">
        <v>235</v>
      </c>
      <c r="G419" s="1049">
        <v>36</v>
      </c>
      <c r="H419" s="1194">
        <v>2</v>
      </c>
      <c r="I419" s="1194"/>
      <c r="J419" s="1194"/>
    </row>
    <row r="420" spans="2:10" ht="13.05" customHeight="1" x14ac:dyDescent="0.3">
      <c r="B420" s="215" t="s">
        <v>418</v>
      </c>
      <c r="C420" s="215" t="s">
        <v>1645</v>
      </c>
      <c r="D420" s="215" t="s">
        <v>1682</v>
      </c>
      <c r="E420" s="1190">
        <v>20</v>
      </c>
      <c r="F420" s="215" t="s">
        <v>235</v>
      </c>
      <c r="G420" s="1050">
        <v>55</v>
      </c>
      <c r="H420" s="1052">
        <v>2</v>
      </c>
      <c r="I420" s="1052"/>
      <c r="J420" s="1052"/>
    </row>
    <row r="421" spans="2:10" ht="13.05" customHeight="1" x14ac:dyDescent="0.3">
      <c r="B421" s="1191" t="s">
        <v>418</v>
      </c>
      <c r="C421" s="1191" t="s">
        <v>1698</v>
      </c>
      <c r="D421" s="1191" t="s">
        <v>1739</v>
      </c>
      <c r="E421" s="1192">
        <v>35</v>
      </c>
      <c r="F421" s="1191" t="s">
        <v>235</v>
      </c>
      <c r="G421" s="1049">
        <v>78</v>
      </c>
      <c r="H421" s="1194">
        <v>3</v>
      </c>
      <c r="I421" s="1194"/>
      <c r="J421" s="1194"/>
    </row>
    <row r="422" spans="2:10" ht="13.05" customHeight="1" x14ac:dyDescent="0.3">
      <c r="B422" s="215" t="s">
        <v>418</v>
      </c>
      <c r="C422" s="215" t="s">
        <v>1699</v>
      </c>
      <c r="D422" s="215" t="s">
        <v>1740</v>
      </c>
      <c r="E422" s="1190">
        <v>45</v>
      </c>
      <c r="F422" s="215" t="s">
        <v>235</v>
      </c>
      <c r="G422" s="1050">
        <v>94</v>
      </c>
      <c r="H422" s="1052">
        <v>3</v>
      </c>
      <c r="I422" s="1052"/>
      <c r="J422" s="1052"/>
    </row>
    <row r="423" spans="2:10" ht="13.05" customHeight="1" x14ac:dyDescent="0.3">
      <c r="B423" s="1191" t="s">
        <v>418</v>
      </c>
      <c r="C423" s="1191" t="s">
        <v>1773</v>
      </c>
      <c r="D423" s="1191" t="s">
        <v>1764</v>
      </c>
      <c r="E423" s="1192">
        <v>57</v>
      </c>
      <c r="F423" s="1191" t="s">
        <v>235</v>
      </c>
      <c r="G423" s="1049">
        <v>114</v>
      </c>
      <c r="H423" s="1194">
        <v>4</v>
      </c>
      <c r="I423" s="1194"/>
      <c r="J423" s="1194"/>
    </row>
    <row r="424" spans="2:10" ht="13.05" customHeight="1" x14ac:dyDescent="0.3">
      <c r="B424" s="215" t="s">
        <v>418</v>
      </c>
      <c r="C424" s="215" t="s">
        <v>1783</v>
      </c>
      <c r="D424" s="215" t="s">
        <v>1805</v>
      </c>
      <c r="E424" s="1190">
        <v>69</v>
      </c>
      <c r="F424" s="215" t="s">
        <v>235</v>
      </c>
      <c r="G424" s="1050">
        <v>126</v>
      </c>
      <c r="H424" s="1196">
        <v>5</v>
      </c>
      <c r="I424" s="1196"/>
      <c r="J424" s="1196"/>
    </row>
    <row r="425" spans="2:10" ht="13.05" customHeight="1" x14ac:dyDescent="0.3">
      <c r="B425" s="1191" t="s">
        <v>418</v>
      </c>
      <c r="C425" s="1191" t="s">
        <v>1831</v>
      </c>
      <c r="D425" s="1191" t="s">
        <v>1823</v>
      </c>
      <c r="E425" s="1192">
        <v>81</v>
      </c>
      <c r="F425" s="1191" t="s">
        <v>235</v>
      </c>
      <c r="G425" s="1049">
        <v>135</v>
      </c>
      <c r="H425" s="1194">
        <v>6</v>
      </c>
      <c r="I425" s="1194"/>
      <c r="J425" s="1194"/>
    </row>
    <row r="426" spans="2:10" ht="13.05" customHeight="1" x14ac:dyDescent="0.3">
      <c r="B426" s="215" t="s">
        <v>418</v>
      </c>
      <c r="C426" s="215" t="s">
        <v>1646</v>
      </c>
      <c r="D426" s="215" t="s">
        <v>1683</v>
      </c>
      <c r="E426" s="1190">
        <v>13</v>
      </c>
      <c r="F426" s="215" t="s">
        <v>235</v>
      </c>
      <c r="G426" s="1050">
        <v>36</v>
      </c>
      <c r="H426" s="1052">
        <v>2</v>
      </c>
      <c r="I426" s="1052"/>
      <c r="J426" s="1052"/>
    </row>
    <row r="427" spans="2:10" ht="13.05" customHeight="1" x14ac:dyDescent="0.3">
      <c r="B427" s="1191" t="s">
        <v>418</v>
      </c>
      <c r="C427" s="1191" t="s">
        <v>1647</v>
      </c>
      <c r="D427" s="1191" t="s">
        <v>1684</v>
      </c>
      <c r="E427" s="1192">
        <v>24</v>
      </c>
      <c r="F427" s="1191" t="s">
        <v>235</v>
      </c>
      <c r="G427" s="1049">
        <v>65</v>
      </c>
      <c r="H427" s="1194">
        <v>2</v>
      </c>
      <c r="I427" s="1194"/>
      <c r="J427" s="1194"/>
    </row>
    <row r="428" spans="2:10" ht="13.05" customHeight="1" x14ac:dyDescent="0.3">
      <c r="B428" s="215" t="s">
        <v>418</v>
      </c>
      <c r="C428" s="215" t="s">
        <v>1700</v>
      </c>
      <c r="D428" s="215" t="s">
        <v>1741</v>
      </c>
      <c r="E428" s="1190">
        <v>43</v>
      </c>
      <c r="F428" s="215" t="s">
        <v>235</v>
      </c>
      <c r="G428" s="1050">
        <v>96</v>
      </c>
      <c r="H428" s="1052">
        <v>3</v>
      </c>
      <c r="I428" s="1052"/>
      <c r="J428" s="1052"/>
    </row>
    <row r="429" spans="2:10" ht="13.05" customHeight="1" x14ac:dyDescent="0.3">
      <c r="B429" s="1191" t="s">
        <v>418</v>
      </c>
      <c r="C429" s="1191" t="s">
        <v>1701</v>
      </c>
      <c r="D429" s="1191" t="s">
        <v>1742</v>
      </c>
      <c r="E429" s="1192">
        <v>56</v>
      </c>
      <c r="F429" s="1191" t="s">
        <v>235</v>
      </c>
      <c r="G429" s="1049">
        <v>117</v>
      </c>
      <c r="H429" s="1194">
        <v>3</v>
      </c>
      <c r="I429" s="1194"/>
      <c r="J429" s="1194"/>
    </row>
    <row r="430" spans="2:10" ht="13.05" customHeight="1" x14ac:dyDescent="0.3">
      <c r="B430" s="215" t="s">
        <v>418</v>
      </c>
      <c r="C430" s="215" t="s">
        <v>1774</v>
      </c>
      <c r="D430" s="215" t="s">
        <v>1765</v>
      </c>
      <c r="E430" s="1190">
        <v>69</v>
      </c>
      <c r="F430" s="215" t="s">
        <v>235</v>
      </c>
      <c r="G430" s="1050">
        <v>138</v>
      </c>
      <c r="H430" s="1052">
        <v>4</v>
      </c>
      <c r="I430" s="1052"/>
      <c r="J430" s="1052"/>
    </row>
    <row r="431" spans="2:10" ht="13.05" customHeight="1" x14ac:dyDescent="0.3">
      <c r="B431" s="1191" t="s">
        <v>418</v>
      </c>
      <c r="C431" s="1191" t="s">
        <v>1784</v>
      </c>
      <c r="D431" s="1191" t="s">
        <v>1806</v>
      </c>
      <c r="E431" s="1192">
        <v>81</v>
      </c>
      <c r="F431" s="1191" t="s">
        <v>235</v>
      </c>
      <c r="G431" s="1049">
        <v>148</v>
      </c>
      <c r="H431" s="1051">
        <v>5</v>
      </c>
      <c r="I431" s="1051"/>
      <c r="J431" s="1051"/>
    </row>
    <row r="432" spans="2:10" ht="13.05" customHeight="1" x14ac:dyDescent="0.3">
      <c r="B432" s="215" t="s">
        <v>418</v>
      </c>
      <c r="C432" s="215" t="s">
        <v>1832</v>
      </c>
      <c r="D432" s="215" t="s">
        <v>1824</v>
      </c>
      <c r="E432" s="1190">
        <v>99</v>
      </c>
      <c r="F432" s="215" t="s">
        <v>235</v>
      </c>
      <c r="G432" s="1050">
        <v>165</v>
      </c>
      <c r="H432" s="1052">
        <v>6</v>
      </c>
      <c r="I432" s="1052"/>
      <c r="J432" s="1052"/>
    </row>
    <row r="433" spans="5:10" ht="13.05" customHeight="1" x14ac:dyDescent="0.3">
      <c r="E433" s="244"/>
      <c r="G433" s="249"/>
      <c r="H433" s="253"/>
      <c r="I433" s="253"/>
      <c r="J433" s="253"/>
    </row>
    <row r="434" spans="5:10" ht="13.05" customHeight="1" x14ac:dyDescent="0.3">
      <c r="E434" s="244"/>
      <c r="G434" s="249"/>
      <c r="H434" s="253"/>
      <c r="I434" s="253"/>
      <c r="J434" s="253"/>
    </row>
  </sheetData>
  <sheetProtection selectLockedCells="1" selectUnlockedCells="1"/>
  <autoFilter ref="BG8:BN8" xr:uid="{CAB12D5A-88D8-EF4C-8FCD-71BB842088D2}">
    <sortState xmlns:xlrd2="http://schemas.microsoft.com/office/spreadsheetml/2017/richdata2" ref="BG9:BN81">
      <sortCondition ref="BG8"/>
    </sortState>
  </autoFilter>
  <mergeCells count="1">
    <mergeCell ref="B1:D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dimension ref="A1:E673"/>
  <sheetViews>
    <sheetView workbookViewId="0">
      <selection activeCell="E32" sqref="E32"/>
    </sheetView>
  </sheetViews>
  <sheetFormatPr defaultColWidth="8.77734375" defaultRowHeight="14.4" x14ac:dyDescent="0.3"/>
  <cols>
    <col min="1" max="2" width="25.77734375" customWidth="1"/>
    <col min="3" max="4" width="13.5546875" customWidth="1"/>
    <col min="5" max="5" width="73.5546875" bestFit="1" customWidth="1"/>
  </cols>
  <sheetData>
    <row r="1" spans="1:5" x14ac:dyDescent="0.3">
      <c r="A1" s="1187" t="s">
        <v>750</v>
      </c>
      <c r="B1" s="1187" t="s">
        <v>751</v>
      </c>
      <c r="C1" s="1187" t="s">
        <v>752</v>
      </c>
      <c r="D1" s="1187" t="s">
        <v>753</v>
      </c>
      <c r="E1" s="1048" t="s">
        <v>754</v>
      </c>
    </row>
    <row r="2" spans="1:5" x14ac:dyDescent="0.3">
      <c r="A2" s="1188" t="s">
        <v>755</v>
      </c>
      <c r="B2" s="1188" t="s">
        <v>756</v>
      </c>
      <c r="C2" s="1189">
        <v>0</v>
      </c>
      <c r="D2" s="1189">
        <v>0</v>
      </c>
      <c r="E2" t="str">
        <f t="shared" ref="E2:E22" si="0">CONCATENATE(A2," - ",B2)</f>
        <v>* Client Custom - Client Rate Level 01</v>
      </c>
    </row>
    <row r="3" spans="1:5" x14ac:dyDescent="0.3">
      <c r="A3" s="1188" t="s">
        <v>755</v>
      </c>
      <c r="B3" s="1188" t="s">
        <v>757</v>
      </c>
      <c r="C3" s="1189">
        <v>0</v>
      </c>
      <c r="D3" s="1189">
        <v>0</v>
      </c>
      <c r="E3" t="str">
        <f t="shared" si="0"/>
        <v>* Client Custom - Client Rate Level 02</v>
      </c>
    </row>
    <row r="4" spans="1:5" x14ac:dyDescent="0.3">
      <c r="A4" s="1188" t="s">
        <v>755</v>
      </c>
      <c r="B4" s="1188" t="s">
        <v>758</v>
      </c>
      <c r="C4" s="1189">
        <v>0</v>
      </c>
      <c r="D4" s="1189">
        <v>0</v>
      </c>
      <c r="E4" t="str">
        <f t="shared" si="0"/>
        <v>* Client Custom - Client Rate Level 03</v>
      </c>
    </row>
    <row r="5" spans="1:5" x14ac:dyDescent="0.3">
      <c r="A5" s="1188" t="s">
        <v>755</v>
      </c>
      <c r="B5" s="1188" t="s">
        <v>759</v>
      </c>
      <c r="C5" s="1189">
        <v>0</v>
      </c>
      <c r="D5" s="1189">
        <v>0</v>
      </c>
      <c r="E5" t="str">
        <f t="shared" si="0"/>
        <v>* Client Custom - Client Rate Level 04</v>
      </c>
    </row>
    <row r="6" spans="1:5" x14ac:dyDescent="0.3">
      <c r="A6" s="1188" t="s">
        <v>755</v>
      </c>
      <c r="B6" s="1188" t="s">
        <v>760</v>
      </c>
      <c r="C6" s="1189">
        <v>0</v>
      </c>
      <c r="D6" s="1189">
        <v>0</v>
      </c>
      <c r="E6" t="str">
        <f t="shared" si="0"/>
        <v>* Client Custom - Client Rate Level 05</v>
      </c>
    </row>
    <row r="7" spans="1:5" x14ac:dyDescent="0.3">
      <c r="A7" s="1188" t="s">
        <v>755</v>
      </c>
      <c r="B7" s="1188" t="s">
        <v>761</v>
      </c>
      <c r="C7" s="1189">
        <v>0</v>
      </c>
      <c r="D7" s="1189">
        <v>0</v>
      </c>
      <c r="E7" t="str">
        <f t="shared" si="0"/>
        <v>* Client Custom - Client Rate Level 06</v>
      </c>
    </row>
    <row r="8" spans="1:5" x14ac:dyDescent="0.3">
      <c r="A8" s="1188" t="s">
        <v>755</v>
      </c>
      <c r="B8" s="1188" t="s">
        <v>762</v>
      </c>
      <c r="C8" s="1189">
        <v>0</v>
      </c>
      <c r="D8" s="1189">
        <v>0</v>
      </c>
      <c r="E8" t="str">
        <f t="shared" si="0"/>
        <v>* Client Custom - Client Rate Level 07</v>
      </c>
    </row>
    <row r="9" spans="1:5" x14ac:dyDescent="0.3">
      <c r="A9" s="1188" t="s">
        <v>755</v>
      </c>
      <c r="B9" s="1188" t="s">
        <v>763</v>
      </c>
      <c r="C9" s="1189">
        <v>0</v>
      </c>
      <c r="D9" s="1189">
        <v>0</v>
      </c>
      <c r="E9" t="str">
        <f t="shared" si="0"/>
        <v>* Client Custom - Client Rate Level 08</v>
      </c>
    </row>
    <row r="10" spans="1:5" x14ac:dyDescent="0.3">
      <c r="A10" s="1188" t="s">
        <v>755</v>
      </c>
      <c r="B10" s="1188" t="s">
        <v>764</v>
      </c>
      <c r="C10" s="1189">
        <v>0</v>
      </c>
      <c r="D10" s="1189">
        <v>0</v>
      </c>
      <c r="E10" t="str">
        <f t="shared" si="0"/>
        <v>* Client Custom - Client Rate Level 09</v>
      </c>
    </row>
    <row r="11" spans="1:5" x14ac:dyDescent="0.3">
      <c r="A11" s="1188" t="s">
        <v>755</v>
      </c>
      <c r="B11" s="1188" t="s">
        <v>765</v>
      </c>
      <c r="C11" s="1189">
        <v>0</v>
      </c>
      <c r="D11" s="1189">
        <v>0</v>
      </c>
      <c r="E11" t="str">
        <f t="shared" si="0"/>
        <v>* Client Custom - Client Rate Level 10</v>
      </c>
    </row>
    <row r="12" spans="1:5" x14ac:dyDescent="0.3">
      <c r="A12" s="1188" t="s">
        <v>755</v>
      </c>
      <c r="B12" s="1188" t="s">
        <v>766</v>
      </c>
      <c r="C12" s="1189">
        <v>0</v>
      </c>
      <c r="D12" s="1189">
        <v>0</v>
      </c>
      <c r="E12" t="str">
        <f t="shared" si="0"/>
        <v>* Client Custom - Client Rate Level 11</v>
      </c>
    </row>
    <row r="13" spans="1:5" x14ac:dyDescent="0.3">
      <c r="A13" s="1188" t="s">
        <v>755</v>
      </c>
      <c r="B13" s="1188" t="s">
        <v>767</v>
      </c>
      <c r="C13" s="1189">
        <v>0</v>
      </c>
      <c r="D13" s="1189">
        <v>0</v>
      </c>
      <c r="E13" t="str">
        <f t="shared" si="0"/>
        <v>* Client Custom - Client Rate Level 12</v>
      </c>
    </row>
    <row r="14" spans="1:5" x14ac:dyDescent="0.3">
      <c r="A14" s="1188" t="s">
        <v>755</v>
      </c>
      <c r="B14" s="1188" t="s">
        <v>768</v>
      </c>
      <c r="C14" s="1189">
        <v>0</v>
      </c>
      <c r="D14" s="1189">
        <v>0</v>
      </c>
      <c r="E14" t="str">
        <f t="shared" si="0"/>
        <v>* Client Custom - Client Rate Level 13</v>
      </c>
    </row>
    <row r="15" spans="1:5" x14ac:dyDescent="0.3">
      <c r="A15" s="1188" t="s">
        <v>755</v>
      </c>
      <c r="B15" s="1188" t="s">
        <v>769</v>
      </c>
      <c r="C15" s="1189">
        <v>0</v>
      </c>
      <c r="D15" s="1189">
        <v>0</v>
      </c>
      <c r="E15" t="str">
        <f t="shared" si="0"/>
        <v>* Client Custom - Client Rate Level 14</v>
      </c>
    </row>
    <row r="16" spans="1:5" x14ac:dyDescent="0.3">
      <c r="A16" s="1188" t="s">
        <v>755</v>
      </c>
      <c r="B16" s="1188" t="s">
        <v>770</v>
      </c>
      <c r="C16" s="1189">
        <v>0</v>
      </c>
      <c r="D16" s="1189">
        <v>0</v>
      </c>
      <c r="E16" t="str">
        <f t="shared" si="0"/>
        <v>* Client Custom - Client Rate Level 15</v>
      </c>
    </row>
    <row r="17" spans="1:5" x14ac:dyDescent="0.3">
      <c r="A17" s="1188" t="s">
        <v>771</v>
      </c>
      <c r="B17" s="1188" t="s">
        <v>772</v>
      </c>
      <c r="C17" s="1189">
        <v>0</v>
      </c>
      <c r="D17" s="1189">
        <v>0</v>
      </c>
      <c r="E17" t="str">
        <f t="shared" si="0"/>
        <v>* Role Type Rates - Data Scientist (inactive)</v>
      </c>
    </row>
    <row r="18" spans="1:5" x14ac:dyDescent="0.3">
      <c r="A18" s="1188" t="s">
        <v>773</v>
      </c>
      <c r="B18" s="1188" t="s">
        <v>774</v>
      </c>
      <c r="C18" s="1189">
        <v>0</v>
      </c>
      <c r="D18" s="1189">
        <v>0</v>
      </c>
      <c r="E18" t="str">
        <f t="shared" si="0"/>
        <v>Areteans US - A | Areteans US Personnel</v>
      </c>
    </row>
    <row r="19" spans="1:5" x14ac:dyDescent="0.3">
      <c r="A19" s="1188" t="s">
        <v>773</v>
      </c>
      <c r="B19" s="1188" t="s">
        <v>775</v>
      </c>
      <c r="C19" s="1189">
        <v>0</v>
      </c>
      <c r="D19" s="1189">
        <v>0</v>
      </c>
      <c r="E19" t="str">
        <f t="shared" si="0"/>
        <v>Areteans US - A | Areteans India Personnel</v>
      </c>
    </row>
    <row r="20" spans="1:5" x14ac:dyDescent="0.3">
      <c r="A20" s="1188" t="s">
        <v>340</v>
      </c>
      <c r="B20" s="1188" t="s">
        <v>776</v>
      </c>
      <c r="C20" s="1189">
        <v>0</v>
      </c>
      <c r="D20" s="1189">
        <v>0</v>
      </c>
      <c r="E20" t="str">
        <f t="shared" si="0"/>
        <v>BrightGen - BrightGen Resource</v>
      </c>
    </row>
    <row r="21" spans="1:5" x14ac:dyDescent="0.3">
      <c r="A21" s="1188" t="s">
        <v>777</v>
      </c>
      <c r="B21" s="1188" t="s">
        <v>778</v>
      </c>
      <c r="C21" s="1189">
        <v>0</v>
      </c>
      <c r="D21" s="1189">
        <v>0</v>
      </c>
      <c r="E21" t="str">
        <f t="shared" si="0"/>
        <v>Credera DE - Credera DE Resource</v>
      </c>
    </row>
    <row r="22" spans="1:5" x14ac:dyDescent="0.3">
      <c r="A22" s="1188" t="s">
        <v>779</v>
      </c>
      <c r="B22" s="1188" t="s">
        <v>780</v>
      </c>
      <c r="C22" s="1189">
        <v>0</v>
      </c>
      <c r="D22" s="1189">
        <v>0</v>
      </c>
      <c r="E22" t="str">
        <f t="shared" si="0"/>
        <v>Credera India Business Enablement - C | Corporate Staff</v>
      </c>
    </row>
    <row r="23" spans="1:5" x14ac:dyDescent="0.3">
      <c r="A23" s="1188" t="s">
        <v>781</v>
      </c>
      <c r="B23" s="1188" t="s">
        <v>1855</v>
      </c>
      <c r="C23" s="1189">
        <v>36</v>
      </c>
      <c r="D23" s="1189">
        <v>288</v>
      </c>
      <c r="E23" t="str">
        <f>CONCATENATE(A23," - ",B23)</f>
        <v>Credera India Consulting | Cloud &amp; Engineering - L2 / B1-B3 | Associate Engineer</v>
      </c>
    </row>
    <row r="24" spans="1:5" x14ac:dyDescent="0.3">
      <c r="A24" s="1188" t="s">
        <v>781</v>
      </c>
      <c r="B24" s="1188" t="s">
        <v>1856</v>
      </c>
      <c r="C24" s="1189">
        <v>57</v>
      </c>
      <c r="D24" s="1189">
        <v>456</v>
      </c>
      <c r="E24" t="str">
        <f t="shared" ref="E24:E87" si="1">CONCATENATE(A24," - ",B24)</f>
        <v>Credera India Consulting | Cloud &amp; Engineering - L2 / B1-B3 | Engineer</v>
      </c>
    </row>
    <row r="25" spans="1:5" x14ac:dyDescent="0.3">
      <c r="A25" s="1188" t="s">
        <v>781</v>
      </c>
      <c r="B25" s="1188" t="s">
        <v>1857</v>
      </c>
      <c r="C25" s="1189">
        <v>87</v>
      </c>
      <c r="D25" s="1189">
        <v>696</v>
      </c>
      <c r="E25" t="str">
        <f t="shared" si="1"/>
        <v>Credera India Consulting | Cloud &amp; Engineering - L3 / C1-C2 | Senior Engineer</v>
      </c>
    </row>
    <row r="26" spans="1:5" x14ac:dyDescent="0.3">
      <c r="A26" s="1188" t="s">
        <v>781</v>
      </c>
      <c r="B26" s="1188" t="s">
        <v>1858</v>
      </c>
      <c r="C26" s="1189">
        <v>103</v>
      </c>
      <c r="D26" s="1189">
        <v>824</v>
      </c>
      <c r="E26" t="str">
        <f t="shared" si="1"/>
        <v>Credera India Consulting | Cloud &amp; Engineering - L3 / C1-C2 | Lead Engineer</v>
      </c>
    </row>
    <row r="27" spans="1:5" x14ac:dyDescent="0.3">
      <c r="A27" s="1188" t="s">
        <v>781</v>
      </c>
      <c r="B27" s="1188" t="s">
        <v>1859</v>
      </c>
      <c r="C27" s="1189">
        <v>120</v>
      </c>
      <c r="D27" s="1189">
        <v>960</v>
      </c>
      <c r="E27" t="str">
        <f t="shared" si="1"/>
        <v>Credera India Consulting | Cloud &amp; Engineering - L4 / D1 | Architect</v>
      </c>
    </row>
    <row r="28" spans="1:5" x14ac:dyDescent="0.3">
      <c r="A28" s="1188" t="s">
        <v>781</v>
      </c>
      <c r="B28" s="1188" t="s">
        <v>1860</v>
      </c>
      <c r="C28" s="1189">
        <v>148</v>
      </c>
      <c r="D28" s="1189">
        <v>1184</v>
      </c>
      <c r="E28" t="str">
        <f t="shared" si="1"/>
        <v>Credera India Consulting | Cloud &amp; Engineering - L5 / D2-E1 | Senior Architect</v>
      </c>
    </row>
    <row r="29" spans="1:5" x14ac:dyDescent="0.3">
      <c r="A29" s="1188" t="s">
        <v>781</v>
      </c>
      <c r="B29" s="1188" t="s">
        <v>1861</v>
      </c>
      <c r="C29" s="1189">
        <v>165</v>
      </c>
      <c r="D29" s="1189">
        <v>1320</v>
      </c>
      <c r="E29" t="str">
        <f t="shared" si="1"/>
        <v>Credera India Consulting | Cloud &amp; Engineering - L6 / E2-S1 | Principal Architect</v>
      </c>
    </row>
    <row r="30" spans="1:5" x14ac:dyDescent="0.3">
      <c r="A30" s="1188" t="s">
        <v>789</v>
      </c>
      <c r="B30" s="1188" t="s">
        <v>1862</v>
      </c>
      <c r="C30" s="1189">
        <v>30</v>
      </c>
      <c r="D30" s="1189">
        <v>240</v>
      </c>
      <c r="E30" t="str">
        <f t="shared" si="1"/>
        <v>Credera India Consulting | Content - L2 / B1-B3 | Associate Content Engineer</v>
      </c>
    </row>
    <row r="31" spans="1:5" x14ac:dyDescent="0.3">
      <c r="A31" s="1188" t="s">
        <v>789</v>
      </c>
      <c r="B31" s="1188" t="s">
        <v>1863</v>
      </c>
      <c r="C31" s="1189">
        <v>49</v>
      </c>
      <c r="D31" s="1189">
        <v>392</v>
      </c>
      <c r="E31" t="str">
        <f t="shared" si="1"/>
        <v>Credera India Consulting | Content - L2 / B1-B3 | Content Engineer</v>
      </c>
    </row>
    <row r="32" spans="1:5" x14ac:dyDescent="0.3">
      <c r="A32" s="1188" t="s">
        <v>789</v>
      </c>
      <c r="B32" s="1188" t="s">
        <v>1864</v>
      </c>
      <c r="C32" s="1189">
        <v>56</v>
      </c>
      <c r="D32" s="1189">
        <v>448</v>
      </c>
      <c r="E32" t="str">
        <f t="shared" si="1"/>
        <v>Credera India Consulting | Content - L3 / C1-C2 | Senior Content Engineer</v>
      </c>
    </row>
    <row r="33" spans="1:5" x14ac:dyDescent="0.3">
      <c r="A33" s="1188" t="s">
        <v>789</v>
      </c>
      <c r="B33" s="1188" t="s">
        <v>1865</v>
      </c>
      <c r="C33" s="1189">
        <v>69</v>
      </c>
      <c r="D33" s="1189">
        <v>552</v>
      </c>
      <c r="E33" t="str">
        <f t="shared" si="1"/>
        <v>Credera India Consulting | Content - L3 / C1-C2 | Lead Content Engineer</v>
      </c>
    </row>
    <row r="34" spans="1:5" x14ac:dyDescent="0.3">
      <c r="A34" s="1188" t="s">
        <v>790</v>
      </c>
      <c r="B34" s="1188" t="s">
        <v>1855</v>
      </c>
      <c r="C34" s="1189">
        <v>36</v>
      </c>
      <c r="D34" s="1189">
        <v>288</v>
      </c>
      <c r="E34" t="str">
        <f t="shared" si="1"/>
        <v>Credera India Consulting | Data &amp; AI - L2 / B1-B3 | Associate Engineer</v>
      </c>
    </row>
    <row r="35" spans="1:5" x14ac:dyDescent="0.3">
      <c r="A35" s="1188" t="s">
        <v>790</v>
      </c>
      <c r="B35" s="1188" t="s">
        <v>1856</v>
      </c>
      <c r="C35" s="1189">
        <v>63</v>
      </c>
      <c r="D35" s="1189">
        <v>504</v>
      </c>
      <c r="E35" t="str">
        <f t="shared" si="1"/>
        <v>Credera India Consulting | Data &amp; AI - L2 / B1-B3 | Engineer</v>
      </c>
    </row>
    <row r="36" spans="1:5" x14ac:dyDescent="0.3">
      <c r="A36" s="1188" t="s">
        <v>790</v>
      </c>
      <c r="B36" s="1188" t="s">
        <v>1857</v>
      </c>
      <c r="C36" s="1189">
        <v>96</v>
      </c>
      <c r="D36" s="1189">
        <v>768</v>
      </c>
      <c r="E36" t="str">
        <f t="shared" si="1"/>
        <v>Credera India Consulting | Data &amp; AI - L3 / C1-C2 | Senior Engineer</v>
      </c>
    </row>
    <row r="37" spans="1:5" x14ac:dyDescent="0.3">
      <c r="A37" s="1188" t="s">
        <v>790</v>
      </c>
      <c r="B37" s="1188" t="s">
        <v>1858</v>
      </c>
      <c r="C37" s="1189">
        <v>111</v>
      </c>
      <c r="D37" s="1189">
        <v>888</v>
      </c>
      <c r="E37" t="str">
        <f t="shared" si="1"/>
        <v>Credera India Consulting | Data &amp; AI - L3 / C1-C2 | Lead Engineer</v>
      </c>
    </row>
    <row r="38" spans="1:5" x14ac:dyDescent="0.3">
      <c r="A38" s="1188" t="s">
        <v>790</v>
      </c>
      <c r="B38" s="1188" t="s">
        <v>1859</v>
      </c>
      <c r="C38" s="1189">
        <v>120</v>
      </c>
      <c r="D38" s="1189">
        <v>960</v>
      </c>
      <c r="E38" t="str">
        <f t="shared" si="1"/>
        <v>Credera India Consulting | Data &amp; AI - L4 / D1 | Architect</v>
      </c>
    </row>
    <row r="39" spans="1:5" x14ac:dyDescent="0.3">
      <c r="A39" s="1188" t="s">
        <v>790</v>
      </c>
      <c r="B39" s="1188" t="s">
        <v>1860</v>
      </c>
      <c r="C39" s="1189">
        <v>148</v>
      </c>
      <c r="D39" s="1189">
        <v>1184</v>
      </c>
      <c r="E39" t="str">
        <f t="shared" si="1"/>
        <v>Credera India Consulting | Data &amp; AI - L5 / D2-E1 | Senior Architect</v>
      </c>
    </row>
    <row r="40" spans="1:5" x14ac:dyDescent="0.3">
      <c r="A40" s="1188" t="s">
        <v>790</v>
      </c>
      <c r="B40" s="1188" t="s">
        <v>1861</v>
      </c>
      <c r="C40" s="1189">
        <v>165</v>
      </c>
      <c r="D40" s="1189">
        <v>1320</v>
      </c>
      <c r="E40" t="str">
        <f t="shared" si="1"/>
        <v>Credera India Consulting | Data &amp; AI - L6 / E2-S1 | Principal Architect</v>
      </c>
    </row>
    <row r="41" spans="1:5" x14ac:dyDescent="0.3">
      <c r="A41" s="1188" t="s">
        <v>791</v>
      </c>
      <c r="B41" s="1188" t="s">
        <v>1866</v>
      </c>
      <c r="C41" s="1189">
        <v>36</v>
      </c>
      <c r="D41" s="1189">
        <v>288</v>
      </c>
      <c r="E41" t="str">
        <f t="shared" si="1"/>
        <v>Credera India Consulting | Experience Design - L2 / B1-B3 | Strategist</v>
      </c>
    </row>
    <row r="42" spans="1:5" x14ac:dyDescent="0.3">
      <c r="A42" s="1188" t="s">
        <v>791</v>
      </c>
      <c r="B42" s="1188" t="s">
        <v>1867</v>
      </c>
      <c r="C42" s="1189">
        <v>73</v>
      </c>
      <c r="D42" s="1189">
        <v>584</v>
      </c>
      <c r="E42" t="str">
        <f t="shared" si="1"/>
        <v>Credera India Consulting | Experience Design - L3 / C1-C2 | Senior Strategist</v>
      </c>
    </row>
    <row r="43" spans="1:5" x14ac:dyDescent="0.3">
      <c r="A43" s="1188" t="s">
        <v>791</v>
      </c>
      <c r="B43" s="1188" t="s">
        <v>1868</v>
      </c>
      <c r="C43" s="1189">
        <v>86</v>
      </c>
      <c r="D43" s="1189">
        <v>688</v>
      </c>
      <c r="E43" t="str">
        <f t="shared" si="1"/>
        <v>Credera India Consulting | Experience Design - L4 / D1 | Strategy Manager</v>
      </c>
    </row>
    <row r="44" spans="1:5" x14ac:dyDescent="0.3">
      <c r="A44" s="1188" t="s">
        <v>791</v>
      </c>
      <c r="B44" s="1188" t="s">
        <v>1869</v>
      </c>
      <c r="C44" s="1189">
        <v>36</v>
      </c>
      <c r="D44" s="1189">
        <v>288</v>
      </c>
      <c r="E44" t="str">
        <f t="shared" si="1"/>
        <v>Credera India Consulting | Experience Design - L2 / B1-B3 | Designer</v>
      </c>
    </row>
    <row r="45" spans="1:5" x14ac:dyDescent="0.3">
      <c r="A45" s="1188" t="s">
        <v>791</v>
      </c>
      <c r="B45" s="1188" t="s">
        <v>1870</v>
      </c>
      <c r="C45" s="1189">
        <v>53</v>
      </c>
      <c r="D45" s="1189">
        <v>424</v>
      </c>
      <c r="E45" t="str">
        <f t="shared" si="1"/>
        <v>Credera India Consulting | Experience Design - L3 / C1-C2 | Senior Designer</v>
      </c>
    </row>
    <row r="46" spans="1:5" x14ac:dyDescent="0.3">
      <c r="A46" s="1188" t="s">
        <v>791</v>
      </c>
      <c r="B46" s="1188" t="s">
        <v>1871</v>
      </c>
      <c r="C46" s="1189">
        <v>82</v>
      </c>
      <c r="D46" s="1189">
        <v>656</v>
      </c>
      <c r="E46" t="str">
        <f t="shared" si="1"/>
        <v>Credera India Consulting | Experience Design - L4 / D1 | Associate Design Director</v>
      </c>
    </row>
    <row r="47" spans="1:5" x14ac:dyDescent="0.3">
      <c r="A47" s="1188" t="s">
        <v>791</v>
      </c>
      <c r="B47" s="1188" t="s">
        <v>1872</v>
      </c>
      <c r="C47" s="1189">
        <v>106</v>
      </c>
      <c r="D47" s="1189">
        <v>848</v>
      </c>
      <c r="E47" t="str">
        <f t="shared" si="1"/>
        <v>Credera India Consulting | Experience Design - L5 / D2-E1 | Lead Design Director</v>
      </c>
    </row>
    <row r="48" spans="1:5" x14ac:dyDescent="0.3">
      <c r="A48" s="1188" t="s">
        <v>791</v>
      </c>
      <c r="B48" s="1188" t="s">
        <v>1873</v>
      </c>
      <c r="C48" s="1189">
        <v>126</v>
      </c>
      <c r="D48" s="1189">
        <v>1008</v>
      </c>
      <c r="E48" t="str">
        <f t="shared" si="1"/>
        <v>Credera India Consulting | Experience Design - L5 / D2-E1 | Principal Design Director</v>
      </c>
    </row>
    <row r="49" spans="1:5" x14ac:dyDescent="0.3">
      <c r="A49" s="1188" t="s">
        <v>791</v>
      </c>
      <c r="B49" s="1188" t="s">
        <v>1874</v>
      </c>
      <c r="C49" s="1189">
        <v>162</v>
      </c>
      <c r="D49" s="1189">
        <v>1296</v>
      </c>
      <c r="E49" t="str">
        <f t="shared" si="1"/>
        <v>Credera India Consulting | Experience Design - L6 / E2-S1 | Director</v>
      </c>
    </row>
    <row r="50" spans="1:5" x14ac:dyDescent="0.3">
      <c r="A50" s="1188" t="s">
        <v>797</v>
      </c>
      <c r="B50" s="1188" t="s">
        <v>1875</v>
      </c>
      <c r="C50" s="1189">
        <v>67</v>
      </c>
      <c r="D50" s="1189">
        <v>536</v>
      </c>
      <c r="E50" t="str">
        <f t="shared" si="1"/>
        <v>Credera India Consulting | Management Consulting - L3 / C1-C2 | Scrum Master</v>
      </c>
    </row>
    <row r="51" spans="1:5" x14ac:dyDescent="0.3">
      <c r="A51" s="1188" t="s">
        <v>797</v>
      </c>
      <c r="B51" s="1188" t="s">
        <v>1876</v>
      </c>
      <c r="C51" s="1189">
        <v>82</v>
      </c>
      <c r="D51" s="1189">
        <v>656</v>
      </c>
      <c r="E51" t="str">
        <f t="shared" si="1"/>
        <v>Credera India Consulting | Management Consulting - L5 / D2-E1 | Senior Scrum Master</v>
      </c>
    </row>
    <row r="52" spans="1:5" x14ac:dyDescent="0.3">
      <c r="A52" s="1188" t="s">
        <v>797</v>
      </c>
      <c r="B52" s="1188" t="s">
        <v>1877</v>
      </c>
      <c r="C52" s="1189">
        <v>98</v>
      </c>
      <c r="D52" s="1189">
        <v>784</v>
      </c>
      <c r="E52" t="str">
        <f t="shared" si="1"/>
        <v>Credera India Consulting | Management Consulting - L4 / D1 | Project Manager</v>
      </c>
    </row>
    <row r="53" spans="1:5" x14ac:dyDescent="0.3">
      <c r="A53" s="1188" t="s">
        <v>797</v>
      </c>
      <c r="B53" s="1188" t="s">
        <v>1878</v>
      </c>
      <c r="C53" s="1189">
        <v>106</v>
      </c>
      <c r="D53" s="1189">
        <v>848</v>
      </c>
      <c r="E53" t="str">
        <f t="shared" si="1"/>
        <v>Credera India Consulting | Management Consulting - L5 / D2-E1 | Senior Project Manager</v>
      </c>
    </row>
    <row r="54" spans="1:5" x14ac:dyDescent="0.3">
      <c r="A54" s="1188" t="s">
        <v>797</v>
      </c>
      <c r="B54" s="1188" t="s">
        <v>1879</v>
      </c>
      <c r="C54" s="1189">
        <v>130</v>
      </c>
      <c r="D54" s="1189">
        <v>1040</v>
      </c>
      <c r="E54" t="str">
        <f t="shared" si="1"/>
        <v>Credera India Consulting | Management Consulting - L6 / E2-S1 | Delivery Manager</v>
      </c>
    </row>
    <row r="55" spans="1:5" x14ac:dyDescent="0.3">
      <c r="A55" s="1188" t="s">
        <v>797</v>
      </c>
      <c r="B55" s="1188" t="s">
        <v>1880</v>
      </c>
      <c r="C55" s="1189">
        <v>71</v>
      </c>
      <c r="D55" s="1189">
        <v>568</v>
      </c>
      <c r="E55" t="str">
        <f t="shared" si="1"/>
        <v>Credera India Consulting | Management Consulting - L2 / B1-B3 | Consultant</v>
      </c>
    </row>
    <row r="56" spans="1:5" x14ac:dyDescent="0.3">
      <c r="A56" s="1188" t="s">
        <v>797</v>
      </c>
      <c r="B56" s="1188" t="s">
        <v>1881</v>
      </c>
      <c r="C56" s="1189">
        <v>79</v>
      </c>
      <c r="D56" s="1189">
        <v>632</v>
      </c>
      <c r="E56" t="str">
        <f t="shared" si="1"/>
        <v>Credera India Consulting | Management Consulting - L3 / C1-C2 | Senior Consultant</v>
      </c>
    </row>
    <row r="57" spans="1:5" x14ac:dyDescent="0.3">
      <c r="A57" s="1188" t="s">
        <v>797</v>
      </c>
      <c r="B57" s="1188" t="s">
        <v>1882</v>
      </c>
      <c r="C57" s="1189">
        <v>103</v>
      </c>
      <c r="D57" s="1189">
        <v>824</v>
      </c>
      <c r="E57" t="str">
        <f t="shared" si="1"/>
        <v>Credera India Consulting | Management Consulting - L4 / D1 | Manager</v>
      </c>
    </row>
    <row r="58" spans="1:5" x14ac:dyDescent="0.3">
      <c r="A58" s="1188" t="s">
        <v>797</v>
      </c>
      <c r="B58" s="1188" t="s">
        <v>1883</v>
      </c>
      <c r="C58" s="1189">
        <v>106</v>
      </c>
      <c r="D58" s="1189">
        <v>848</v>
      </c>
      <c r="E58" t="str">
        <f t="shared" si="1"/>
        <v>Credera India Consulting | Management Consulting - L5 / D2-E1 | Senior Manager</v>
      </c>
    </row>
    <row r="59" spans="1:5" x14ac:dyDescent="0.3">
      <c r="A59" s="1188" t="s">
        <v>797</v>
      </c>
      <c r="B59" s="1188" t="s">
        <v>1884</v>
      </c>
      <c r="C59" s="1189">
        <v>130</v>
      </c>
      <c r="D59" s="1189">
        <v>1040</v>
      </c>
      <c r="E59" t="str">
        <f t="shared" si="1"/>
        <v>Credera India Consulting | Management Consulting - L6 / E2-S1 | Principal</v>
      </c>
    </row>
    <row r="60" spans="1:5" x14ac:dyDescent="0.3">
      <c r="A60" s="1188" t="s">
        <v>804</v>
      </c>
      <c r="B60" s="1188" t="s">
        <v>1885</v>
      </c>
      <c r="C60" s="1189">
        <v>30</v>
      </c>
      <c r="D60" s="1189">
        <v>240</v>
      </c>
      <c r="E60" t="str">
        <f t="shared" si="1"/>
        <v>Credera India Consulting | Quality Assurance - L2 / B1-B3 | Associate QA Engineer</v>
      </c>
    </row>
    <row r="61" spans="1:5" x14ac:dyDescent="0.3">
      <c r="A61" s="1188" t="s">
        <v>804</v>
      </c>
      <c r="B61" s="1188" t="s">
        <v>1886</v>
      </c>
      <c r="C61" s="1189">
        <v>49</v>
      </c>
      <c r="D61" s="1189">
        <v>392</v>
      </c>
      <c r="E61" t="str">
        <f t="shared" si="1"/>
        <v>Credera India Consulting | Quality Assurance - L2 / B1-B3 | QA Engineer</v>
      </c>
    </row>
    <row r="62" spans="1:5" x14ac:dyDescent="0.3">
      <c r="A62" s="1188" t="s">
        <v>804</v>
      </c>
      <c r="B62" s="1188" t="s">
        <v>1887</v>
      </c>
      <c r="C62" s="1189">
        <v>56</v>
      </c>
      <c r="D62" s="1189">
        <v>448</v>
      </c>
      <c r="E62" t="str">
        <f t="shared" si="1"/>
        <v>Credera India Consulting | Quality Assurance - L3 / C1-C2 | Senior QA Engineer</v>
      </c>
    </row>
    <row r="63" spans="1:5" x14ac:dyDescent="0.3">
      <c r="A63" s="1188" t="s">
        <v>804</v>
      </c>
      <c r="B63" s="1188" t="s">
        <v>1888</v>
      </c>
      <c r="C63" s="1189">
        <v>69</v>
      </c>
      <c r="D63" s="1189">
        <v>552</v>
      </c>
      <c r="E63" t="str">
        <f t="shared" si="1"/>
        <v>Credera India Consulting | Quality Assurance - L3 / C1-C2 | Lead QA Engineer</v>
      </c>
    </row>
    <row r="64" spans="1:5" x14ac:dyDescent="0.3">
      <c r="A64" s="1188" t="s">
        <v>804</v>
      </c>
      <c r="B64" s="1188" t="s">
        <v>1889</v>
      </c>
      <c r="C64" s="1189">
        <v>78</v>
      </c>
      <c r="D64" s="1189">
        <v>624</v>
      </c>
      <c r="E64" t="str">
        <f t="shared" si="1"/>
        <v>Credera India Consulting | Quality Assurance - L4 / D1 | QA Architect</v>
      </c>
    </row>
    <row r="65" spans="1:5" x14ac:dyDescent="0.3">
      <c r="A65" s="1188" t="s">
        <v>804</v>
      </c>
      <c r="B65" s="1188" t="s">
        <v>1890</v>
      </c>
      <c r="C65" s="1189">
        <v>93</v>
      </c>
      <c r="D65" s="1189">
        <v>744</v>
      </c>
      <c r="E65" t="str">
        <f t="shared" si="1"/>
        <v>Credera India Consulting | Quality Assurance - L5 / D2-E1 | Senior QA Architect</v>
      </c>
    </row>
    <row r="66" spans="1:5" x14ac:dyDescent="0.3">
      <c r="A66" s="1188" t="s">
        <v>804</v>
      </c>
      <c r="B66" s="1188" t="s">
        <v>1891</v>
      </c>
      <c r="C66" s="1189">
        <v>105</v>
      </c>
      <c r="D66" s="1189">
        <v>840</v>
      </c>
      <c r="E66" t="str">
        <f t="shared" si="1"/>
        <v>Credera India Consulting | Quality Assurance - L6 / E2-S1 | Principal QA Architect</v>
      </c>
    </row>
    <row r="67" spans="1:5" x14ac:dyDescent="0.3">
      <c r="A67" s="1188" t="s">
        <v>812</v>
      </c>
      <c r="B67" s="1188" t="s">
        <v>1855</v>
      </c>
      <c r="C67" s="1189">
        <v>36</v>
      </c>
      <c r="D67" s="1189">
        <v>288</v>
      </c>
      <c r="E67" t="str">
        <f t="shared" si="1"/>
        <v>Credera India Digital | MarTech - L2 / B1-B3 | Associate Engineer</v>
      </c>
    </row>
    <row r="68" spans="1:5" x14ac:dyDescent="0.3">
      <c r="A68" s="1188" t="s">
        <v>812</v>
      </c>
      <c r="B68" s="1188" t="s">
        <v>1856</v>
      </c>
      <c r="C68" s="1189">
        <v>55</v>
      </c>
      <c r="D68" s="1189">
        <v>440</v>
      </c>
      <c r="E68" t="str">
        <f t="shared" si="1"/>
        <v>Credera India Digital | MarTech - L2 / B1-B3 | Engineer</v>
      </c>
    </row>
    <row r="69" spans="1:5" x14ac:dyDescent="0.3">
      <c r="A69" s="1188" t="s">
        <v>812</v>
      </c>
      <c r="B69" s="1188" t="s">
        <v>1857</v>
      </c>
      <c r="C69" s="1189">
        <v>78</v>
      </c>
      <c r="D69" s="1189">
        <v>624</v>
      </c>
      <c r="E69" t="str">
        <f t="shared" si="1"/>
        <v>Credera India Digital | MarTech - L3 / C1-C2 | Senior Engineer</v>
      </c>
    </row>
    <row r="70" spans="1:5" x14ac:dyDescent="0.3">
      <c r="A70" s="1188" t="s">
        <v>812</v>
      </c>
      <c r="B70" s="1188" t="s">
        <v>1858</v>
      </c>
      <c r="C70" s="1189">
        <v>94</v>
      </c>
      <c r="D70" s="1189">
        <v>752</v>
      </c>
      <c r="E70" t="str">
        <f t="shared" si="1"/>
        <v>Credera India Digital | MarTech - L3 / C1-C2 | Lead Engineer</v>
      </c>
    </row>
    <row r="71" spans="1:5" x14ac:dyDescent="0.3">
      <c r="A71" s="1188" t="s">
        <v>812</v>
      </c>
      <c r="B71" s="1188" t="s">
        <v>1859</v>
      </c>
      <c r="C71" s="1189">
        <v>114</v>
      </c>
      <c r="D71" s="1189">
        <v>912</v>
      </c>
      <c r="E71" t="str">
        <f t="shared" si="1"/>
        <v>Credera India Digital | MarTech - L4 / D1 | Architect</v>
      </c>
    </row>
    <row r="72" spans="1:5" x14ac:dyDescent="0.3">
      <c r="A72" s="1188" t="s">
        <v>812</v>
      </c>
      <c r="B72" s="1188" t="s">
        <v>1860</v>
      </c>
      <c r="C72" s="1189">
        <v>126</v>
      </c>
      <c r="D72" s="1189">
        <v>1008</v>
      </c>
      <c r="E72" t="str">
        <f t="shared" si="1"/>
        <v>Credera India Digital | MarTech - L5 / D2-E1 | Senior Architect</v>
      </c>
    </row>
    <row r="73" spans="1:5" x14ac:dyDescent="0.3">
      <c r="A73" s="1188" t="s">
        <v>812</v>
      </c>
      <c r="B73" s="1188" t="s">
        <v>1861</v>
      </c>
      <c r="C73" s="1189">
        <v>135</v>
      </c>
      <c r="D73" s="1189">
        <v>1080</v>
      </c>
      <c r="E73" t="str">
        <f t="shared" si="1"/>
        <v>Credera India Digital | MarTech - L6 / E2-S1 | Principal Architect</v>
      </c>
    </row>
    <row r="74" spans="1:5" x14ac:dyDescent="0.3">
      <c r="A74" s="1188" t="s">
        <v>813</v>
      </c>
      <c r="B74" s="1188" t="s">
        <v>1855</v>
      </c>
      <c r="C74" s="1189">
        <v>36</v>
      </c>
      <c r="D74" s="1189">
        <v>288</v>
      </c>
      <c r="E74" t="str">
        <f t="shared" si="1"/>
        <v>Credera India Digital | Premium MarTech - L2 / B1-B3 | Associate Engineer</v>
      </c>
    </row>
    <row r="75" spans="1:5" x14ac:dyDescent="0.3">
      <c r="A75" s="1188" t="s">
        <v>813</v>
      </c>
      <c r="B75" s="1188" t="s">
        <v>1856</v>
      </c>
      <c r="C75" s="1189">
        <v>65</v>
      </c>
      <c r="D75" s="1189">
        <v>520</v>
      </c>
      <c r="E75" t="str">
        <f t="shared" si="1"/>
        <v>Credera India Digital | Premium MarTech - L2 / B1-B3 | Engineer</v>
      </c>
    </row>
    <row r="76" spans="1:5" x14ac:dyDescent="0.3">
      <c r="A76" s="1188" t="s">
        <v>813</v>
      </c>
      <c r="B76" s="1188" t="s">
        <v>1857</v>
      </c>
      <c r="C76" s="1189">
        <v>96</v>
      </c>
      <c r="D76" s="1189">
        <v>768</v>
      </c>
      <c r="E76" t="str">
        <f t="shared" si="1"/>
        <v>Credera India Digital | Premium MarTech - L3 / C1-C2 | Senior Engineer</v>
      </c>
    </row>
    <row r="77" spans="1:5" x14ac:dyDescent="0.3">
      <c r="A77" s="1188" t="s">
        <v>813</v>
      </c>
      <c r="B77" s="1188" t="s">
        <v>1858</v>
      </c>
      <c r="C77" s="1189">
        <v>117</v>
      </c>
      <c r="D77" s="1189">
        <v>936</v>
      </c>
      <c r="E77" t="str">
        <f t="shared" si="1"/>
        <v>Credera India Digital | Premium MarTech - L3 / C1-C2 | Lead Engineer</v>
      </c>
    </row>
    <row r="78" spans="1:5" x14ac:dyDescent="0.3">
      <c r="A78" s="1188" t="s">
        <v>813</v>
      </c>
      <c r="B78" s="1188" t="s">
        <v>1859</v>
      </c>
      <c r="C78" s="1189">
        <v>138</v>
      </c>
      <c r="D78" s="1189">
        <v>1104</v>
      </c>
      <c r="E78" t="str">
        <f t="shared" si="1"/>
        <v>Credera India Digital | Premium MarTech - L4 / D1 | Architect</v>
      </c>
    </row>
    <row r="79" spans="1:5" x14ac:dyDescent="0.3">
      <c r="A79" s="1188" t="s">
        <v>813</v>
      </c>
      <c r="B79" s="1188" t="s">
        <v>1860</v>
      </c>
      <c r="C79" s="1189">
        <v>148</v>
      </c>
      <c r="D79" s="1189">
        <v>1184</v>
      </c>
      <c r="E79" t="str">
        <f t="shared" si="1"/>
        <v>Credera India Digital | Premium MarTech - L5 / D2-E1 | Senior Architect</v>
      </c>
    </row>
    <row r="80" spans="1:5" x14ac:dyDescent="0.3">
      <c r="A80" s="1188" t="s">
        <v>813</v>
      </c>
      <c r="B80" s="1188" t="s">
        <v>1861</v>
      </c>
      <c r="C80" s="1189">
        <v>165</v>
      </c>
      <c r="D80" s="1189">
        <v>1320</v>
      </c>
      <c r="E80" t="str">
        <f t="shared" si="1"/>
        <v>Credera India Digital | Premium MarTech - L6 / E2-S1 | Principal Architect</v>
      </c>
    </row>
    <row r="81" spans="1:5" x14ac:dyDescent="0.3">
      <c r="A81" s="1188" t="s">
        <v>814</v>
      </c>
      <c r="B81" s="1188" t="s">
        <v>780</v>
      </c>
      <c r="C81" s="1189">
        <v>0</v>
      </c>
      <c r="D81" s="1189">
        <v>0</v>
      </c>
      <c r="E81" t="str">
        <f t="shared" si="1"/>
        <v>Credera LATAM Business Enablement - C | Corporate Staff</v>
      </c>
    </row>
    <row r="82" spans="1:5" x14ac:dyDescent="0.3">
      <c r="A82" s="1188" t="s">
        <v>815</v>
      </c>
      <c r="B82" s="1188" t="s">
        <v>1855</v>
      </c>
      <c r="C82" s="1189">
        <v>120</v>
      </c>
      <c r="D82" s="1189">
        <v>960</v>
      </c>
      <c r="E82" t="str">
        <f t="shared" si="1"/>
        <v>Credera LATAM Consulting | Cloud &amp; Engineering - L2 / B1-B3 | Associate Engineer</v>
      </c>
    </row>
    <row r="83" spans="1:5" x14ac:dyDescent="0.3">
      <c r="A83" s="1188" t="s">
        <v>815</v>
      </c>
      <c r="B83" s="1188" t="s">
        <v>1856</v>
      </c>
      <c r="C83" s="1189">
        <v>120</v>
      </c>
      <c r="D83" s="1189">
        <v>960</v>
      </c>
      <c r="E83" t="str">
        <f t="shared" si="1"/>
        <v>Credera LATAM Consulting | Cloud &amp; Engineering - L2 / B1-B3 | Engineer</v>
      </c>
    </row>
    <row r="84" spans="1:5" x14ac:dyDescent="0.3">
      <c r="A84" s="1188" t="s">
        <v>815</v>
      </c>
      <c r="B84" s="1188" t="s">
        <v>1857</v>
      </c>
      <c r="C84" s="1189">
        <v>120</v>
      </c>
      <c r="D84" s="1189">
        <v>960</v>
      </c>
      <c r="E84" t="str">
        <f t="shared" si="1"/>
        <v>Credera LATAM Consulting | Cloud &amp; Engineering - L3 / C1-C2 | Senior Engineer</v>
      </c>
    </row>
    <row r="85" spans="1:5" x14ac:dyDescent="0.3">
      <c r="A85" s="1188" t="s">
        <v>815</v>
      </c>
      <c r="B85" s="1188" t="s">
        <v>1858</v>
      </c>
      <c r="C85" s="1189">
        <v>120</v>
      </c>
      <c r="D85" s="1189">
        <v>960</v>
      </c>
      <c r="E85" t="str">
        <f t="shared" si="1"/>
        <v>Credera LATAM Consulting | Cloud &amp; Engineering - L3 / C1-C2 | Lead Engineer</v>
      </c>
    </row>
    <row r="86" spans="1:5" x14ac:dyDescent="0.3">
      <c r="A86" s="1188" t="s">
        <v>815</v>
      </c>
      <c r="B86" s="1188" t="s">
        <v>1859</v>
      </c>
      <c r="C86" s="1189">
        <v>134</v>
      </c>
      <c r="D86" s="1189">
        <v>1072</v>
      </c>
      <c r="E86" t="str">
        <f t="shared" si="1"/>
        <v>Credera LATAM Consulting | Cloud &amp; Engineering - L4 / D1 | Architect</v>
      </c>
    </row>
    <row r="87" spans="1:5" x14ac:dyDescent="0.3">
      <c r="A87" s="1188" t="s">
        <v>815</v>
      </c>
      <c r="B87" s="1188" t="s">
        <v>1860</v>
      </c>
      <c r="C87" s="1189">
        <v>140</v>
      </c>
      <c r="D87" s="1189">
        <v>1120</v>
      </c>
      <c r="E87" t="str">
        <f t="shared" si="1"/>
        <v>Credera LATAM Consulting | Cloud &amp; Engineering - L5 / D2-E1 | Senior Architect</v>
      </c>
    </row>
    <row r="88" spans="1:5" x14ac:dyDescent="0.3">
      <c r="A88" s="1188" t="s">
        <v>815</v>
      </c>
      <c r="B88" s="1188" t="s">
        <v>1861</v>
      </c>
      <c r="C88" s="1189">
        <v>155</v>
      </c>
      <c r="D88" s="1189">
        <v>1240</v>
      </c>
      <c r="E88" t="str">
        <f t="shared" ref="E88:E151" si="2">CONCATENATE(A88," - ",B88)</f>
        <v>Credera LATAM Consulting | Cloud &amp; Engineering - L6 / E2-S1 | Principal Architect</v>
      </c>
    </row>
    <row r="89" spans="1:5" x14ac:dyDescent="0.3">
      <c r="A89" s="1188" t="s">
        <v>816</v>
      </c>
      <c r="B89" s="1188" t="s">
        <v>1855</v>
      </c>
      <c r="C89" s="1189">
        <v>120</v>
      </c>
      <c r="D89" s="1189">
        <v>960</v>
      </c>
      <c r="E89" t="str">
        <f t="shared" si="2"/>
        <v>Credera LATAM Consulting | Data &amp; AI - L2 / B1-B3 | Associate Engineer</v>
      </c>
    </row>
    <row r="90" spans="1:5" x14ac:dyDescent="0.3">
      <c r="A90" s="1188" t="s">
        <v>816</v>
      </c>
      <c r="B90" s="1188" t="s">
        <v>1856</v>
      </c>
      <c r="C90" s="1189">
        <v>120</v>
      </c>
      <c r="D90" s="1189">
        <v>960</v>
      </c>
      <c r="E90" t="str">
        <f t="shared" si="2"/>
        <v>Credera LATAM Consulting | Data &amp; AI - L2 / B1-B3 | Engineer</v>
      </c>
    </row>
    <row r="91" spans="1:5" x14ac:dyDescent="0.3">
      <c r="A91" s="1188" t="s">
        <v>816</v>
      </c>
      <c r="B91" s="1188" t="s">
        <v>1857</v>
      </c>
      <c r="C91" s="1189">
        <v>120</v>
      </c>
      <c r="D91" s="1189">
        <v>960</v>
      </c>
      <c r="E91" t="str">
        <f t="shared" si="2"/>
        <v>Credera LATAM Consulting | Data &amp; AI - L3 / C1-C2 | Senior Engineer</v>
      </c>
    </row>
    <row r="92" spans="1:5" x14ac:dyDescent="0.3">
      <c r="A92" s="1188" t="s">
        <v>816</v>
      </c>
      <c r="B92" s="1188" t="s">
        <v>1858</v>
      </c>
      <c r="C92" s="1189">
        <v>120</v>
      </c>
      <c r="D92" s="1189">
        <v>960</v>
      </c>
      <c r="E92" t="str">
        <f t="shared" si="2"/>
        <v>Credera LATAM Consulting | Data &amp; AI - L3 / C1-C2 | Lead Engineer</v>
      </c>
    </row>
    <row r="93" spans="1:5" x14ac:dyDescent="0.3">
      <c r="A93" s="1188" t="s">
        <v>816</v>
      </c>
      <c r="B93" s="1188" t="s">
        <v>1859</v>
      </c>
      <c r="C93" s="1189">
        <v>134</v>
      </c>
      <c r="D93" s="1189">
        <v>1072</v>
      </c>
      <c r="E93" t="str">
        <f t="shared" si="2"/>
        <v>Credera LATAM Consulting | Data &amp; AI - L4 / D1 | Architect</v>
      </c>
    </row>
    <row r="94" spans="1:5" x14ac:dyDescent="0.3">
      <c r="A94" s="1188" t="s">
        <v>816</v>
      </c>
      <c r="B94" s="1188" t="s">
        <v>1860</v>
      </c>
      <c r="C94" s="1189">
        <v>140</v>
      </c>
      <c r="D94" s="1189">
        <v>1120</v>
      </c>
      <c r="E94" t="str">
        <f t="shared" si="2"/>
        <v>Credera LATAM Consulting | Data &amp; AI - L5 / D2-E1 | Senior Architect</v>
      </c>
    </row>
    <row r="95" spans="1:5" x14ac:dyDescent="0.3">
      <c r="A95" s="1188" t="s">
        <v>816</v>
      </c>
      <c r="B95" s="1188" t="s">
        <v>1861</v>
      </c>
      <c r="C95" s="1189">
        <v>155</v>
      </c>
      <c r="D95" s="1189">
        <v>1240</v>
      </c>
      <c r="E95" t="str">
        <f t="shared" si="2"/>
        <v>Credera LATAM Consulting | Data &amp; AI - L6 / E2-S1 | Principal Architect</v>
      </c>
    </row>
    <row r="96" spans="1:5" x14ac:dyDescent="0.3">
      <c r="A96" s="1188" t="s">
        <v>817</v>
      </c>
      <c r="B96" s="1188" t="s">
        <v>1892</v>
      </c>
      <c r="C96" s="1189">
        <v>122</v>
      </c>
      <c r="D96" s="1189">
        <v>976</v>
      </c>
      <c r="E96" t="str">
        <f t="shared" si="2"/>
        <v>Credera LATAM Consulting | Management Consulting - L2 / B1-B3 | Business Analyst</v>
      </c>
    </row>
    <row r="97" spans="1:5" x14ac:dyDescent="0.3">
      <c r="A97" s="1188" t="s">
        <v>817</v>
      </c>
      <c r="B97" s="1188" t="s">
        <v>1893</v>
      </c>
      <c r="C97" s="1189">
        <v>136</v>
      </c>
      <c r="D97" s="1189">
        <v>1088</v>
      </c>
      <c r="E97" t="str">
        <f t="shared" si="2"/>
        <v>Credera LATAM Consulting | Management Consulting - L3 / C1-C2 | Sr Business Analyst</v>
      </c>
    </row>
    <row r="98" spans="1:5" x14ac:dyDescent="0.3">
      <c r="A98" s="1188" t="s">
        <v>817</v>
      </c>
      <c r="B98" s="1188" t="s">
        <v>1875</v>
      </c>
      <c r="C98" s="1189">
        <v>136</v>
      </c>
      <c r="D98" s="1189">
        <v>1088</v>
      </c>
      <c r="E98" t="str">
        <f t="shared" si="2"/>
        <v>Credera LATAM Consulting | Management Consulting - L3 / C1-C2 | Scrum Master</v>
      </c>
    </row>
    <row r="99" spans="1:5" x14ac:dyDescent="0.3">
      <c r="A99" s="1188" t="s">
        <v>817</v>
      </c>
      <c r="B99" s="1188" t="s">
        <v>1894</v>
      </c>
      <c r="C99" s="1189">
        <v>138</v>
      </c>
      <c r="D99" s="1189">
        <v>1104</v>
      </c>
      <c r="E99" t="str">
        <f t="shared" si="2"/>
        <v>Credera LATAM Consulting | Management Consulting - L4 / D1 | Senior Scrum Master</v>
      </c>
    </row>
    <row r="100" spans="1:5" x14ac:dyDescent="0.3">
      <c r="A100" s="1188" t="s">
        <v>817</v>
      </c>
      <c r="B100" s="1188" t="s">
        <v>1895</v>
      </c>
      <c r="C100" s="1189">
        <v>136</v>
      </c>
      <c r="D100" s="1189">
        <v>1088</v>
      </c>
      <c r="E100" t="str">
        <f t="shared" si="2"/>
        <v>Credera LATAM Consulting | Management Consulting - L3 / C1-C2 | Project Manager</v>
      </c>
    </row>
    <row r="101" spans="1:5" x14ac:dyDescent="0.3">
      <c r="A101" s="1188" t="s">
        <v>817</v>
      </c>
      <c r="B101" s="1188" t="s">
        <v>1896</v>
      </c>
      <c r="C101" s="1189">
        <v>138</v>
      </c>
      <c r="D101" s="1189">
        <v>1104</v>
      </c>
      <c r="E101" t="str">
        <f t="shared" si="2"/>
        <v>Credera LATAM Consulting | Management Consulting - L4 / D1 | Senior Project Manager</v>
      </c>
    </row>
    <row r="102" spans="1:5" x14ac:dyDescent="0.3">
      <c r="A102" s="1188" t="s">
        <v>823</v>
      </c>
      <c r="B102" s="1188" t="s">
        <v>1885</v>
      </c>
      <c r="C102" s="1189">
        <v>120</v>
      </c>
      <c r="D102" s="1189">
        <v>960</v>
      </c>
      <c r="E102" t="str">
        <f t="shared" si="2"/>
        <v>Credera LATAM Consulting | Quality Assurance - L2 / B1-B3 | Associate QA Engineer</v>
      </c>
    </row>
    <row r="103" spans="1:5" x14ac:dyDescent="0.3">
      <c r="A103" s="1188" t="s">
        <v>823</v>
      </c>
      <c r="B103" s="1188" t="s">
        <v>1886</v>
      </c>
      <c r="C103" s="1189">
        <v>120</v>
      </c>
      <c r="D103" s="1189">
        <v>960</v>
      </c>
      <c r="E103" t="str">
        <f t="shared" si="2"/>
        <v>Credera LATAM Consulting | Quality Assurance - L2 / B1-B3 | QA Engineer</v>
      </c>
    </row>
    <row r="104" spans="1:5" x14ac:dyDescent="0.3">
      <c r="A104" s="1188" t="s">
        <v>823</v>
      </c>
      <c r="B104" s="1188" t="s">
        <v>1887</v>
      </c>
      <c r="C104" s="1189">
        <v>120</v>
      </c>
      <c r="D104" s="1189">
        <v>960</v>
      </c>
      <c r="E104" t="str">
        <f t="shared" si="2"/>
        <v>Credera LATAM Consulting | Quality Assurance - L3 / C1-C2 | Senior QA Engineer</v>
      </c>
    </row>
    <row r="105" spans="1:5" x14ac:dyDescent="0.3">
      <c r="A105" s="1188" t="s">
        <v>823</v>
      </c>
      <c r="B105" s="1188" t="s">
        <v>1888</v>
      </c>
      <c r="C105" s="1189">
        <v>120</v>
      </c>
      <c r="D105" s="1189">
        <v>960</v>
      </c>
      <c r="E105" t="str">
        <f t="shared" si="2"/>
        <v>Credera LATAM Consulting | Quality Assurance - L3 / C1-C2 | Lead QA Engineer</v>
      </c>
    </row>
    <row r="106" spans="1:5" x14ac:dyDescent="0.3">
      <c r="A106" s="1188" t="s">
        <v>823</v>
      </c>
      <c r="B106" s="1188" t="s">
        <v>1889</v>
      </c>
      <c r="C106" s="1189">
        <v>134</v>
      </c>
      <c r="D106" s="1189">
        <v>1072</v>
      </c>
      <c r="E106" t="str">
        <f t="shared" si="2"/>
        <v>Credera LATAM Consulting | Quality Assurance - L4 / D1 | QA Architect</v>
      </c>
    </row>
    <row r="107" spans="1:5" x14ac:dyDescent="0.3">
      <c r="A107" s="1188" t="s">
        <v>823</v>
      </c>
      <c r="B107" s="1188" t="s">
        <v>1890</v>
      </c>
      <c r="C107" s="1189">
        <v>140</v>
      </c>
      <c r="D107" s="1189">
        <v>1120</v>
      </c>
      <c r="E107" t="str">
        <f t="shared" si="2"/>
        <v>Credera LATAM Consulting | Quality Assurance - L5 / D2-E1 | Senior QA Architect</v>
      </c>
    </row>
    <row r="108" spans="1:5" x14ac:dyDescent="0.3">
      <c r="A108" s="1188" t="s">
        <v>823</v>
      </c>
      <c r="B108" s="1188" t="s">
        <v>1891</v>
      </c>
      <c r="C108" s="1189">
        <v>155</v>
      </c>
      <c r="D108" s="1189">
        <v>1240</v>
      </c>
      <c r="E108" t="str">
        <f t="shared" si="2"/>
        <v>Credera LATAM Consulting | Quality Assurance - L6 / E2-S1 | Principal QA Architect</v>
      </c>
    </row>
    <row r="109" spans="1:5" x14ac:dyDescent="0.3">
      <c r="A109" s="1188" t="s">
        <v>341</v>
      </c>
      <c r="B109" s="1188" t="s">
        <v>824</v>
      </c>
      <c r="C109" s="1189">
        <v>0</v>
      </c>
      <c r="D109" s="1189">
        <v>0</v>
      </c>
      <c r="E109" t="str">
        <f t="shared" si="2"/>
        <v>Credera UK - E0 | Engineer</v>
      </c>
    </row>
    <row r="110" spans="1:5" x14ac:dyDescent="0.3">
      <c r="A110" s="1188" t="s">
        <v>341</v>
      </c>
      <c r="B110" s="1188" t="s">
        <v>825</v>
      </c>
      <c r="C110" s="1189">
        <v>0</v>
      </c>
      <c r="D110" s="1189">
        <v>0</v>
      </c>
      <c r="E110" t="str">
        <f t="shared" si="2"/>
        <v>Credera UK - E1 | Engineer</v>
      </c>
    </row>
    <row r="111" spans="1:5" x14ac:dyDescent="0.3">
      <c r="A111" s="1188" t="s">
        <v>341</v>
      </c>
      <c r="B111" s="1188" t="s">
        <v>826</v>
      </c>
      <c r="C111" s="1189">
        <v>0</v>
      </c>
      <c r="D111" s="1189">
        <v>0</v>
      </c>
      <c r="E111" t="str">
        <f t="shared" si="2"/>
        <v>Credera UK - E2 | Engineer</v>
      </c>
    </row>
    <row r="112" spans="1:5" x14ac:dyDescent="0.3">
      <c r="A112" s="1188" t="s">
        <v>341</v>
      </c>
      <c r="B112" s="1188" t="s">
        <v>827</v>
      </c>
      <c r="C112" s="1189">
        <v>0</v>
      </c>
      <c r="D112" s="1189">
        <v>0</v>
      </c>
      <c r="E112" t="str">
        <f t="shared" si="2"/>
        <v>Credera UK - E3 | Engineer</v>
      </c>
    </row>
    <row r="113" spans="1:5" x14ac:dyDescent="0.3">
      <c r="A113" s="1188" t="s">
        <v>341</v>
      </c>
      <c r="B113" s="1188" t="s">
        <v>828</v>
      </c>
      <c r="C113" s="1189">
        <v>0</v>
      </c>
      <c r="D113" s="1189">
        <v>0</v>
      </c>
      <c r="E113" t="str">
        <f t="shared" si="2"/>
        <v>Credera UK - E4 | Engineer</v>
      </c>
    </row>
    <row r="114" spans="1:5" x14ac:dyDescent="0.3">
      <c r="A114" s="1188" t="s">
        <v>341</v>
      </c>
      <c r="B114" s="1188" t="s">
        <v>829</v>
      </c>
      <c r="C114" s="1189">
        <v>0</v>
      </c>
      <c r="D114" s="1189">
        <v>0</v>
      </c>
      <c r="E114" t="str">
        <f t="shared" si="2"/>
        <v>Credera UK - E5 | Principal Engineer</v>
      </c>
    </row>
    <row r="115" spans="1:5" x14ac:dyDescent="0.3">
      <c r="A115" s="1188" t="s">
        <v>341</v>
      </c>
      <c r="B115" s="1188" t="s">
        <v>830</v>
      </c>
      <c r="C115" s="1189">
        <v>0</v>
      </c>
      <c r="D115" s="1189">
        <v>0</v>
      </c>
      <c r="E115" t="str">
        <f t="shared" si="2"/>
        <v>Credera UK - C0 | Analyst</v>
      </c>
    </row>
    <row r="116" spans="1:5" x14ac:dyDescent="0.3">
      <c r="A116" s="1188" t="s">
        <v>341</v>
      </c>
      <c r="B116" s="1188" t="s">
        <v>831</v>
      </c>
      <c r="C116" s="1189">
        <v>0</v>
      </c>
      <c r="D116" s="1189">
        <v>0</v>
      </c>
      <c r="E116" t="str">
        <f t="shared" si="2"/>
        <v>Credera UK - C1 | Consultant</v>
      </c>
    </row>
    <row r="117" spans="1:5" x14ac:dyDescent="0.3">
      <c r="A117" s="1188" t="s">
        <v>341</v>
      </c>
      <c r="B117" s="1188" t="s">
        <v>832</v>
      </c>
      <c r="C117" s="1189">
        <v>0</v>
      </c>
      <c r="D117" s="1189">
        <v>0</v>
      </c>
      <c r="E117" t="str">
        <f t="shared" si="2"/>
        <v>Credera UK - C2 | Senior Consultant</v>
      </c>
    </row>
    <row r="118" spans="1:5" x14ac:dyDescent="0.3">
      <c r="A118" s="1188" t="s">
        <v>341</v>
      </c>
      <c r="B118" s="1188" t="s">
        <v>833</v>
      </c>
      <c r="C118" s="1189">
        <v>0</v>
      </c>
      <c r="D118" s="1189">
        <v>0</v>
      </c>
      <c r="E118" t="str">
        <f t="shared" si="2"/>
        <v>Credera UK - MC3 | Managing Consultant</v>
      </c>
    </row>
    <row r="119" spans="1:5" x14ac:dyDescent="0.3">
      <c r="A119" s="1188" t="s">
        <v>341</v>
      </c>
      <c r="B119" s="1188" t="s">
        <v>834</v>
      </c>
      <c r="C119" s="1189">
        <v>0</v>
      </c>
      <c r="D119" s="1189">
        <v>0</v>
      </c>
      <c r="E119" t="str">
        <f t="shared" si="2"/>
        <v>Credera UK - MC4 | Managing Consultant</v>
      </c>
    </row>
    <row r="120" spans="1:5" x14ac:dyDescent="0.3">
      <c r="A120" s="1188" t="s">
        <v>341</v>
      </c>
      <c r="B120" s="1188" t="s">
        <v>835</v>
      </c>
      <c r="C120" s="1189">
        <v>0</v>
      </c>
      <c r="D120" s="1189">
        <v>0</v>
      </c>
      <c r="E120" t="str">
        <f t="shared" si="2"/>
        <v>Credera UK - MC5 | Managing Consultant</v>
      </c>
    </row>
    <row r="121" spans="1:5" x14ac:dyDescent="0.3">
      <c r="A121" s="1188" t="s">
        <v>341</v>
      </c>
      <c r="B121" s="1188" t="s">
        <v>836</v>
      </c>
      <c r="C121" s="1189">
        <v>0</v>
      </c>
      <c r="D121" s="1189">
        <v>0</v>
      </c>
      <c r="E121" t="str">
        <f t="shared" si="2"/>
        <v>Credera UK - PR6 | Principal</v>
      </c>
    </row>
    <row r="122" spans="1:5" x14ac:dyDescent="0.3">
      <c r="A122" s="1188" t="s">
        <v>341</v>
      </c>
      <c r="B122" s="1188" t="s">
        <v>837</v>
      </c>
      <c r="C122" s="1189">
        <v>0</v>
      </c>
      <c r="D122" s="1189">
        <v>0</v>
      </c>
      <c r="E122" t="str">
        <f t="shared" si="2"/>
        <v>Credera UK - DR1 | Director</v>
      </c>
    </row>
    <row r="123" spans="1:5" x14ac:dyDescent="0.3">
      <c r="A123" s="1188" t="s">
        <v>341</v>
      </c>
      <c r="B123" s="1188" t="s">
        <v>838</v>
      </c>
      <c r="C123" s="1189">
        <v>0</v>
      </c>
      <c r="D123" s="1189">
        <v>0</v>
      </c>
      <c r="E123" t="str">
        <f t="shared" si="2"/>
        <v>Credera UK - DR2 | Managing Director</v>
      </c>
    </row>
    <row r="124" spans="1:5" x14ac:dyDescent="0.3">
      <c r="A124" s="1188" t="s">
        <v>341</v>
      </c>
      <c r="B124" s="1188" t="s">
        <v>839</v>
      </c>
      <c r="C124" s="1189">
        <v>0</v>
      </c>
      <c r="D124" s="1189">
        <v>0</v>
      </c>
      <c r="E124" t="str">
        <f t="shared" si="2"/>
        <v>Credera UK - DR3 | Managing Director</v>
      </c>
    </row>
    <row r="125" spans="1:5" x14ac:dyDescent="0.3">
      <c r="A125" s="1188" t="s">
        <v>341</v>
      </c>
      <c r="B125" s="1188" t="s">
        <v>840</v>
      </c>
      <c r="C125" s="1189">
        <v>0</v>
      </c>
      <c r="D125" s="1189">
        <v>0</v>
      </c>
      <c r="E125" t="str">
        <f t="shared" si="2"/>
        <v>Credera UK - ED | Executive Director</v>
      </c>
    </row>
    <row r="126" spans="1:5" x14ac:dyDescent="0.3">
      <c r="A126" s="1188" t="s">
        <v>341</v>
      </c>
      <c r="B126" s="1188" t="s">
        <v>841</v>
      </c>
      <c r="C126" s="1189">
        <v>0</v>
      </c>
      <c r="D126" s="1189">
        <v>0</v>
      </c>
      <c r="E126" t="str">
        <f t="shared" si="2"/>
        <v>Credera UK - 00 | Unknown UK Title</v>
      </c>
    </row>
    <row r="127" spans="1:5" x14ac:dyDescent="0.3">
      <c r="A127" s="1188" t="s">
        <v>842</v>
      </c>
      <c r="B127" s="1188" t="s">
        <v>780</v>
      </c>
      <c r="C127" s="1189">
        <v>0</v>
      </c>
      <c r="D127" s="1189">
        <v>0</v>
      </c>
      <c r="E127" t="str">
        <f t="shared" si="2"/>
        <v>Credera US Business Enablement - C | Corporate Staff</v>
      </c>
    </row>
    <row r="128" spans="1:5" x14ac:dyDescent="0.3">
      <c r="A128" s="1188" t="s">
        <v>843</v>
      </c>
      <c r="B128" s="1188" t="s">
        <v>844</v>
      </c>
      <c r="C128" s="1189">
        <v>0</v>
      </c>
      <c r="D128" s="1189">
        <v>0</v>
      </c>
      <c r="E128" t="str">
        <f t="shared" si="2"/>
        <v>Credera US Consulting - 0 | Contractor</v>
      </c>
    </row>
    <row r="129" spans="1:5" x14ac:dyDescent="0.3">
      <c r="A129" s="1188" t="s">
        <v>843</v>
      </c>
      <c r="B129" s="1188" t="s">
        <v>1897</v>
      </c>
      <c r="C129" s="1189">
        <v>90</v>
      </c>
      <c r="D129" s="1189">
        <v>720</v>
      </c>
      <c r="E129" t="str">
        <f t="shared" si="2"/>
        <v>Credera US Consulting - L0 / A1 | Intern</v>
      </c>
    </row>
    <row r="130" spans="1:5" x14ac:dyDescent="0.3">
      <c r="A130" s="1188" t="s">
        <v>843</v>
      </c>
      <c r="B130" s="1188" t="s">
        <v>1898</v>
      </c>
      <c r="C130" s="1189">
        <v>195</v>
      </c>
      <c r="D130" s="1189">
        <v>1560</v>
      </c>
      <c r="E130" t="str">
        <f t="shared" si="2"/>
        <v>Credera US Consulting - L1 / A2-A3 | Analyst</v>
      </c>
    </row>
    <row r="131" spans="1:5" x14ac:dyDescent="0.3">
      <c r="A131" s="1188" t="s">
        <v>843</v>
      </c>
      <c r="B131" s="1188" t="s">
        <v>1880</v>
      </c>
      <c r="C131" s="1189">
        <v>200</v>
      </c>
      <c r="D131" s="1189">
        <v>1600</v>
      </c>
      <c r="E131" t="str">
        <f t="shared" si="2"/>
        <v>Credera US Consulting - L2 / B1-B3 | Consultant</v>
      </c>
    </row>
    <row r="132" spans="1:5" x14ac:dyDescent="0.3">
      <c r="A132" s="1188" t="s">
        <v>843</v>
      </c>
      <c r="B132" s="1188" t="s">
        <v>1881</v>
      </c>
      <c r="C132" s="1189">
        <v>240</v>
      </c>
      <c r="D132" s="1189">
        <v>1920</v>
      </c>
      <c r="E132" t="str">
        <f t="shared" si="2"/>
        <v>Credera US Consulting - L3 / C1-C2 | Senior Consultant</v>
      </c>
    </row>
    <row r="133" spans="1:5" x14ac:dyDescent="0.3">
      <c r="A133" s="1188" t="s">
        <v>843</v>
      </c>
      <c r="B133" s="1188" t="s">
        <v>1859</v>
      </c>
      <c r="C133" s="1189">
        <v>300</v>
      </c>
      <c r="D133" s="1189">
        <v>2400</v>
      </c>
      <c r="E133" t="str">
        <f t="shared" si="2"/>
        <v>Credera US Consulting - L4 / D1 | Architect</v>
      </c>
    </row>
    <row r="134" spans="1:5" x14ac:dyDescent="0.3">
      <c r="A134" s="1188" t="s">
        <v>843</v>
      </c>
      <c r="B134" s="1188" t="s">
        <v>1882</v>
      </c>
      <c r="C134" s="1189">
        <v>300</v>
      </c>
      <c r="D134" s="1189">
        <v>2400</v>
      </c>
      <c r="E134" t="str">
        <f t="shared" si="2"/>
        <v>Credera US Consulting - L4 / D1 | Manager</v>
      </c>
    </row>
    <row r="135" spans="1:5" x14ac:dyDescent="0.3">
      <c r="A135" s="1188" t="s">
        <v>843</v>
      </c>
      <c r="B135" s="1188" t="s">
        <v>1860</v>
      </c>
      <c r="C135" s="1189">
        <v>350</v>
      </c>
      <c r="D135" s="1189">
        <v>2800</v>
      </c>
      <c r="E135" t="str">
        <f t="shared" si="2"/>
        <v>Credera US Consulting - L5 / D2-E1 | Senior Architect</v>
      </c>
    </row>
    <row r="136" spans="1:5" x14ac:dyDescent="0.3">
      <c r="A136" s="1188" t="s">
        <v>843</v>
      </c>
      <c r="B136" s="1188" t="s">
        <v>1883</v>
      </c>
      <c r="C136" s="1189">
        <v>350</v>
      </c>
      <c r="D136" s="1189">
        <v>2800</v>
      </c>
      <c r="E136" t="str">
        <f t="shared" si="2"/>
        <v>Credera US Consulting - L5 / D2-E1 | Senior Manager</v>
      </c>
    </row>
    <row r="137" spans="1:5" x14ac:dyDescent="0.3">
      <c r="A137" s="1188" t="s">
        <v>843</v>
      </c>
      <c r="B137" s="1188" t="s">
        <v>1861</v>
      </c>
      <c r="C137" s="1189">
        <v>390</v>
      </c>
      <c r="D137" s="1189">
        <v>3120</v>
      </c>
      <c r="E137" t="str">
        <f t="shared" si="2"/>
        <v>Credera US Consulting - L6 / E2-S1 | Principal Architect</v>
      </c>
    </row>
    <row r="138" spans="1:5" x14ac:dyDescent="0.3">
      <c r="A138" s="1188" t="s">
        <v>843</v>
      </c>
      <c r="B138" s="1188" t="s">
        <v>1884</v>
      </c>
      <c r="C138" s="1189">
        <v>390</v>
      </c>
      <c r="D138" s="1189">
        <v>3120</v>
      </c>
      <c r="E138" t="str">
        <f t="shared" si="2"/>
        <v>Credera US Consulting - L6 / E2-S1 | Principal</v>
      </c>
    </row>
    <row r="139" spans="1:5" x14ac:dyDescent="0.3">
      <c r="A139" s="1188" t="s">
        <v>846</v>
      </c>
      <c r="B139" s="1188" t="s">
        <v>844</v>
      </c>
      <c r="C139" s="1189">
        <v>0</v>
      </c>
      <c r="D139" s="1189">
        <v>0</v>
      </c>
      <c r="E139" t="str">
        <f t="shared" si="2"/>
        <v>Credera US Digital - 0 | Contractor</v>
      </c>
    </row>
    <row r="140" spans="1:5" x14ac:dyDescent="0.3">
      <c r="A140" s="1188" t="s">
        <v>846</v>
      </c>
      <c r="B140" s="1188" t="s">
        <v>1897</v>
      </c>
      <c r="C140" s="1189">
        <v>90</v>
      </c>
      <c r="D140" s="1189">
        <v>720</v>
      </c>
      <c r="E140" t="str">
        <f t="shared" si="2"/>
        <v>Credera US Digital - L0 / A1 | Intern</v>
      </c>
    </row>
    <row r="141" spans="1:5" x14ac:dyDescent="0.3">
      <c r="A141" s="1188" t="s">
        <v>846</v>
      </c>
      <c r="B141" s="1188" t="s">
        <v>1898</v>
      </c>
      <c r="C141" s="1189">
        <v>195</v>
      </c>
      <c r="D141" s="1189">
        <v>1560</v>
      </c>
      <c r="E141" t="str">
        <f t="shared" si="2"/>
        <v>Credera US Digital - L1 / A2-A3 | Analyst</v>
      </c>
    </row>
    <row r="142" spans="1:5" x14ac:dyDescent="0.3">
      <c r="A142" s="1188" t="s">
        <v>846</v>
      </c>
      <c r="B142" s="1188" t="s">
        <v>1880</v>
      </c>
      <c r="C142" s="1189">
        <v>200</v>
      </c>
      <c r="D142" s="1189">
        <v>1600</v>
      </c>
      <c r="E142" t="str">
        <f t="shared" si="2"/>
        <v>Credera US Digital - L2 / B1-B3 | Consultant</v>
      </c>
    </row>
    <row r="143" spans="1:5" x14ac:dyDescent="0.3">
      <c r="A143" s="1188" t="s">
        <v>846</v>
      </c>
      <c r="B143" s="1188" t="s">
        <v>1881</v>
      </c>
      <c r="C143" s="1189">
        <v>240</v>
      </c>
      <c r="D143" s="1189">
        <v>1920</v>
      </c>
      <c r="E143" t="str">
        <f t="shared" si="2"/>
        <v>Credera US Digital - L3 / C1-C2 | Senior Consultant</v>
      </c>
    </row>
    <row r="144" spans="1:5" x14ac:dyDescent="0.3">
      <c r="A144" s="1188" t="s">
        <v>846</v>
      </c>
      <c r="B144" s="1188" t="s">
        <v>1859</v>
      </c>
      <c r="C144" s="1189">
        <v>300</v>
      </c>
      <c r="D144" s="1189">
        <v>2400</v>
      </c>
      <c r="E144" t="str">
        <f t="shared" si="2"/>
        <v>Credera US Digital - L4 / D1 | Architect</v>
      </c>
    </row>
    <row r="145" spans="1:5" x14ac:dyDescent="0.3">
      <c r="A145" s="1188" t="s">
        <v>846</v>
      </c>
      <c r="B145" s="1188" t="s">
        <v>1882</v>
      </c>
      <c r="C145" s="1189">
        <v>300</v>
      </c>
      <c r="D145" s="1189">
        <v>2400</v>
      </c>
      <c r="E145" t="str">
        <f t="shared" si="2"/>
        <v>Credera US Digital - L4 / D1 | Manager</v>
      </c>
    </row>
    <row r="146" spans="1:5" x14ac:dyDescent="0.3">
      <c r="A146" s="1188" t="s">
        <v>846</v>
      </c>
      <c r="B146" s="1188" t="s">
        <v>1860</v>
      </c>
      <c r="C146" s="1189">
        <v>350</v>
      </c>
      <c r="D146" s="1189">
        <v>2800</v>
      </c>
      <c r="E146" t="str">
        <f t="shared" si="2"/>
        <v>Credera US Digital - L5 / D2-E1 | Senior Architect</v>
      </c>
    </row>
    <row r="147" spans="1:5" x14ac:dyDescent="0.3">
      <c r="A147" s="1188" t="s">
        <v>846</v>
      </c>
      <c r="B147" s="1188" t="s">
        <v>1883</v>
      </c>
      <c r="C147" s="1189">
        <v>350</v>
      </c>
      <c r="D147" s="1189">
        <v>2800</v>
      </c>
      <c r="E147" t="str">
        <f t="shared" si="2"/>
        <v>Credera US Digital - L5 / D2-E1 | Senior Manager</v>
      </c>
    </row>
    <row r="148" spans="1:5" x14ac:dyDescent="0.3">
      <c r="A148" s="1188" t="s">
        <v>846</v>
      </c>
      <c r="B148" s="1188" t="s">
        <v>1861</v>
      </c>
      <c r="C148" s="1189">
        <v>390</v>
      </c>
      <c r="D148" s="1189">
        <v>3120</v>
      </c>
      <c r="E148" t="str">
        <f t="shared" si="2"/>
        <v>Credera US Digital - L6 / E2-S1 | Principal Architect</v>
      </c>
    </row>
    <row r="149" spans="1:5" x14ac:dyDescent="0.3">
      <c r="A149" s="1188" t="s">
        <v>846</v>
      </c>
      <c r="B149" s="1188" t="s">
        <v>1884</v>
      </c>
      <c r="C149" s="1189">
        <v>390</v>
      </c>
      <c r="D149" s="1189">
        <v>3120</v>
      </c>
      <c r="E149" t="str">
        <f t="shared" si="2"/>
        <v>Credera US Digital - L6 / E2-S1 | Principal</v>
      </c>
    </row>
    <row r="150" spans="1:5" x14ac:dyDescent="0.3">
      <c r="A150" s="1188" t="s">
        <v>847</v>
      </c>
      <c r="B150" s="1188" t="s">
        <v>1899</v>
      </c>
      <c r="C150" s="1189">
        <v>465</v>
      </c>
      <c r="D150" s="1189">
        <v>3720</v>
      </c>
      <c r="E150" t="str">
        <f t="shared" si="2"/>
        <v>Credera US Partner - L7 / S2-EX3 | Partner</v>
      </c>
    </row>
    <row r="151" spans="1:5" x14ac:dyDescent="0.3">
      <c r="A151" s="1188" t="s">
        <v>847</v>
      </c>
      <c r="B151" s="1188" t="s">
        <v>1900</v>
      </c>
      <c r="C151" s="1189">
        <v>465</v>
      </c>
      <c r="D151" s="1189">
        <v>3720</v>
      </c>
      <c r="E151" t="str">
        <f t="shared" si="2"/>
        <v>Credera US Partner - L7 / S2-EX3 | Corporate Executive</v>
      </c>
    </row>
    <row r="152" spans="1:5" x14ac:dyDescent="0.3">
      <c r="A152" s="1188" t="s">
        <v>847</v>
      </c>
      <c r="B152" s="1188" t="s">
        <v>1901</v>
      </c>
      <c r="C152" s="1189">
        <v>465</v>
      </c>
      <c r="D152" s="1189">
        <v>3720</v>
      </c>
      <c r="E152" t="str">
        <f t="shared" ref="E152:E215" si="3">CONCATENATE(A152," - ",B152)</f>
        <v>Credera US Partner - L7 / S2-EX3 | Partner &amp; Chief Data Scientist</v>
      </c>
    </row>
    <row r="153" spans="1:5" x14ac:dyDescent="0.3">
      <c r="A153" s="1188" t="s">
        <v>847</v>
      </c>
      <c r="B153" s="1188" t="s">
        <v>1902</v>
      </c>
      <c r="C153" s="1189">
        <v>465</v>
      </c>
      <c r="D153" s="1189">
        <v>3720</v>
      </c>
      <c r="E153" t="str">
        <f t="shared" si="3"/>
        <v>Credera US Partner - L7 / S2-EX3 | Partner &amp; Chief Diversity Officer</v>
      </c>
    </row>
    <row r="154" spans="1:5" x14ac:dyDescent="0.3">
      <c r="A154" s="1188" t="s">
        <v>847</v>
      </c>
      <c r="B154" s="1188" t="s">
        <v>1903</v>
      </c>
      <c r="C154" s="1189">
        <v>465</v>
      </c>
      <c r="D154" s="1189">
        <v>3720</v>
      </c>
      <c r="E154" t="str">
        <f t="shared" si="3"/>
        <v>Credera US Partner - L7 / S2-EX3 | Partner &amp; Chief Technology Officer</v>
      </c>
    </row>
    <row r="155" spans="1:5" x14ac:dyDescent="0.3">
      <c r="A155" s="1188" t="s">
        <v>847</v>
      </c>
      <c r="B155" s="1188" t="s">
        <v>1904</v>
      </c>
      <c r="C155" s="1189">
        <v>465</v>
      </c>
      <c r="D155" s="1189">
        <v>3720</v>
      </c>
      <c r="E155" t="str">
        <f t="shared" si="3"/>
        <v>Credera US Partner - L7 / S2-EX3 | Global COO</v>
      </c>
    </row>
    <row r="156" spans="1:5" x14ac:dyDescent="0.3">
      <c r="A156" s="1188" t="s">
        <v>847</v>
      </c>
      <c r="B156" s="1188" t="s">
        <v>1905</v>
      </c>
      <c r="C156" s="1189">
        <v>465</v>
      </c>
      <c r="D156" s="1189">
        <v>3720</v>
      </c>
      <c r="E156" t="str">
        <f t="shared" si="3"/>
        <v>Credera US Partner - L7 / S2-EX3 | Global Chief People Officer</v>
      </c>
    </row>
    <row r="157" spans="1:5" x14ac:dyDescent="0.3">
      <c r="A157" s="1188" t="s">
        <v>847</v>
      </c>
      <c r="B157" s="1188" t="s">
        <v>1906</v>
      </c>
      <c r="C157" s="1189">
        <v>465</v>
      </c>
      <c r="D157" s="1189">
        <v>3720</v>
      </c>
      <c r="E157" t="str">
        <f t="shared" si="3"/>
        <v>Credera US Partner - L7 / S2-EX3 | Global CFO</v>
      </c>
    </row>
    <row r="158" spans="1:5" x14ac:dyDescent="0.3">
      <c r="A158" s="1188" t="s">
        <v>847</v>
      </c>
      <c r="B158" s="1188" t="s">
        <v>1907</v>
      </c>
      <c r="C158" s="1189">
        <v>465</v>
      </c>
      <c r="D158" s="1189">
        <v>3720</v>
      </c>
      <c r="E158" t="str">
        <f t="shared" si="3"/>
        <v>Credera US Partner - L7 / S2-EX3 | US Chief Operations Officer</v>
      </c>
    </row>
    <row r="159" spans="1:5" x14ac:dyDescent="0.3">
      <c r="A159" s="1188" t="s">
        <v>847</v>
      </c>
      <c r="B159" s="1188" t="s">
        <v>1908</v>
      </c>
      <c r="C159" s="1189">
        <v>465</v>
      </c>
      <c r="D159" s="1189">
        <v>3720</v>
      </c>
      <c r="E159" t="str">
        <f t="shared" si="3"/>
        <v>Credera US Partner - L7 / S2-EX3 | President &amp; CEO</v>
      </c>
    </row>
    <row r="160" spans="1:5" x14ac:dyDescent="0.3">
      <c r="A160" s="1188" t="s">
        <v>847</v>
      </c>
      <c r="B160" s="1188" t="s">
        <v>1909</v>
      </c>
      <c r="C160" s="1189">
        <v>465</v>
      </c>
      <c r="D160" s="1189">
        <v>3720</v>
      </c>
      <c r="E160" t="str">
        <f t="shared" si="3"/>
        <v>Credera US Partner - L7 / S2-EX3 | Global Chief Growth Officer</v>
      </c>
    </row>
    <row r="161" spans="1:5" x14ac:dyDescent="0.3">
      <c r="A161" s="1188" t="s">
        <v>847</v>
      </c>
      <c r="B161" s="1188" t="s">
        <v>1910</v>
      </c>
      <c r="C161" s="1189">
        <v>465</v>
      </c>
      <c r="D161" s="1189">
        <v>3720</v>
      </c>
      <c r="E161" t="str">
        <f t="shared" si="3"/>
        <v>Credera US Partner - L7 / S2-EX3 | Partner &amp; Chief Innovation Officer</v>
      </c>
    </row>
    <row r="162" spans="1:5" x14ac:dyDescent="0.3">
      <c r="A162" s="1188" t="s">
        <v>847</v>
      </c>
      <c r="B162" s="1188" t="s">
        <v>1911</v>
      </c>
      <c r="C162" s="1189">
        <v>465</v>
      </c>
      <c r="D162" s="1189">
        <v>3720</v>
      </c>
      <c r="E162" t="str">
        <f t="shared" si="3"/>
        <v>Credera US Partner - L7 / S2-EX3 | Partner &amp; Chief Digital Officer</v>
      </c>
    </row>
    <row r="163" spans="1:5" x14ac:dyDescent="0.3">
      <c r="A163" s="1188" t="s">
        <v>847</v>
      </c>
      <c r="B163" s="1188" t="s">
        <v>1912</v>
      </c>
      <c r="C163" s="1189">
        <v>465</v>
      </c>
      <c r="D163" s="1189">
        <v>3720</v>
      </c>
      <c r="E163" t="str">
        <f t="shared" si="3"/>
        <v>Credera US Partner - L7 / S2-EX3 | CEO, Asia Pacific</v>
      </c>
    </row>
    <row r="164" spans="1:5" x14ac:dyDescent="0.3">
      <c r="A164" s="1188" t="s">
        <v>847</v>
      </c>
      <c r="B164" s="1188" t="s">
        <v>1913</v>
      </c>
      <c r="C164" s="1189">
        <v>465</v>
      </c>
      <c r="D164" s="1189">
        <v>3720</v>
      </c>
      <c r="E164" t="str">
        <f t="shared" si="3"/>
        <v>Credera US Partner - L7 / S2-EX3 | Partner &amp; Global Digital Lead</v>
      </c>
    </row>
    <row r="165" spans="1:5" x14ac:dyDescent="0.3">
      <c r="A165" s="1188" t="s">
        <v>858</v>
      </c>
      <c r="B165" s="1188" t="s">
        <v>859</v>
      </c>
      <c r="C165" s="1189">
        <v>0</v>
      </c>
      <c r="D165" s="1189">
        <v>0</v>
      </c>
      <c r="E165" t="str">
        <f t="shared" si="3"/>
        <v>LeapPoint - LeapPoint Resource</v>
      </c>
    </row>
    <row r="166" spans="1:5" x14ac:dyDescent="0.3">
      <c r="A166" s="1188" t="s">
        <v>860</v>
      </c>
      <c r="B166" s="1188" t="s">
        <v>861</v>
      </c>
      <c r="C166" s="1189">
        <v>0</v>
      </c>
      <c r="D166" s="1189">
        <v>0</v>
      </c>
      <c r="E166" t="str">
        <f t="shared" si="3"/>
        <v>Other Intercompany - OMC Resource</v>
      </c>
    </row>
    <row r="167" spans="1:5" x14ac:dyDescent="0.3">
      <c r="A167" s="1188" t="s">
        <v>862</v>
      </c>
      <c r="B167" s="1188" t="s">
        <v>780</v>
      </c>
      <c r="C167" s="1189">
        <v>0</v>
      </c>
      <c r="D167" s="1189">
        <v>0</v>
      </c>
      <c r="E167" t="str">
        <f t="shared" si="3"/>
        <v>TADigital Business Enablement - C | Corporate Staff</v>
      </c>
    </row>
    <row r="168" spans="1:5" x14ac:dyDescent="0.3">
      <c r="A168" s="1188" t="s">
        <v>863</v>
      </c>
      <c r="B168" s="1188" t="s">
        <v>1855</v>
      </c>
      <c r="C168" s="1189">
        <v>36</v>
      </c>
      <c r="D168" s="1189">
        <v>288</v>
      </c>
      <c r="E168" t="str">
        <f t="shared" si="3"/>
        <v>TADigital India Consulting | Cloud &amp; Engineering - L2 / B1-B3 | Associate Engineer</v>
      </c>
    </row>
    <row r="169" spans="1:5" x14ac:dyDescent="0.3">
      <c r="A169" s="1188" t="s">
        <v>863</v>
      </c>
      <c r="B169" s="1188" t="s">
        <v>1856</v>
      </c>
      <c r="C169" s="1189">
        <v>57</v>
      </c>
      <c r="D169" s="1189">
        <v>456</v>
      </c>
      <c r="E169" t="str">
        <f t="shared" si="3"/>
        <v>TADigital India Consulting | Cloud &amp; Engineering - L2 / B1-B3 | Engineer</v>
      </c>
    </row>
    <row r="170" spans="1:5" x14ac:dyDescent="0.3">
      <c r="A170" s="1188" t="s">
        <v>863</v>
      </c>
      <c r="B170" s="1188" t="s">
        <v>1857</v>
      </c>
      <c r="C170" s="1189">
        <v>87</v>
      </c>
      <c r="D170" s="1189">
        <v>696</v>
      </c>
      <c r="E170" t="str">
        <f t="shared" si="3"/>
        <v>TADigital India Consulting | Cloud &amp; Engineering - L3 / C1-C2 | Senior Engineer</v>
      </c>
    </row>
    <row r="171" spans="1:5" x14ac:dyDescent="0.3">
      <c r="A171" s="1188" t="s">
        <v>863</v>
      </c>
      <c r="B171" s="1188" t="s">
        <v>1858</v>
      </c>
      <c r="C171" s="1189">
        <v>103</v>
      </c>
      <c r="D171" s="1189">
        <v>824</v>
      </c>
      <c r="E171" t="str">
        <f t="shared" si="3"/>
        <v>TADigital India Consulting | Cloud &amp; Engineering - L3 / C1-C2 | Lead Engineer</v>
      </c>
    </row>
    <row r="172" spans="1:5" x14ac:dyDescent="0.3">
      <c r="A172" s="1188" t="s">
        <v>863</v>
      </c>
      <c r="B172" s="1188" t="s">
        <v>1859</v>
      </c>
      <c r="C172" s="1189">
        <v>120</v>
      </c>
      <c r="D172" s="1189">
        <v>960</v>
      </c>
      <c r="E172" t="str">
        <f t="shared" si="3"/>
        <v>TADigital India Consulting | Cloud &amp; Engineering - L4 / D1 | Architect</v>
      </c>
    </row>
    <row r="173" spans="1:5" x14ac:dyDescent="0.3">
      <c r="A173" s="1188" t="s">
        <v>863</v>
      </c>
      <c r="B173" s="1188" t="s">
        <v>1860</v>
      </c>
      <c r="C173" s="1189">
        <v>148</v>
      </c>
      <c r="D173" s="1189">
        <v>1184</v>
      </c>
      <c r="E173" t="str">
        <f t="shared" si="3"/>
        <v>TADigital India Consulting | Cloud &amp; Engineering - L5 / D2-E1 | Senior Architect</v>
      </c>
    </row>
    <row r="174" spans="1:5" x14ac:dyDescent="0.3">
      <c r="A174" s="1188" t="s">
        <v>863</v>
      </c>
      <c r="B174" s="1188" t="s">
        <v>1861</v>
      </c>
      <c r="C174" s="1189">
        <v>165</v>
      </c>
      <c r="D174" s="1189">
        <v>1320</v>
      </c>
      <c r="E174" t="str">
        <f t="shared" si="3"/>
        <v>TADigital India Consulting | Cloud &amp; Engineering - L6 / E2-S1 | Principal Architect</v>
      </c>
    </row>
    <row r="175" spans="1:5" x14ac:dyDescent="0.3">
      <c r="A175" s="1188" t="s">
        <v>864</v>
      </c>
      <c r="B175" s="1188" t="s">
        <v>1862</v>
      </c>
      <c r="C175" s="1189">
        <v>30</v>
      </c>
      <c r="D175" s="1189">
        <v>240</v>
      </c>
      <c r="E175" t="str">
        <f t="shared" si="3"/>
        <v>TADigital India Consulting | Content - L2 / B1-B3 | Associate Content Engineer</v>
      </c>
    </row>
    <row r="176" spans="1:5" x14ac:dyDescent="0.3">
      <c r="A176" s="1188" t="s">
        <v>864</v>
      </c>
      <c r="B176" s="1188" t="s">
        <v>1863</v>
      </c>
      <c r="C176" s="1189">
        <v>49</v>
      </c>
      <c r="D176" s="1189">
        <v>392</v>
      </c>
      <c r="E176" t="str">
        <f t="shared" si="3"/>
        <v>TADigital India Consulting | Content - L2 / B1-B3 | Content Engineer</v>
      </c>
    </row>
    <row r="177" spans="1:5" x14ac:dyDescent="0.3">
      <c r="A177" s="1188" t="s">
        <v>864</v>
      </c>
      <c r="B177" s="1188" t="s">
        <v>1864</v>
      </c>
      <c r="C177" s="1189">
        <v>56</v>
      </c>
      <c r="D177" s="1189">
        <v>448</v>
      </c>
      <c r="E177" t="str">
        <f t="shared" si="3"/>
        <v>TADigital India Consulting | Content - L3 / C1-C2 | Senior Content Engineer</v>
      </c>
    </row>
    <row r="178" spans="1:5" x14ac:dyDescent="0.3">
      <c r="A178" s="1188" t="s">
        <v>864</v>
      </c>
      <c r="B178" s="1188" t="s">
        <v>1865</v>
      </c>
      <c r="C178" s="1189">
        <v>69</v>
      </c>
      <c r="D178" s="1189">
        <v>552</v>
      </c>
      <c r="E178" t="str">
        <f t="shared" si="3"/>
        <v>TADigital India Consulting | Content - L3 / C1-C2 | Lead Content Engineer</v>
      </c>
    </row>
    <row r="179" spans="1:5" x14ac:dyDescent="0.3">
      <c r="A179" s="1188" t="s">
        <v>865</v>
      </c>
      <c r="B179" s="1188" t="s">
        <v>1855</v>
      </c>
      <c r="C179" s="1189">
        <v>36</v>
      </c>
      <c r="D179" s="1189">
        <v>288</v>
      </c>
      <c r="E179" t="str">
        <f t="shared" si="3"/>
        <v>TADigital India Consulting | Data &amp; AI - L2 / B1-B3 | Associate Engineer</v>
      </c>
    </row>
    <row r="180" spans="1:5" x14ac:dyDescent="0.3">
      <c r="A180" s="1188" t="s">
        <v>865</v>
      </c>
      <c r="B180" s="1188" t="s">
        <v>1856</v>
      </c>
      <c r="C180" s="1189">
        <v>63</v>
      </c>
      <c r="D180" s="1189">
        <v>504</v>
      </c>
      <c r="E180" t="str">
        <f t="shared" si="3"/>
        <v>TADigital India Consulting | Data &amp; AI - L2 / B1-B3 | Engineer</v>
      </c>
    </row>
    <row r="181" spans="1:5" x14ac:dyDescent="0.3">
      <c r="A181" s="1188" t="s">
        <v>865</v>
      </c>
      <c r="B181" s="1188" t="s">
        <v>1857</v>
      </c>
      <c r="C181" s="1189">
        <v>96</v>
      </c>
      <c r="D181" s="1189">
        <v>768</v>
      </c>
      <c r="E181" t="str">
        <f t="shared" si="3"/>
        <v>TADigital India Consulting | Data &amp; AI - L3 / C1-C2 | Senior Engineer</v>
      </c>
    </row>
    <row r="182" spans="1:5" x14ac:dyDescent="0.3">
      <c r="A182" s="1188" t="s">
        <v>865</v>
      </c>
      <c r="B182" s="1188" t="s">
        <v>1858</v>
      </c>
      <c r="C182" s="1189">
        <v>111</v>
      </c>
      <c r="D182" s="1189">
        <v>888</v>
      </c>
      <c r="E182" t="str">
        <f t="shared" si="3"/>
        <v>TADigital India Consulting | Data &amp; AI - L3 / C1-C2 | Lead Engineer</v>
      </c>
    </row>
    <row r="183" spans="1:5" x14ac:dyDescent="0.3">
      <c r="A183" s="1188" t="s">
        <v>865</v>
      </c>
      <c r="B183" s="1188" t="s">
        <v>1859</v>
      </c>
      <c r="C183" s="1189">
        <v>120</v>
      </c>
      <c r="D183" s="1189">
        <v>960</v>
      </c>
      <c r="E183" t="str">
        <f t="shared" si="3"/>
        <v>TADigital India Consulting | Data &amp; AI - L4 / D1 | Architect</v>
      </c>
    </row>
    <row r="184" spans="1:5" x14ac:dyDescent="0.3">
      <c r="A184" s="1188" t="s">
        <v>865</v>
      </c>
      <c r="B184" s="1188" t="s">
        <v>1860</v>
      </c>
      <c r="C184" s="1189">
        <v>148</v>
      </c>
      <c r="D184" s="1189">
        <v>1184</v>
      </c>
      <c r="E184" t="str">
        <f t="shared" si="3"/>
        <v>TADigital India Consulting | Data &amp; AI - L5 / D2-E1 | Senior Architect</v>
      </c>
    </row>
    <row r="185" spans="1:5" x14ac:dyDescent="0.3">
      <c r="A185" s="1188" t="s">
        <v>865</v>
      </c>
      <c r="B185" s="1188" t="s">
        <v>1861</v>
      </c>
      <c r="C185" s="1189">
        <v>165</v>
      </c>
      <c r="D185" s="1189">
        <v>1320</v>
      </c>
      <c r="E185" t="str">
        <f t="shared" si="3"/>
        <v>TADigital India Consulting | Data &amp; AI - L6 / E2-S1 | Principal Architect</v>
      </c>
    </row>
    <row r="186" spans="1:5" x14ac:dyDescent="0.3">
      <c r="A186" s="1188" t="s">
        <v>866</v>
      </c>
      <c r="B186" s="1188" t="s">
        <v>1866</v>
      </c>
      <c r="C186" s="1189">
        <v>36</v>
      </c>
      <c r="D186" s="1189">
        <v>288</v>
      </c>
      <c r="E186" t="str">
        <f t="shared" si="3"/>
        <v>TADigital India Consulting | Experience Design - L2 / B1-B3 | Strategist</v>
      </c>
    </row>
    <row r="187" spans="1:5" x14ac:dyDescent="0.3">
      <c r="A187" s="1188" t="s">
        <v>866</v>
      </c>
      <c r="B187" s="1188" t="s">
        <v>1867</v>
      </c>
      <c r="C187" s="1189">
        <v>73</v>
      </c>
      <c r="D187" s="1189">
        <v>584</v>
      </c>
      <c r="E187" t="str">
        <f t="shared" si="3"/>
        <v>TADigital India Consulting | Experience Design - L3 / C1-C2 | Senior Strategist</v>
      </c>
    </row>
    <row r="188" spans="1:5" x14ac:dyDescent="0.3">
      <c r="A188" s="1188" t="s">
        <v>866</v>
      </c>
      <c r="B188" s="1188" t="s">
        <v>1868</v>
      </c>
      <c r="C188" s="1189">
        <v>86</v>
      </c>
      <c r="D188" s="1189">
        <v>688</v>
      </c>
      <c r="E188" t="str">
        <f t="shared" si="3"/>
        <v>TADigital India Consulting | Experience Design - L4 / D1 | Strategy Manager</v>
      </c>
    </row>
    <row r="189" spans="1:5" x14ac:dyDescent="0.3">
      <c r="A189" s="1188" t="s">
        <v>866</v>
      </c>
      <c r="B189" s="1188" t="s">
        <v>1869</v>
      </c>
      <c r="C189" s="1189">
        <v>36</v>
      </c>
      <c r="D189" s="1189">
        <v>288</v>
      </c>
      <c r="E189" t="str">
        <f t="shared" si="3"/>
        <v>TADigital India Consulting | Experience Design - L2 / B1-B3 | Designer</v>
      </c>
    </row>
    <row r="190" spans="1:5" x14ac:dyDescent="0.3">
      <c r="A190" s="1188" t="s">
        <v>866</v>
      </c>
      <c r="B190" s="1188" t="s">
        <v>1870</v>
      </c>
      <c r="C190" s="1189">
        <v>53</v>
      </c>
      <c r="D190" s="1189">
        <v>424</v>
      </c>
      <c r="E190" t="str">
        <f t="shared" si="3"/>
        <v>TADigital India Consulting | Experience Design - L3 / C1-C2 | Senior Designer</v>
      </c>
    </row>
    <row r="191" spans="1:5" x14ac:dyDescent="0.3">
      <c r="A191" s="1188" t="s">
        <v>866</v>
      </c>
      <c r="B191" s="1188" t="s">
        <v>1871</v>
      </c>
      <c r="C191" s="1189">
        <v>82</v>
      </c>
      <c r="D191" s="1189">
        <v>656</v>
      </c>
      <c r="E191" t="str">
        <f t="shared" si="3"/>
        <v>TADigital India Consulting | Experience Design - L4 / D1 | Associate Design Director</v>
      </c>
    </row>
    <row r="192" spans="1:5" x14ac:dyDescent="0.3">
      <c r="A192" s="1188" t="s">
        <v>866</v>
      </c>
      <c r="B192" s="1188" t="s">
        <v>1872</v>
      </c>
      <c r="C192" s="1189">
        <v>106</v>
      </c>
      <c r="D192" s="1189">
        <v>848</v>
      </c>
      <c r="E192" t="str">
        <f t="shared" si="3"/>
        <v>TADigital India Consulting | Experience Design - L5 / D2-E1 | Lead Design Director</v>
      </c>
    </row>
    <row r="193" spans="1:5" x14ac:dyDescent="0.3">
      <c r="A193" s="1188" t="s">
        <v>866</v>
      </c>
      <c r="B193" s="1188" t="s">
        <v>1873</v>
      </c>
      <c r="C193" s="1189">
        <v>126</v>
      </c>
      <c r="D193" s="1189">
        <v>1008</v>
      </c>
      <c r="E193" t="str">
        <f t="shared" si="3"/>
        <v>TADigital India Consulting | Experience Design - L5 / D2-E1 | Principal Design Director</v>
      </c>
    </row>
    <row r="194" spans="1:5" x14ac:dyDescent="0.3">
      <c r="A194" s="1188" t="s">
        <v>866</v>
      </c>
      <c r="B194" s="1188" t="s">
        <v>1874</v>
      </c>
      <c r="C194" s="1189">
        <v>162</v>
      </c>
      <c r="D194" s="1189">
        <v>1296</v>
      </c>
      <c r="E194" t="str">
        <f t="shared" si="3"/>
        <v>TADigital India Consulting | Experience Design - L6 / E2-S1 | Director</v>
      </c>
    </row>
    <row r="195" spans="1:5" x14ac:dyDescent="0.3">
      <c r="A195" s="1188" t="s">
        <v>867</v>
      </c>
      <c r="B195" s="1188" t="s">
        <v>1875</v>
      </c>
      <c r="C195" s="1189">
        <v>67</v>
      </c>
      <c r="D195" s="1189">
        <v>536</v>
      </c>
      <c r="E195" t="str">
        <f t="shared" si="3"/>
        <v>TADigital India Consulting | Management Consulting - L3 / C1-C2 | Scrum Master</v>
      </c>
    </row>
    <row r="196" spans="1:5" x14ac:dyDescent="0.3">
      <c r="A196" s="1188" t="s">
        <v>867</v>
      </c>
      <c r="B196" s="1188" t="s">
        <v>1876</v>
      </c>
      <c r="C196" s="1189">
        <v>82</v>
      </c>
      <c r="D196" s="1189">
        <v>656</v>
      </c>
      <c r="E196" t="str">
        <f t="shared" si="3"/>
        <v>TADigital India Consulting | Management Consulting - L5 / D2-E1 | Senior Scrum Master</v>
      </c>
    </row>
    <row r="197" spans="1:5" x14ac:dyDescent="0.3">
      <c r="A197" s="1188" t="s">
        <v>867</v>
      </c>
      <c r="B197" s="1188" t="s">
        <v>1877</v>
      </c>
      <c r="C197" s="1189">
        <v>98</v>
      </c>
      <c r="D197" s="1189">
        <v>784</v>
      </c>
      <c r="E197" t="str">
        <f t="shared" si="3"/>
        <v>TADigital India Consulting | Management Consulting - L4 / D1 | Project Manager</v>
      </c>
    </row>
    <row r="198" spans="1:5" x14ac:dyDescent="0.3">
      <c r="A198" s="1188" t="s">
        <v>867</v>
      </c>
      <c r="B198" s="1188" t="s">
        <v>1878</v>
      </c>
      <c r="C198" s="1189">
        <v>106</v>
      </c>
      <c r="D198" s="1189">
        <v>848</v>
      </c>
      <c r="E198" t="str">
        <f t="shared" si="3"/>
        <v>TADigital India Consulting | Management Consulting - L5 / D2-E1 | Senior Project Manager</v>
      </c>
    </row>
    <row r="199" spans="1:5" x14ac:dyDescent="0.3">
      <c r="A199" s="1188" t="s">
        <v>867</v>
      </c>
      <c r="B199" s="1188" t="s">
        <v>1879</v>
      </c>
      <c r="C199" s="1189">
        <v>130</v>
      </c>
      <c r="D199" s="1189">
        <v>1040</v>
      </c>
      <c r="E199" t="str">
        <f t="shared" si="3"/>
        <v>TADigital India Consulting | Management Consulting - L6 / E2-S1 | Delivery Manager</v>
      </c>
    </row>
    <row r="200" spans="1:5" x14ac:dyDescent="0.3">
      <c r="A200" s="1188" t="s">
        <v>867</v>
      </c>
      <c r="B200" s="1188" t="s">
        <v>1880</v>
      </c>
      <c r="C200" s="1189">
        <v>71</v>
      </c>
      <c r="D200" s="1189">
        <v>568</v>
      </c>
      <c r="E200" t="str">
        <f t="shared" si="3"/>
        <v>TADigital India Consulting | Management Consulting - L2 / B1-B3 | Consultant</v>
      </c>
    </row>
    <row r="201" spans="1:5" x14ac:dyDescent="0.3">
      <c r="A201" s="1188" t="s">
        <v>867</v>
      </c>
      <c r="B201" s="1188" t="s">
        <v>1881</v>
      </c>
      <c r="C201" s="1189">
        <v>79</v>
      </c>
      <c r="D201" s="1189">
        <v>632</v>
      </c>
      <c r="E201" t="str">
        <f t="shared" si="3"/>
        <v>TADigital India Consulting | Management Consulting - L3 / C1-C2 | Senior Consultant</v>
      </c>
    </row>
    <row r="202" spans="1:5" x14ac:dyDescent="0.3">
      <c r="A202" s="1188" t="s">
        <v>867</v>
      </c>
      <c r="B202" s="1188" t="s">
        <v>1882</v>
      </c>
      <c r="C202" s="1189">
        <v>103</v>
      </c>
      <c r="D202" s="1189">
        <v>824</v>
      </c>
      <c r="E202" t="str">
        <f t="shared" si="3"/>
        <v>TADigital India Consulting | Management Consulting - L4 / D1 | Manager</v>
      </c>
    </row>
    <row r="203" spans="1:5" x14ac:dyDescent="0.3">
      <c r="A203" s="1188" t="s">
        <v>867</v>
      </c>
      <c r="B203" s="1188" t="s">
        <v>1883</v>
      </c>
      <c r="C203" s="1189">
        <v>106</v>
      </c>
      <c r="D203" s="1189">
        <v>848</v>
      </c>
      <c r="E203" t="str">
        <f t="shared" si="3"/>
        <v>TADigital India Consulting | Management Consulting - L5 / D2-E1 | Senior Manager</v>
      </c>
    </row>
    <row r="204" spans="1:5" x14ac:dyDescent="0.3">
      <c r="A204" s="1188" t="s">
        <v>867</v>
      </c>
      <c r="B204" s="1188" t="s">
        <v>1884</v>
      </c>
      <c r="C204" s="1189">
        <v>130</v>
      </c>
      <c r="D204" s="1189">
        <v>1040</v>
      </c>
      <c r="E204" t="str">
        <f t="shared" si="3"/>
        <v>TADigital India Consulting | Management Consulting - L6 / E2-S1 | Principal</v>
      </c>
    </row>
    <row r="205" spans="1:5" x14ac:dyDescent="0.3">
      <c r="A205" s="1188" t="s">
        <v>868</v>
      </c>
      <c r="B205" s="1188" t="s">
        <v>1885</v>
      </c>
      <c r="C205" s="1189">
        <v>30</v>
      </c>
      <c r="D205" s="1189">
        <v>240</v>
      </c>
      <c r="E205" t="str">
        <f t="shared" si="3"/>
        <v>TADigital India Consulting | Quality Assurance - L2 / B1-B3 | Associate QA Engineer</v>
      </c>
    </row>
    <row r="206" spans="1:5" x14ac:dyDescent="0.3">
      <c r="A206" s="1188" t="s">
        <v>868</v>
      </c>
      <c r="B206" s="1188" t="s">
        <v>1886</v>
      </c>
      <c r="C206" s="1189">
        <v>49</v>
      </c>
      <c r="D206" s="1189">
        <v>392</v>
      </c>
      <c r="E206" t="str">
        <f t="shared" si="3"/>
        <v>TADigital India Consulting | Quality Assurance - L2 / B1-B3 | QA Engineer</v>
      </c>
    </row>
    <row r="207" spans="1:5" x14ac:dyDescent="0.3">
      <c r="A207" s="1188" t="s">
        <v>868</v>
      </c>
      <c r="B207" s="1188" t="s">
        <v>1887</v>
      </c>
      <c r="C207" s="1189">
        <v>56</v>
      </c>
      <c r="D207" s="1189">
        <v>448</v>
      </c>
      <c r="E207" t="str">
        <f t="shared" si="3"/>
        <v>TADigital India Consulting | Quality Assurance - L3 / C1-C2 | Senior QA Engineer</v>
      </c>
    </row>
    <row r="208" spans="1:5" x14ac:dyDescent="0.3">
      <c r="A208" s="1188" t="s">
        <v>868</v>
      </c>
      <c r="B208" s="1188" t="s">
        <v>1888</v>
      </c>
      <c r="C208" s="1189">
        <v>69</v>
      </c>
      <c r="D208" s="1189">
        <v>552</v>
      </c>
      <c r="E208" t="str">
        <f t="shared" si="3"/>
        <v>TADigital India Consulting | Quality Assurance - L3 / C1-C2 | Lead QA Engineer</v>
      </c>
    </row>
    <row r="209" spans="1:5" x14ac:dyDescent="0.3">
      <c r="A209" s="1188" t="s">
        <v>868</v>
      </c>
      <c r="B209" s="1188" t="s">
        <v>1889</v>
      </c>
      <c r="C209" s="1189">
        <v>78</v>
      </c>
      <c r="D209" s="1189">
        <v>624</v>
      </c>
      <c r="E209" t="str">
        <f t="shared" si="3"/>
        <v>TADigital India Consulting | Quality Assurance - L4 / D1 | QA Architect</v>
      </c>
    </row>
    <row r="210" spans="1:5" x14ac:dyDescent="0.3">
      <c r="A210" s="1188" t="s">
        <v>868</v>
      </c>
      <c r="B210" s="1188" t="s">
        <v>1890</v>
      </c>
      <c r="C210" s="1189">
        <v>93</v>
      </c>
      <c r="D210" s="1189">
        <v>744</v>
      </c>
      <c r="E210" t="str">
        <f t="shared" si="3"/>
        <v>TADigital India Consulting | Quality Assurance - L5 / D2-E1 | Senior QA Architect</v>
      </c>
    </row>
    <row r="211" spans="1:5" x14ac:dyDescent="0.3">
      <c r="A211" s="1188" t="s">
        <v>868</v>
      </c>
      <c r="B211" s="1188" t="s">
        <v>1891</v>
      </c>
      <c r="C211" s="1189">
        <v>105</v>
      </c>
      <c r="D211" s="1189">
        <v>840</v>
      </c>
      <c r="E211" t="str">
        <f t="shared" si="3"/>
        <v>TADigital India Consulting | Quality Assurance - L6 / E2-S1 | Principal QA Architect</v>
      </c>
    </row>
    <row r="212" spans="1:5" x14ac:dyDescent="0.3">
      <c r="A212" s="1188" t="s">
        <v>869</v>
      </c>
      <c r="B212" s="1188" t="s">
        <v>1855</v>
      </c>
      <c r="C212" s="1189">
        <v>36</v>
      </c>
      <c r="D212" s="1189">
        <v>288</v>
      </c>
      <c r="E212" t="str">
        <f t="shared" si="3"/>
        <v>TADigital India Digital | MarTech - L2 / B1-B3 | Associate Engineer</v>
      </c>
    </row>
    <row r="213" spans="1:5" x14ac:dyDescent="0.3">
      <c r="A213" s="1188" t="s">
        <v>869</v>
      </c>
      <c r="B213" s="1188" t="s">
        <v>1856</v>
      </c>
      <c r="C213" s="1189">
        <v>55</v>
      </c>
      <c r="D213" s="1189">
        <v>440</v>
      </c>
      <c r="E213" t="str">
        <f t="shared" si="3"/>
        <v>TADigital India Digital | MarTech - L2 / B1-B3 | Engineer</v>
      </c>
    </row>
    <row r="214" spans="1:5" x14ac:dyDescent="0.3">
      <c r="A214" s="1188" t="s">
        <v>869</v>
      </c>
      <c r="B214" s="1188" t="s">
        <v>1857</v>
      </c>
      <c r="C214" s="1189">
        <v>78</v>
      </c>
      <c r="D214" s="1189">
        <v>624</v>
      </c>
      <c r="E214" t="str">
        <f t="shared" si="3"/>
        <v>TADigital India Digital | MarTech - L3 / C1-C2 | Senior Engineer</v>
      </c>
    </row>
    <row r="215" spans="1:5" x14ac:dyDescent="0.3">
      <c r="A215" s="1188" t="s">
        <v>869</v>
      </c>
      <c r="B215" s="1188" t="s">
        <v>1858</v>
      </c>
      <c r="C215" s="1189">
        <v>94</v>
      </c>
      <c r="D215" s="1189">
        <v>752</v>
      </c>
      <c r="E215" t="str">
        <f t="shared" si="3"/>
        <v>TADigital India Digital | MarTech - L3 / C1-C2 | Lead Engineer</v>
      </c>
    </row>
    <row r="216" spans="1:5" x14ac:dyDescent="0.3">
      <c r="A216" s="1188" t="s">
        <v>869</v>
      </c>
      <c r="B216" s="1188" t="s">
        <v>1859</v>
      </c>
      <c r="C216" s="1189">
        <v>114</v>
      </c>
      <c r="D216" s="1189">
        <v>912</v>
      </c>
      <c r="E216" t="str">
        <f t="shared" ref="E216:E279" si="4">CONCATENATE(A216," - ",B216)</f>
        <v>TADigital India Digital | MarTech - L4 / D1 | Architect</v>
      </c>
    </row>
    <row r="217" spans="1:5" x14ac:dyDescent="0.3">
      <c r="A217" s="1188" t="s">
        <v>869</v>
      </c>
      <c r="B217" s="1188" t="s">
        <v>1860</v>
      </c>
      <c r="C217" s="1189">
        <v>126</v>
      </c>
      <c r="D217" s="1189">
        <v>1008</v>
      </c>
      <c r="E217" t="str">
        <f t="shared" si="4"/>
        <v>TADigital India Digital | MarTech - L5 / D2-E1 | Senior Architect</v>
      </c>
    </row>
    <row r="218" spans="1:5" x14ac:dyDescent="0.3">
      <c r="A218" s="1188" t="s">
        <v>869</v>
      </c>
      <c r="B218" s="1188" t="s">
        <v>1861</v>
      </c>
      <c r="C218" s="1189">
        <v>135</v>
      </c>
      <c r="D218" s="1189">
        <v>1080</v>
      </c>
      <c r="E218" t="str">
        <f t="shared" si="4"/>
        <v>TADigital India Digital | MarTech - L6 / E2-S1 | Principal Architect</v>
      </c>
    </row>
    <row r="219" spans="1:5" x14ac:dyDescent="0.3">
      <c r="A219" s="1188" t="s">
        <v>870</v>
      </c>
      <c r="B219" s="1188" t="s">
        <v>1855</v>
      </c>
      <c r="C219" s="1189">
        <v>36</v>
      </c>
      <c r="D219" s="1189">
        <v>288</v>
      </c>
      <c r="E219" t="str">
        <f t="shared" si="4"/>
        <v>TADigital India Digital | Premium MarTech - L2 / B1-B3 | Associate Engineer</v>
      </c>
    </row>
    <row r="220" spans="1:5" x14ac:dyDescent="0.3">
      <c r="A220" s="1188" t="s">
        <v>870</v>
      </c>
      <c r="B220" s="1188" t="s">
        <v>1856</v>
      </c>
      <c r="C220" s="1189">
        <v>65</v>
      </c>
      <c r="D220" s="1189">
        <v>520</v>
      </c>
      <c r="E220" t="str">
        <f t="shared" si="4"/>
        <v>TADigital India Digital | Premium MarTech - L2 / B1-B3 | Engineer</v>
      </c>
    </row>
    <row r="221" spans="1:5" x14ac:dyDescent="0.3">
      <c r="A221" s="1188" t="s">
        <v>870</v>
      </c>
      <c r="B221" s="1188" t="s">
        <v>1857</v>
      </c>
      <c r="C221" s="1189">
        <v>96</v>
      </c>
      <c r="D221" s="1189">
        <v>768</v>
      </c>
      <c r="E221" t="str">
        <f t="shared" si="4"/>
        <v>TADigital India Digital | Premium MarTech - L3 / C1-C2 | Senior Engineer</v>
      </c>
    </row>
    <row r="222" spans="1:5" x14ac:dyDescent="0.3">
      <c r="A222" s="1188" t="s">
        <v>870</v>
      </c>
      <c r="B222" s="1188" t="s">
        <v>1858</v>
      </c>
      <c r="C222" s="1189">
        <v>117</v>
      </c>
      <c r="D222" s="1189">
        <v>936</v>
      </c>
      <c r="E222" t="str">
        <f t="shared" si="4"/>
        <v>TADigital India Digital | Premium MarTech - L3 / C1-C2 | Lead Engineer</v>
      </c>
    </row>
    <row r="223" spans="1:5" x14ac:dyDescent="0.3">
      <c r="A223" s="1188" t="s">
        <v>870</v>
      </c>
      <c r="B223" s="1188" t="s">
        <v>1859</v>
      </c>
      <c r="C223" s="1189">
        <v>138</v>
      </c>
      <c r="D223" s="1189">
        <v>1104</v>
      </c>
      <c r="E223" t="str">
        <f t="shared" si="4"/>
        <v>TADigital India Digital | Premium MarTech - L4 / D1 | Architect</v>
      </c>
    </row>
    <row r="224" spans="1:5" x14ac:dyDescent="0.3">
      <c r="A224" s="1188" t="s">
        <v>870</v>
      </c>
      <c r="B224" s="1188" t="s">
        <v>1860</v>
      </c>
      <c r="C224" s="1189">
        <v>148</v>
      </c>
      <c r="D224" s="1189">
        <v>1184</v>
      </c>
      <c r="E224" t="str">
        <f t="shared" si="4"/>
        <v>TADigital India Digital | Premium MarTech - L5 / D2-E1 | Senior Architect</v>
      </c>
    </row>
    <row r="225" spans="1:5" x14ac:dyDescent="0.3">
      <c r="A225" s="1188" t="s">
        <v>870</v>
      </c>
      <c r="B225" s="1188" t="s">
        <v>1861</v>
      </c>
      <c r="C225" s="1189">
        <v>165</v>
      </c>
      <c r="D225" s="1189">
        <v>1320</v>
      </c>
      <c r="E225" t="str">
        <f t="shared" si="4"/>
        <v>TADigital India Digital | Premium MarTech - L6 / E2-S1 | Principal Architect</v>
      </c>
    </row>
    <row r="226" spans="1:5" x14ac:dyDescent="0.3">
      <c r="A226" s="1188" t="s">
        <v>871</v>
      </c>
      <c r="B226" s="1188" t="s">
        <v>872</v>
      </c>
      <c r="C226" s="1189">
        <v>290</v>
      </c>
      <c r="D226" s="1189">
        <v>2320</v>
      </c>
      <c r="E226" t="str">
        <f t="shared" si="4"/>
        <v>TADigital NA | Management - Associate Practice Director</v>
      </c>
    </row>
    <row r="227" spans="1:5" x14ac:dyDescent="0.3">
      <c r="A227" s="1188" t="s">
        <v>871</v>
      </c>
      <c r="B227" s="1188" t="s">
        <v>873</v>
      </c>
      <c r="C227" s="1189">
        <v>315</v>
      </c>
      <c r="D227" s="1189">
        <v>2520</v>
      </c>
      <c r="E227" t="str">
        <f t="shared" si="4"/>
        <v>TADigital NA | Management - Practice Director / Delivery Director</v>
      </c>
    </row>
    <row r="228" spans="1:5" x14ac:dyDescent="0.3">
      <c r="A228" s="1188" t="s">
        <v>871</v>
      </c>
      <c r="B228" s="1188" t="s">
        <v>874</v>
      </c>
      <c r="C228" s="1189">
        <v>340</v>
      </c>
      <c r="D228" s="1189">
        <v>2720</v>
      </c>
      <c r="E228" t="str">
        <f t="shared" si="4"/>
        <v>TADigital NA | Management - Sr. Practice Director / Sr. Delivery Director</v>
      </c>
    </row>
    <row r="229" spans="1:5" x14ac:dyDescent="0.3">
      <c r="A229" s="1188" t="s">
        <v>871</v>
      </c>
      <c r="B229" s="1188" t="s">
        <v>744</v>
      </c>
      <c r="C229" s="1189">
        <v>370</v>
      </c>
      <c r="D229" s="1189">
        <v>2960</v>
      </c>
      <c r="E229" t="str">
        <f t="shared" si="4"/>
        <v>TADigital NA | Management - Practice VP / Delivery VP</v>
      </c>
    </row>
    <row r="230" spans="1:5" x14ac:dyDescent="0.3">
      <c r="A230" s="1188" t="s">
        <v>871</v>
      </c>
      <c r="B230" s="1188" t="s">
        <v>875</v>
      </c>
      <c r="C230" s="1189">
        <v>500</v>
      </c>
      <c r="D230" s="1189">
        <v>4000</v>
      </c>
      <c r="E230" t="str">
        <f t="shared" si="4"/>
        <v>TADigital NA | Management - CXO / CDO</v>
      </c>
    </row>
    <row r="231" spans="1:5" x14ac:dyDescent="0.3">
      <c r="A231" s="1188" t="s">
        <v>876</v>
      </c>
      <c r="B231" s="1188" t="s">
        <v>592</v>
      </c>
      <c r="C231" s="1189">
        <v>190</v>
      </c>
      <c r="D231" s="1189">
        <v>1520</v>
      </c>
      <c r="E231" t="str">
        <f t="shared" si="4"/>
        <v>TADigital NA Consulting - Project Manager / Product Manager</v>
      </c>
    </row>
    <row r="232" spans="1:5" x14ac:dyDescent="0.3">
      <c r="A232" s="1188" t="s">
        <v>876</v>
      </c>
      <c r="B232" s="1188" t="s">
        <v>594</v>
      </c>
      <c r="C232" s="1189">
        <v>235</v>
      </c>
      <c r="D232" s="1189">
        <v>1880</v>
      </c>
      <c r="E232" t="str">
        <f t="shared" si="4"/>
        <v>TADigital NA Consulting - Sr. Project Manager</v>
      </c>
    </row>
    <row r="233" spans="1:5" x14ac:dyDescent="0.3">
      <c r="A233" s="1188" t="s">
        <v>876</v>
      </c>
      <c r="B233" s="1188" t="s">
        <v>596</v>
      </c>
      <c r="C233" s="1189">
        <v>265</v>
      </c>
      <c r="D233" s="1189">
        <v>2120</v>
      </c>
      <c r="E233" t="str">
        <f t="shared" si="4"/>
        <v>TADigital NA Consulting - Delivery Manager</v>
      </c>
    </row>
    <row r="234" spans="1:5" x14ac:dyDescent="0.3">
      <c r="A234" s="1188" t="s">
        <v>876</v>
      </c>
      <c r="B234" s="1188" t="s">
        <v>598</v>
      </c>
      <c r="C234" s="1189">
        <v>235</v>
      </c>
      <c r="D234" s="1189">
        <v>1880</v>
      </c>
      <c r="E234" t="str">
        <f t="shared" si="4"/>
        <v>TADigital NA Consulting - Practice Manager</v>
      </c>
    </row>
    <row r="235" spans="1:5" x14ac:dyDescent="0.3">
      <c r="A235" s="1188" t="s">
        <v>876</v>
      </c>
      <c r="B235" s="1188" t="s">
        <v>600</v>
      </c>
      <c r="C235" s="1189">
        <v>265</v>
      </c>
      <c r="D235" s="1189">
        <v>2120</v>
      </c>
      <c r="E235" t="str">
        <f t="shared" si="4"/>
        <v>TADigital NA Consulting - Sr. Practice Manager</v>
      </c>
    </row>
    <row r="236" spans="1:5" x14ac:dyDescent="0.3">
      <c r="A236" s="1188" t="s">
        <v>877</v>
      </c>
      <c r="B236" s="1188" t="s">
        <v>878</v>
      </c>
      <c r="C236" s="1189">
        <v>125</v>
      </c>
      <c r="D236" s="1189">
        <v>1000</v>
      </c>
      <c r="E236" t="str">
        <f t="shared" si="4"/>
        <v>TADigital NA Consulting | Content &amp; SEO - Content Analyst</v>
      </c>
    </row>
    <row r="237" spans="1:5" x14ac:dyDescent="0.3">
      <c r="A237" s="1188" t="s">
        <v>877</v>
      </c>
      <c r="B237" s="1188" t="s">
        <v>879</v>
      </c>
      <c r="C237" s="1189">
        <v>160</v>
      </c>
      <c r="D237" s="1189">
        <v>1280</v>
      </c>
      <c r="E237" t="str">
        <f t="shared" si="4"/>
        <v>TADigital NA Consulting | Content &amp; SEO - Associate Content Strategist</v>
      </c>
    </row>
    <row r="238" spans="1:5" x14ac:dyDescent="0.3">
      <c r="A238" s="1188" t="s">
        <v>877</v>
      </c>
      <c r="B238" s="1188" t="s">
        <v>546</v>
      </c>
      <c r="C238" s="1189">
        <v>170</v>
      </c>
      <c r="D238" s="1189">
        <v>1360</v>
      </c>
      <c r="E238" t="str">
        <f t="shared" si="4"/>
        <v>TADigital NA Consulting | Content &amp; SEO - Content Strategist</v>
      </c>
    </row>
    <row r="239" spans="1:5" x14ac:dyDescent="0.3">
      <c r="A239" s="1188" t="s">
        <v>877</v>
      </c>
      <c r="B239" s="1188" t="s">
        <v>880</v>
      </c>
      <c r="C239" s="1189">
        <v>180</v>
      </c>
      <c r="D239" s="1189">
        <v>1440</v>
      </c>
      <c r="E239" t="str">
        <f t="shared" si="4"/>
        <v>TADigital NA Consulting | Content &amp; SEO - Sr. Content Strategist</v>
      </c>
    </row>
    <row r="240" spans="1:5" x14ac:dyDescent="0.3">
      <c r="A240" s="1188" t="s">
        <v>877</v>
      </c>
      <c r="B240" s="1188" t="s">
        <v>881</v>
      </c>
      <c r="C240" s="1189">
        <v>190</v>
      </c>
      <c r="D240" s="1189">
        <v>1520</v>
      </c>
      <c r="E240" t="str">
        <f t="shared" si="4"/>
        <v>TADigital NA Consulting | Content &amp; SEO - Content Strategy Lead</v>
      </c>
    </row>
    <row r="241" spans="1:5" x14ac:dyDescent="0.3">
      <c r="A241" s="1188" t="s">
        <v>877</v>
      </c>
      <c r="B241" s="1188" t="s">
        <v>882</v>
      </c>
      <c r="C241" s="1189">
        <v>210</v>
      </c>
      <c r="D241" s="1189">
        <v>1680</v>
      </c>
      <c r="E241" t="str">
        <f t="shared" si="4"/>
        <v>TADigital NA Consulting | Content &amp; SEO - Associate Manager</v>
      </c>
    </row>
    <row r="242" spans="1:5" x14ac:dyDescent="0.3">
      <c r="A242" s="1188" t="s">
        <v>877</v>
      </c>
      <c r="B242" s="1188" t="s">
        <v>883</v>
      </c>
      <c r="C242" s="1189">
        <v>125</v>
      </c>
      <c r="D242" s="1189">
        <v>1000</v>
      </c>
      <c r="E242" t="str">
        <f t="shared" si="4"/>
        <v>TADigital NA Consulting | Content &amp; SEO - Associate Copy Analyst</v>
      </c>
    </row>
    <row r="243" spans="1:5" x14ac:dyDescent="0.3">
      <c r="A243" s="1188" t="s">
        <v>877</v>
      </c>
      <c r="B243" s="1188" t="s">
        <v>884</v>
      </c>
      <c r="C243" s="1189">
        <v>140</v>
      </c>
      <c r="D243" s="1189">
        <v>1120</v>
      </c>
      <c r="E243" t="str">
        <f t="shared" si="4"/>
        <v>TADigital NA Consulting | Content &amp; SEO - Copywriter</v>
      </c>
    </row>
    <row r="244" spans="1:5" x14ac:dyDescent="0.3">
      <c r="A244" s="1188" t="s">
        <v>877</v>
      </c>
      <c r="B244" s="1188" t="s">
        <v>885</v>
      </c>
      <c r="C244" s="1189">
        <v>160</v>
      </c>
      <c r="D244" s="1189">
        <v>1280</v>
      </c>
      <c r="E244" t="str">
        <f t="shared" si="4"/>
        <v>TADigital NA Consulting | Content &amp; SEO - Sr. Copywriter</v>
      </c>
    </row>
    <row r="245" spans="1:5" x14ac:dyDescent="0.3">
      <c r="A245" s="1188" t="s">
        <v>877</v>
      </c>
      <c r="B245" s="1188" t="s">
        <v>886</v>
      </c>
      <c r="C245" s="1189">
        <v>170</v>
      </c>
      <c r="D245" s="1189">
        <v>1360</v>
      </c>
      <c r="E245" t="str">
        <f t="shared" si="4"/>
        <v>TADigital NA Consulting | Content &amp; SEO - Sr. Copy Editor</v>
      </c>
    </row>
    <row r="246" spans="1:5" x14ac:dyDescent="0.3">
      <c r="A246" s="1188" t="s">
        <v>877</v>
      </c>
      <c r="B246" s="1188" t="s">
        <v>887</v>
      </c>
      <c r="C246" s="1189">
        <v>180</v>
      </c>
      <c r="D246" s="1189">
        <v>1440</v>
      </c>
      <c r="E246" t="str">
        <f t="shared" si="4"/>
        <v>TADigital NA Consulting | Content &amp; SEO - Editorial Content Lead</v>
      </c>
    </row>
    <row r="247" spans="1:5" x14ac:dyDescent="0.3">
      <c r="A247" s="1188" t="s">
        <v>877</v>
      </c>
      <c r="B247" s="1188" t="s">
        <v>888</v>
      </c>
      <c r="C247" s="1189">
        <v>105</v>
      </c>
      <c r="D247" s="1189">
        <v>840</v>
      </c>
      <c r="E247" t="str">
        <f t="shared" si="4"/>
        <v>TADigital NA Consulting | Content &amp; SEO - Associate Web Content Analyst</v>
      </c>
    </row>
    <row r="248" spans="1:5" x14ac:dyDescent="0.3">
      <c r="A248" s="1188" t="s">
        <v>877</v>
      </c>
      <c r="B248" s="1188" t="s">
        <v>889</v>
      </c>
      <c r="C248" s="1189">
        <v>125</v>
      </c>
      <c r="D248" s="1189">
        <v>1000</v>
      </c>
      <c r="E248" t="str">
        <f t="shared" si="4"/>
        <v>TADigital NA Consulting | Content &amp; SEO - Web Content Analyst</v>
      </c>
    </row>
    <row r="249" spans="1:5" x14ac:dyDescent="0.3">
      <c r="A249" s="1188" t="s">
        <v>877</v>
      </c>
      <c r="B249" s="1188" t="s">
        <v>890</v>
      </c>
      <c r="C249" s="1189">
        <v>135</v>
      </c>
      <c r="D249" s="1189">
        <v>1080</v>
      </c>
      <c r="E249" t="str">
        <f t="shared" si="4"/>
        <v>TADigital NA Consulting | Content &amp; SEO - Sr. Web Content Analyst</v>
      </c>
    </row>
    <row r="250" spans="1:5" x14ac:dyDescent="0.3">
      <c r="A250" s="1188" t="s">
        <v>877</v>
      </c>
      <c r="B250" s="1188" t="s">
        <v>891</v>
      </c>
      <c r="C250" s="1189">
        <v>145</v>
      </c>
      <c r="D250" s="1189">
        <v>1160</v>
      </c>
      <c r="E250" t="str">
        <f t="shared" si="4"/>
        <v>TADigital NA Consulting | Content &amp; SEO - Principal Web Content Analyst</v>
      </c>
    </row>
    <row r="251" spans="1:5" x14ac:dyDescent="0.3">
      <c r="A251" s="1188" t="s">
        <v>877</v>
      </c>
      <c r="B251" s="1188" t="s">
        <v>892</v>
      </c>
      <c r="C251" s="1189">
        <v>170</v>
      </c>
      <c r="D251" s="1189">
        <v>1360</v>
      </c>
      <c r="E251" t="str">
        <f t="shared" si="4"/>
        <v>TADigital NA Consulting | Content &amp; SEO - Sr. Content Engineer</v>
      </c>
    </row>
    <row r="252" spans="1:5" x14ac:dyDescent="0.3">
      <c r="A252" s="1188" t="s">
        <v>877</v>
      </c>
      <c r="B252" s="1188" t="s">
        <v>893</v>
      </c>
      <c r="C252" s="1189">
        <v>180</v>
      </c>
      <c r="D252" s="1189">
        <v>1440</v>
      </c>
      <c r="E252" t="str">
        <f t="shared" si="4"/>
        <v>TADigital NA Consulting | Content &amp; SEO - Lead Web Content Engineer</v>
      </c>
    </row>
    <row r="253" spans="1:5" x14ac:dyDescent="0.3">
      <c r="A253" s="1188" t="s">
        <v>877</v>
      </c>
      <c r="B253" s="1188" t="s">
        <v>894</v>
      </c>
      <c r="C253" s="1189">
        <v>125</v>
      </c>
      <c r="D253" s="1189">
        <v>1000</v>
      </c>
      <c r="E253" t="str">
        <f t="shared" si="4"/>
        <v>TADigital NA Consulting | Content &amp; SEO - Associate SEO Analyst</v>
      </c>
    </row>
    <row r="254" spans="1:5" x14ac:dyDescent="0.3">
      <c r="A254" s="1188" t="s">
        <v>877</v>
      </c>
      <c r="B254" s="1188" t="s">
        <v>895</v>
      </c>
      <c r="C254" s="1189">
        <v>135</v>
      </c>
      <c r="D254" s="1189">
        <v>1080</v>
      </c>
      <c r="E254" t="str">
        <f t="shared" si="4"/>
        <v>TADigital NA Consulting | Content &amp; SEO - SEO Analyst</v>
      </c>
    </row>
    <row r="255" spans="1:5" x14ac:dyDescent="0.3">
      <c r="A255" s="1188" t="s">
        <v>877</v>
      </c>
      <c r="B255" s="1188" t="s">
        <v>896</v>
      </c>
      <c r="C255" s="1189">
        <v>160</v>
      </c>
      <c r="D255" s="1189">
        <v>1280</v>
      </c>
      <c r="E255" t="str">
        <f t="shared" si="4"/>
        <v>TADigital NA Consulting | Content &amp; SEO - SEO Strategist</v>
      </c>
    </row>
    <row r="256" spans="1:5" x14ac:dyDescent="0.3">
      <c r="A256" s="1188" t="s">
        <v>877</v>
      </c>
      <c r="B256" s="1188" t="s">
        <v>897</v>
      </c>
      <c r="C256" s="1189">
        <v>180</v>
      </c>
      <c r="D256" s="1189">
        <v>1440</v>
      </c>
      <c r="E256" t="str">
        <f t="shared" si="4"/>
        <v>TADigital NA Consulting | Content &amp; SEO - Sr. SEO Strategist</v>
      </c>
    </row>
    <row r="257" spans="1:5" x14ac:dyDescent="0.3">
      <c r="A257" s="1188" t="s">
        <v>877</v>
      </c>
      <c r="B257" s="1188" t="s">
        <v>898</v>
      </c>
      <c r="C257" s="1189">
        <v>190</v>
      </c>
      <c r="D257" s="1189">
        <v>1520</v>
      </c>
      <c r="E257" t="str">
        <f t="shared" si="4"/>
        <v>TADigital NA Consulting | Content &amp; SEO - SEO Lead</v>
      </c>
    </row>
    <row r="258" spans="1:5" x14ac:dyDescent="0.3">
      <c r="A258" s="1188" t="s">
        <v>899</v>
      </c>
      <c r="B258" s="1188" t="s">
        <v>900</v>
      </c>
      <c r="C258" s="1189">
        <v>125</v>
      </c>
      <c r="D258" s="1189">
        <v>1000</v>
      </c>
      <c r="E258" t="str">
        <f t="shared" si="4"/>
        <v>TADigital NA Consulting | Design - Associate UX Designer</v>
      </c>
    </row>
    <row r="259" spans="1:5" x14ac:dyDescent="0.3">
      <c r="A259" s="1188" t="s">
        <v>899</v>
      </c>
      <c r="B259" s="1188" t="s">
        <v>901</v>
      </c>
      <c r="C259" s="1189">
        <v>170</v>
      </c>
      <c r="D259" s="1189">
        <v>1360</v>
      </c>
      <c r="E259" t="str">
        <f t="shared" si="4"/>
        <v>TADigital NA Consulting | Design - UX Designer</v>
      </c>
    </row>
    <row r="260" spans="1:5" x14ac:dyDescent="0.3">
      <c r="A260" s="1188" t="s">
        <v>899</v>
      </c>
      <c r="B260" s="1188" t="s">
        <v>902</v>
      </c>
      <c r="C260" s="1189">
        <v>190</v>
      </c>
      <c r="D260" s="1189">
        <v>1520</v>
      </c>
      <c r="E260" t="str">
        <f t="shared" si="4"/>
        <v>TADigital NA Consulting | Design - Sr. UX Designer</v>
      </c>
    </row>
    <row r="261" spans="1:5" x14ac:dyDescent="0.3">
      <c r="A261" s="1188" t="s">
        <v>899</v>
      </c>
      <c r="B261" s="1188" t="s">
        <v>903</v>
      </c>
      <c r="C261" s="1189">
        <v>210</v>
      </c>
      <c r="D261" s="1189">
        <v>1680</v>
      </c>
      <c r="E261" t="str">
        <f t="shared" si="4"/>
        <v>TADigital NA Consulting | Design - Associate UX Manager / Associate UX Principal</v>
      </c>
    </row>
    <row r="262" spans="1:5" x14ac:dyDescent="0.3">
      <c r="A262" s="1188" t="s">
        <v>899</v>
      </c>
      <c r="B262" s="1188" t="s">
        <v>904</v>
      </c>
      <c r="C262" s="1189">
        <v>235</v>
      </c>
      <c r="D262" s="1189">
        <v>1880</v>
      </c>
      <c r="E262" t="str">
        <f t="shared" si="4"/>
        <v>TADigital NA Consulting | Design - UX Manager / UX Principal</v>
      </c>
    </row>
    <row r="263" spans="1:5" x14ac:dyDescent="0.3">
      <c r="A263" s="1188" t="s">
        <v>899</v>
      </c>
      <c r="B263" s="1188" t="s">
        <v>905</v>
      </c>
      <c r="C263" s="1189">
        <v>265</v>
      </c>
      <c r="D263" s="1189">
        <v>2120</v>
      </c>
      <c r="E263" t="str">
        <f t="shared" si="4"/>
        <v>TADigital NA Consulting | Design - Sr. UX Manager / Sr. UX Principal</v>
      </c>
    </row>
    <row r="264" spans="1:5" x14ac:dyDescent="0.3">
      <c r="A264" s="1188" t="s">
        <v>899</v>
      </c>
      <c r="B264" s="1188" t="s">
        <v>906</v>
      </c>
      <c r="C264" s="1189">
        <v>145</v>
      </c>
      <c r="D264" s="1189">
        <v>1160</v>
      </c>
      <c r="E264" t="str">
        <f t="shared" si="4"/>
        <v>TADigital NA Consulting | Design - Associate Visual Designer</v>
      </c>
    </row>
    <row r="265" spans="1:5" x14ac:dyDescent="0.3">
      <c r="A265" s="1188" t="s">
        <v>899</v>
      </c>
      <c r="B265" s="1188" t="s">
        <v>544</v>
      </c>
      <c r="C265" s="1189">
        <v>160</v>
      </c>
      <c r="D265" s="1189">
        <v>1280</v>
      </c>
      <c r="E265" t="str">
        <f t="shared" si="4"/>
        <v>TADigital NA Consulting | Design - Visual Designer</v>
      </c>
    </row>
    <row r="266" spans="1:5" x14ac:dyDescent="0.3">
      <c r="A266" s="1188" t="s">
        <v>899</v>
      </c>
      <c r="B266" s="1188" t="s">
        <v>907</v>
      </c>
      <c r="C266" s="1189">
        <v>170</v>
      </c>
      <c r="D266" s="1189">
        <v>1360</v>
      </c>
      <c r="E266" t="str">
        <f t="shared" si="4"/>
        <v>TADigital NA Consulting | Design - Sr. Visual Designer</v>
      </c>
    </row>
    <row r="267" spans="1:5" x14ac:dyDescent="0.3">
      <c r="A267" s="1188" t="s">
        <v>899</v>
      </c>
      <c r="B267" s="1188" t="s">
        <v>908</v>
      </c>
      <c r="C267" s="1189">
        <v>190</v>
      </c>
      <c r="D267" s="1189">
        <v>1520</v>
      </c>
      <c r="E267" t="str">
        <f t="shared" si="4"/>
        <v>TADigital NA Consulting | Design - Art Director</v>
      </c>
    </row>
    <row r="268" spans="1:5" x14ac:dyDescent="0.3">
      <c r="A268" s="1188" t="s">
        <v>899</v>
      </c>
      <c r="B268" s="1188" t="s">
        <v>909</v>
      </c>
      <c r="C268" s="1189">
        <v>210</v>
      </c>
      <c r="D268" s="1189">
        <v>1680</v>
      </c>
      <c r="E268" t="str">
        <f t="shared" si="4"/>
        <v>TADigital NA Consulting | Design - Sr. Art Director</v>
      </c>
    </row>
    <row r="269" spans="1:5" x14ac:dyDescent="0.3">
      <c r="A269" s="1188" t="s">
        <v>899</v>
      </c>
      <c r="B269" s="1188" t="s">
        <v>910</v>
      </c>
      <c r="C269" s="1189">
        <v>235</v>
      </c>
      <c r="D269" s="1189">
        <v>1880</v>
      </c>
      <c r="E269" t="str">
        <f t="shared" si="4"/>
        <v>TADigital NA Consulting | Design - Managing Art Director</v>
      </c>
    </row>
    <row r="270" spans="1:5" x14ac:dyDescent="0.3">
      <c r="A270" s="1188" t="s">
        <v>911</v>
      </c>
      <c r="B270" s="1188" t="s">
        <v>912</v>
      </c>
      <c r="C270" s="1189">
        <v>135</v>
      </c>
      <c r="D270" s="1189">
        <v>1080</v>
      </c>
      <c r="E270" t="str">
        <f t="shared" si="4"/>
        <v>TADigital NA Consulting | Strategy - Associate Analyst</v>
      </c>
    </row>
    <row r="271" spans="1:5" x14ac:dyDescent="0.3">
      <c r="A271" s="1188" t="s">
        <v>911</v>
      </c>
      <c r="B271" s="1188" t="s">
        <v>400</v>
      </c>
      <c r="C271" s="1189">
        <v>170</v>
      </c>
      <c r="D271" s="1189">
        <v>1360</v>
      </c>
      <c r="E271" t="str">
        <f t="shared" si="4"/>
        <v>TADigital NA Consulting | Strategy - Analyst</v>
      </c>
    </row>
    <row r="272" spans="1:5" x14ac:dyDescent="0.3">
      <c r="A272" s="1188" t="s">
        <v>911</v>
      </c>
      <c r="B272" s="1188" t="s">
        <v>913</v>
      </c>
      <c r="C272" s="1189">
        <v>190</v>
      </c>
      <c r="D272" s="1189">
        <v>1520</v>
      </c>
      <c r="E272" t="str">
        <f t="shared" si="4"/>
        <v>TADigital NA Consulting | Strategy - Sr. Analyst</v>
      </c>
    </row>
    <row r="273" spans="1:5" x14ac:dyDescent="0.3">
      <c r="A273" s="1188" t="s">
        <v>911</v>
      </c>
      <c r="B273" s="1188" t="s">
        <v>914</v>
      </c>
      <c r="C273" s="1189">
        <v>200</v>
      </c>
      <c r="D273" s="1189">
        <v>1600</v>
      </c>
      <c r="E273" t="str">
        <f t="shared" si="4"/>
        <v>TADigital NA Consulting | Strategy - Associate Digital Strategist</v>
      </c>
    </row>
    <row r="274" spans="1:5" x14ac:dyDescent="0.3">
      <c r="A274" s="1188" t="s">
        <v>911</v>
      </c>
      <c r="B274" s="1188" t="s">
        <v>915</v>
      </c>
      <c r="C274" s="1189">
        <v>205</v>
      </c>
      <c r="D274" s="1189">
        <v>1640</v>
      </c>
      <c r="E274" t="str">
        <f t="shared" si="4"/>
        <v>TADigital NA Consulting | Strategy - Digital Strategist</v>
      </c>
    </row>
    <row r="275" spans="1:5" x14ac:dyDescent="0.3">
      <c r="A275" s="1188" t="s">
        <v>911</v>
      </c>
      <c r="B275" s="1188" t="s">
        <v>916</v>
      </c>
      <c r="C275" s="1189">
        <v>210</v>
      </c>
      <c r="D275" s="1189">
        <v>1680</v>
      </c>
      <c r="E275" t="str">
        <f t="shared" si="4"/>
        <v>TADigital NA Consulting | Strategy - Sr. Digital Strategist</v>
      </c>
    </row>
    <row r="276" spans="1:5" x14ac:dyDescent="0.3">
      <c r="A276" s="1188" t="s">
        <v>911</v>
      </c>
      <c r="B276" s="1188" t="s">
        <v>882</v>
      </c>
      <c r="C276" s="1189">
        <v>210</v>
      </c>
      <c r="D276" s="1189">
        <v>1680</v>
      </c>
      <c r="E276" t="str">
        <f t="shared" si="4"/>
        <v>TADigital NA Consulting | Strategy - Associate Manager</v>
      </c>
    </row>
    <row r="277" spans="1:5" x14ac:dyDescent="0.3">
      <c r="A277" s="1188" t="s">
        <v>917</v>
      </c>
      <c r="B277" s="1188" t="s">
        <v>918</v>
      </c>
      <c r="C277" s="1189">
        <v>0</v>
      </c>
      <c r="D277" s="1189">
        <v>0</v>
      </c>
      <c r="E277" t="str">
        <f t="shared" si="4"/>
        <v>TADigital NA Digital - Contractor</v>
      </c>
    </row>
    <row r="278" spans="1:5" x14ac:dyDescent="0.3">
      <c r="A278" s="1188" t="s">
        <v>917</v>
      </c>
      <c r="B278" s="1188" t="s">
        <v>684</v>
      </c>
      <c r="C278" s="1189">
        <v>160</v>
      </c>
      <c r="D278" s="1189">
        <v>1280</v>
      </c>
      <c r="E278" t="str">
        <f t="shared" si="4"/>
        <v>TADigital NA Digital - Developer</v>
      </c>
    </row>
    <row r="279" spans="1:5" x14ac:dyDescent="0.3">
      <c r="A279" s="1188" t="s">
        <v>917</v>
      </c>
      <c r="B279" s="1188" t="s">
        <v>686</v>
      </c>
      <c r="C279" s="1189">
        <v>170</v>
      </c>
      <c r="D279" s="1189">
        <v>1360</v>
      </c>
      <c r="E279" t="str">
        <f t="shared" si="4"/>
        <v>TADigital NA Digital - Sr. Developer</v>
      </c>
    </row>
    <row r="280" spans="1:5" x14ac:dyDescent="0.3">
      <c r="A280" s="1188" t="s">
        <v>917</v>
      </c>
      <c r="B280" s="1188" t="s">
        <v>688</v>
      </c>
      <c r="C280" s="1189">
        <v>185</v>
      </c>
      <c r="D280" s="1189">
        <v>1480</v>
      </c>
      <c r="E280" t="str">
        <f t="shared" ref="E280:E309" si="5">CONCATENATE(A280," - ",B280)</f>
        <v>TADigital NA Digital - Technical Lead</v>
      </c>
    </row>
    <row r="281" spans="1:5" x14ac:dyDescent="0.3">
      <c r="A281" s="1188" t="s">
        <v>917</v>
      </c>
      <c r="B281" s="1188" t="s">
        <v>690</v>
      </c>
      <c r="C281" s="1189">
        <v>235</v>
      </c>
      <c r="D281" s="1189">
        <v>1880</v>
      </c>
      <c r="E281" t="str">
        <f t="shared" si="5"/>
        <v>TADigital NA Digital - Technical Architect</v>
      </c>
    </row>
    <row r="282" spans="1:5" x14ac:dyDescent="0.3">
      <c r="A282" s="1188" t="s">
        <v>917</v>
      </c>
      <c r="B282" s="1188" t="s">
        <v>692</v>
      </c>
      <c r="C282" s="1189">
        <v>275</v>
      </c>
      <c r="D282" s="1189">
        <v>2200</v>
      </c>
      <c r="E282" t="str">
        <f t="shared" si="5"/>
        <v>TADigital NA Digital - Sr. Technical Architect</v>
      </c>
    </row>
    <row r="283" spans="1:5" x14ac:dyDescent="0.3">
      <c r="A283" s="1188" t="s">
        <v>917</v>
      </c>
      <c r="B283" s="1188" t="s">
        <v>694</v>
      </c>
      <c r="C283" s="1189">
        <v>290</v>
      </c>
      <c r="D283" s="1189">
        <v>2320</v>
      </c>
      <c r="E283" t="str">
        <f t="shared" si="5"/>
        <v>TADigital NA Digital - Multi-Solution Architect</v>
      </c>
    </row>
    <row r="284" spans="1:5" x14ac:dyDescent="0.3">
      <c r="A284" s="1188" t="s">
        <v>917</v>
      </c>
      <c r="B284" s="1188" t="s">
        <v>696</v>
      </c>
      <c r="C284" s="1189">
        <v>160</v>
      </c>
      <c r="D284" s="1189">
        <v>1280</v>
      </c>
      <c r="E284" t="str">
        <f t="shared" si="5"/>
        <v>TADigital NA Digital - Data Engineer / Data Analyst</v>
      </c>
    </row>
    <row r="285" spans="1:5" x14ac:dyDescent="0.3">
      <c r="A285" s="1188" t="s">
        <v>917</v>
      </c>
      <c r="B285" s="1188" t="s">
        <v>698</v>
      </c>
      <c r="C285" s="1189">
        <v>190</v>
      </c>
      <c r="D285" s="1189">
        <v>1520</v>
      </c>
      <c r="E285" t="str">
        <f t="shared" si="5"/>
        <v>TADigital NA Digital - Sr. Data Engineer / Sr. Data Analyst</v>
      </c>
    </row>
    <row r="286" spans="1:5" x14ac:dyDescent="0.3">
      <c r="A286" s="1188" t="s">
        <v>917</v>
      </c>
      <c r="B286" s="1188" t="s">
        <v>700</v>
      </c>
      <c r="C286" s="1189">
        <v>210</v>
      </c>
      <c r="D286" s="1189">
        <v>1680</v>
      </c>
      <c r="E286" t="str">
        <f t="shared" si="5"/>
        <v>TADigital NA Digital - Data Lead / Lead Data Analyst</v>
      </c>
    </row>
    <row r="287" spans="1:5" x14ac:dyDescent="0.3">
      <c r="A287" s="1188" t="s">
        <v>917</v>
      </c>
      <c r="B287" s="1188" t="s">
        <v>702</v>
      </c>
      <c r="C287" s="1189">
        <v>235</v>
      </c>
      <c r="D287" s="1189">
        <v>1880</v>
      </c>
      <c r="E287" t="str">
        <f t="shared" si="5"/>
        <v>TADigital NA Digital - Data Scientist/Architect/Strategist</v>
      </c>
    </row>
    <row r="288" spans="1:5" x14ac:dyDescent="0.3">
      <c r="A288" s="1188" t="s">
        <v>917</v>
      </c>
      <c r="B288" s="1188" t="s">
        <v>704</v>
      </c>
      <c r="C288" s="1189">
        <v>275</v>
      </c>
      <c r="D288" s="1189">
        <v>2200</v>
      </c>
      <c r="E288" t="str">
        <f t="shared" si="5"/>
        <v>TADigital NA Digital - Sr. Data Scientist/Architect/Strategist</v>
      </c>
    </row>
    <row r="289" spans="1:5" x14ac:dyDescent="0.3">
      <c r="A289" s="1188" t="s">
        <v>917</v>
      </c>
      <c r="B289" s="1188" t="s">
        <v>706</v>
      </c>
      <c r="C289" s="1189">
        <v>275</v>
      </c>
      <c r="D289" s="1189">
        <v>2200</v>
      </c>
      <c r="E289" t="str">
        <f t="shared" si="5"/>
        <v>TADigital NA Digital - Enterprise Arch. / Associate Prin. Data Scientist</v>
      </c>
    </row>
    <row r="290" spans="1:5" x14ac:dyDescent="0.3">
      <c r="A290" s="1188" t="s">
        <v>917</v>
      </c>
      <c r="B290" s="1188" t="s">
        <v>708</v>
      </c>
      <c r="C290" s="1189">
        <v>290</v>
      </c>
      <c r="D290" s="1189">
        <v>2320</v>
      </c>
      <c r="E290" t="str">
        <f t="shared" si="5"/>
        <v>TADigital NA Digital - Sr. Enterprise Architect / Prin. Data Scientist</v>
      </c>
    </row>
    <row r="291" spans="1:5" x14ac:dyDescent="0.3">
      <c r="A291" s="1188" t="s">
        <v>917</v>
      </c>
      <c r="B291" s="1188" t="s">
        <v>710</v>
      </c>
      <c r="C291" s="1189">
        <v>315</v>
      </c>
      <c r="D291" s="1189">
        <v>2520</v>
      </c>
      <c r="E291" t="str">
        <f t="shared" si="5"/>
        <v>TADigital NA Digital - Prin. Enterprise Arch. / Sr. Prin. Data Scientist</v>
      </c>
    </row>
    <row r="292" spans="1:5" x14ac:dyDescent="0.3">
      <c r="A292" s="1188" t="s">
        <v>917</v>
      </c>
      <c r="B292" s="1188" t="s">
        <v>712</v>
      </c>
      <c r="C292" s="1189">
        <v>370</v>
      </c>
      <c r="D292" s="1189">
        <v>2960</v>
      </c>
      <c r="E292" t="str">
        <f t="shared" si="5"/>
        <v>TADigital NA Digital - Chief Enterprise Architect / Chief Data Scientist</v>
      </c>
    </row>
    <row r="293" spans="1:5" x14ac:dyDescent="0.3">
      <c r="A293" s="1188" t="s">
        <v>917</v>
      </c>
      <c r="B293" s="1188" t="s">
        <v>532</v>
      </c>
      <c r="C293" s="1189">
        <v>160</v>
      </c>
      <c r="D293" s="1189">
        <v>1280</v>
      </c>
      <c r="E293" t="str">
        <f t="shared" si="5"/>
        <v>TADigital NA Digital - Business Analyst</v>
      </c>
    </row>
    <row r="294" spans="1:5" x14ac:dyDescent="0.3">
      <c r="A294" s="1188" t="s">
        <v>917</v>
      </c>
      <c r="B294" s="1188" t="s">
        <v>715</v>
      </c>
      <c r="C294" s="1189">
        <v>185</v>
      </c>
      <c r="D294" s="1189">
        <v>1480</v>
      </c>
      <c r="E294" t="str">
        <f t="shared" si="5"/>
        <v>TADigital NA Digital - Sr. Business Analyst</v>
      </c>
    </row>
    <row r="295" spans="1:5" x14ac:dyDescent="0.3">
      <c r="A295" s="1188" t="s">
        <v>917</v>
      </c>
      <c r="B295" s="1188" t="s">
        <v>717</v>
      </c>
      <c r="C295" s="1189">
        <v>195</v>
      </c>
      <c r="D295" s="1189">
        <v>1560</v>
      </c>
      <c r="E295" t="str">
        <f t="shared" si="5"/>
        <v>TADigital NA Digital - BA Lead</v>
      </c>
    </row>
    <row r="296" spans="1:5" x14ac:dyDescent="0.3">
      <c r="A296" s="1188" t="s">
        <v>917</v>
      </c>
      <c r="B296" s="1188" t="s">
        <v>719</v>
      </c>
      <c r="C296" s="1189">
        <v>125</v>
      </c>
      <c r="D296" s="1189">
        <v>1000</v>
      </c>
      <c r="E296" t="str">
        <f t="shared" si="5"/>
        <v>TADigital NA Digital - QA Engineer</v>
      </c>
    </row>
    <row r="297" spans="1:5" x14ac:dyDescent="0.3">
      <c r="A297" s="1188" t="s">
        <v>917</v>
      </c>
      <c r="B297" s="1188" t="s">
        <v>721</v>
      </c>
      <c r="C297" s="1189">
        <v>145</v>
      </c>
      <c r="D297" s="1189">
        <v>1160</v>
      </c>
      <c r="E297" t="str">
        <f t="shared" si="5"/>
        <v>TADigital NA Digital - Sr. QA Engineer</v>
      </c>
    </row>
    <row r="298" spans="1:5" x14ac:dyDescent="0.3">
      <c r="A298" s="1188" t="s">
        <v>917</v>
      </c>
      <c r="B298" s="1188" t="s">
        <v>723</v>
      </c>
      <c r="C298" s="1189">
        <v>170</v>
      </c>
      <c r="D298" s="1189">
        <v>1360</v>
      </c>
      <c r="E298" t="str">
        <f t="shared" si="5"/>
        <v>TADigital NA Digital - QA Lead</v>
      </c>
    </row>
    <row r="299" spans="1:5" x14ac:dyDescent="0.3">
      <c r="A299" s="1188" t="s">
        <v>917</v>
      </c>
      <c r="B299" s="1188" t="s">
        <v>725</v>
      </c>
      <c r="C299" s="1189">
        <v>190</v>
      </c>
      <c r="D299" s="1189">
        <v>1520</v>
      </c>
      <c r="E299" t="str">
        <f t="shared" si="5"/>
        <v>TADigital NA Digital - QA Manager</v>
      </c>
    </row>
    <row r="300" spans="1:5" x14ac:dyDescent="0.3">
      <c r="A300" s="1188" t="s">
        <v>917</v>
      </c>
      <c r="B300" s="1188" t="s">
        <v>480</v>
      </c>
      <c r="C300" s="1189">
        <v>130</v>
      </c>
      <c r="D300" s="1189">
        <v>1040</v>
      </c>
      <c r="E300" t="str">
        <f t="shared" si="5"/>
        <v>TADigital NA Digital - DevOps Engineer</v>
      </c>
    </row>
    <row r="301" spans="1:5" x14ac:dyDescent="0.3">
      <c r="A301" s="1188" t="s">
        <v>917</v>
      </c>
      <c r="B301" s="1188" t="s">
        <v>728</v>
      </c>
      <c r="C301" s="1189">
        <v>160</v>
      </c>
      <c r="D301" s="1189">
        <v>1280</v>
      </c>
      <c r="E301" t="str">
        <f t="shared" si="5"/>
        <v>TADigital NA Digital - Sr. DevOps Engineer</v>
      </c>
    </row>
    <row r="302" spans="1:5" x14ac:dyDescent="0.3">
      <c r="A302" s="1188" t="s">
        <v>917</v>
      </c>
      <c r="B302" s="1188" t="s">
        <v>730</v>
      </c>
      <c r="C302" s="1189">
        <v>185</v>
      </c>
      <c r="D302" s="1189">
        <v>1480</v>
      </c>
      <c r="E302" t="str">
        <f t="shared" si="5"/>
        <v>TADigital NA Digital - DevOps Lead</v>
      </c>
    </row>
    <row r="303" spans="1:5" x14ac:dyDescent="0.3">
      <c r="A303" s="1188" t="s">
        <v>917</v>
      </c>
      <c r="B303" s="1188" t="s">
        <v>732</v>
      </c>
      <c r="C303" s="1189">
        <v>235</v>
      </c>
      <c r="D303" s="1189">
        <v>1880</v>
      </c>
      <c r="E303" t="str">
        <f t="shared" si="5"/>
        <v>TADigital NA Digital - DevOps Architect</v>
      </c>
    </row>
    <row r="304" spans="1:5" x14ac:dyDescent="0.3">
      <c r="A304" s="1188" t="s">
        <v>917</v>
      </c>
      <c r="B304" s="1188" t="s">
        <v>734</v>
      </c>
      <c r="C304" s="1189">
        <v>265</v>
      </c>
      <c r="D304" s="1189">
        <v>2120</v>
      </c>
      <c r="E304" t="str">
        <f t="shared" si="5"/>
        <v>TADigital NA Digital - Enterprise DevOps Architect</v>
      </c>
    </row>
    <row r="305" spans="1:5" x14ac:dyDescent="0.3">
      <c r="A305" s="1188" t="s">
        <v>917</v>
      </c>
      <c r="B305" s="1188" t="s">
        <v>736</v>
      </c>
      <c r="C305" s="1189">
        <v>135</v>
      </c>
      <c r="D305" s="1189">
        <v>1080</v>
      </c>
      <c r="E305" t="str">
        <f t="shared" si="5"/>
        <v>TADigital NA Digital - Marketing Analyst</v>
      </c>
    </row>
    <row r="306" spans="1:5" x14ac:dyDescent="0.3">
      <c r="A306" s="1188" t="s">
        <v>917</v>
      </c>
      <c r="B306" s="1188" t="s">
        <v>738</v>
      </c>
      <c r="C306" s="1189">
        <v>160</v>
      </c>
      <c r="D306" s="1189">
        <v>1280</v>
      </c>
      <c r="E306" t="str">
        <f t="shared" si="5"/>
        <v>TADigital NA Digital - Sr. Marketing Analyst</v>
      </c>
    </row>
    <row r="307" spans="1:5" x14ac:dyDescent="0.3">
      <c r="A307" s="1188" t="s">
        <v>917</v>
      </c>
      <c r="B307" s="1188" t="s">
        <v>740</v>
      </c>
      <c r="C307" s="1189">
        <v>185</v>
      </c>
      <c r="D307" s="1189">
        <v>1480</v>
      </c>
      <c r="E307" t="str">
        <f t="shared" si="5"/>
        <v>TADigital NA Digital - Marketing Lead</v>
      </c>
    </row>
    <row r="308" spans="1:5" x14ac:dyDescent="0.3">
      <c r="A308" s="1188" t="s">
        <v>917</v>
      </c>
      <c r="B308" s="1188" t="s">
        <v>742</v>
      </c>
      <c r="C308" s="1189">
        <v>210</v>
      </c>
      <c r="D308" s="1189">
        <v>1680</v>
      </c>
      <c r="E308" t="str">
        <f t="shared" si="5"/>
        <v>TADigital NA Digital - Marketing Architect</v>
      </c>
    </row>
    <row r="309" spans="1:5" x14ac:dyDescent="0.3">
      <c r="A309" s="1188" t="s">
        <v>917</v>
      </c>
      <c r="B309" s="1188" t="s">
        <v>744</v>
      </c>
      <c r="C309" s="1189">
        <v>370</v>
      </c>
      <c r="D309" s="1189">
        <v>2960</v>
      </c>
      <c r="E309" t="str">
        <f t="shared" si="5"/>
        <v>TADigital NA Digital - Practice VP / Delivery VP</v>
      </c>
    </row>
    <row r="310" spans="1:5" x14ac:dyDescent="0.3">
      <c r="A310" s="1188" t="s">
        <v>919</v>
      </c>
      <c r="B310" s="1188" t="s">
        <v>920</v>
      </c>
      <c r="C310" s="1189">
        <v>0</v>
      </c>
      <c r="D310" s="1189">
        <v>0</v>
      </c>
    </row>
    <row r="311" spans="1:5" x14ac:dyDescent="0.3">
      <c r="A311" s="1188" t="s">
        <v>919</v>
      </c>
      <c r="B311" s="1188" t="s">
        <v>921</v>
      </c>
      <c r="C311" s="1189">
        <v>0</v>
      </c>
      <c r="D311" s="1189">
        <v>0</v>
      </c>
    </row>
    <row r="312" spans="1:5" x14ac:dyDescent="0.3">
      <c r="A312" s="1188" t="s">
        <v>919</v>
      </c>
      <c r="B312" s="1188" t="s">
        <v>922</v>
      </c>
      <c r="C312" s="1189">
        <v>0</v>
      </c>
      <c r="D312" s="1189">
        <v>0</v>
      </c>
    </row>
    <row r="313" spans="1:5" x14ac:dyDescent="0.3">
      <c r="A313" s="1188" t="s">
        <v>919</v>
      </c>
      <c r="B313" s="1188" t="s">
        <v>923</v>
      </c>
      <c r="C313" s="1189">
        <v>0</v>
      </c>
      <c r="D313" s="1189">
        <v>0</v>
      </c>
    </row>
    <row r="314" spans="1:5" x14ac:dyDescent="0.3">
      <c r="A314" s="1188" t="s">
        <v>919</v>
      </c>
      <c r="B314" s="1188" t="s">
        <v>924</v>
      </c>
      <c r="C314" s="1189">
        <v>0</v>
      </c>
      <c r="D314" s="1189">
        <v>0</v>
      </c>
    </row>
    <row r="315" spans="1:5" x14ac:dyDescent="0.3">
      <c r="A315" s="1188" t="s">
        <v>919</v>
      </c>
      <c r="B315" s="1188" t="s">
        <v>925</v>
      </c>
      <c r="C315" s="1189">
        <v>0</v>
      </c>
      <c r="D315" s="1189">
        <v>0</v>
      </c>
    </row>
    <row r="316" spans="1:5" x14ac:dyDescent="0.3">
      <c r="A316" s="1188" t="s">
        <v>919</v>
      </c>
      <c r="B316" s="1188" t="s">
        <v>926</v>
      </c>
      <c r="C316" s="1189">
        <v>0</v>
      </c>
      <c r="D316" s="1189">
        <v>0</v>
      </c>
    </row>
    <row r="317" spans="1:5" x14ac:dyDescent="0.3">
      <c r="A317" s="1188" t="s">
        <v>919</v>
      </c>
      <c r="B317" s="1188" t="s">
        <v>927</v>
      </c>
      <c r="C317" s="1189">
        <v>0</v>
      </c>
      <c r="D317" s="1189">
        <v>0</v>
      </c>
    </row>
    <row r="318" spans="1:5" x14ac:dyDescent="0.3">
      <c r="A318" s="1188" t="s">
        <v>919</v>
      </c>
      <c r="B318" s="1188" t="s">
        <v>928</v>
      </c>
      <c r="C318" s="1189">
        <v>0</v>
      </c>
      <c r="D318" s="1189">
        <v>0</v>
      </c>
    </row>
    <row r="319" spans="1:5" x14ac:dyDescent="0.3">
      <c r="A319" s="1188" t="s">
        <v>919</v>
      </c>
      <c r="B319" s="1188" t="s">
        <v>929</v>
      </c>
      <c r="C319" s="1189">
        <v>0</v>
      </c>
      <c r="D319" s="1189">
        <v>0</v>
      </c>
    </row>
    <row r="320" spans="1:5" x14ac:dyDescent="0.3">
      <c r="A320" s="1188" t="s">
        <v>919</v>
      </c>
      <c r="B320" s="1188" t="s">
        <v>930</v>
      </c>
      <c r="C320" s="1189">
        <v>0</v>
      </c>
      <c r="D320" s="1189">
        <v>0</v>
      </c>
    </row>
    <row r="321" spans="1:4" x14ac:dyDescent="0.3">
      <c r="A321" s="1188" t="s">
        <v>919</v>
      </c>
      <c r="B321" s="1188" t="s">
        <v>931</v>
      </c>
      <c r="C321" s="1189">
        <v>0</v>
      </c>
      <c r="D321" s="1189">
        <v>0</v>
      </c>
    </row>
    <row r="322" spans="1:4" x14ac:dyDescent="0.3">
      <c r="A322" s="1188" t="s">
        <v>919</v>
      </c>
      <c r="B322" s="1188" t="s">
        <v>932</v>
      </c>
      <c r="C322" s="1189">
        <v>0</v>
      </c>
      <c r="D322" s="1189">
        <v>0</v>
      </c>
    </row>
    <row r="323" spans="1:4" x14ac:dyDescent="0.3">
      <c r="A323" s="1188" t="s">
        <v>919</v>
      </c>
      <c r="B323" s="1188" t="s">
        <v>933</v>
      </c>
      <c r="C323" s="1189">
        <v>0</v>
      </c>
      <c r="D323" s="1189">
        <v>0</v>
      </c>
    </row>
    <row r="324" spans="1:4" x14ac:dyDescent="0.3">
      <c r="A324" s="1188" t="s">
        <v>919</v>
      </c>
      <c r="B324" s="1188" t="s">
        <v>934</v>
      </c>
      <c r="C324" s="1189">
        <v>0</v>
      </c>
      <c r="D324" s="1189">
        <v>0</v>
      </c>
    </row>
    <row r="325" spans="1:4" x14ac:dyDescent="0.3">
      <c r="A325" s="1188" t="s">
        <v>919</v>
      </c>
      <c r="B325" s="1188" t="s">
        <v>935</v>
      </c>
      <c r="C325" s="1189">
        <v>0</v>
      </c>
      <c r="D325" s="1189">
        <v>0</v>
      </c>
    </row>
    <row r="326" spans="1:4" x14ac:dyDescent="0.3">
      <c r="A326" s="1188" t="s">
        <v>919</v>
      </c>
      <c r="B326" s="1188" t="s">
        <v>936</v>
      </c>
      <c r="C326" s="1189">
        <v>0</v>
      </c>
      <c r="D326" s="1189">
        <v>0</v>
      </c>
    </row>
    <row r="327" spans="1:4" x14ac:dyDescent="0.3">
      <c r="A327" s="1188" t="s">
        <v>919</v>
      </c>
      <c r="B327" s="1188" t="s">
        <v>937</v>
      </c>
      <c r="C327" s="1189">
        <v>0</v>
      </c>
      <c r="D327" s="1189">
        <v>0</v>
      </c>
    </row>
    <row r="328" spans="1:4" x14ac:dyDescent="0.3">
      <c r="A328" s="1188" t="s">
        <v>919</v>
      </c>
      <c r="B328" s="1188" t="s">
        <v>938</v>
      </c>
      <c r="C328" s="1189">
        <v>0</v>
      </c>
      <c r="D328" s="1189">
        <v>0</v>
      </c>
    </row>
    <row r="329" spans="1:4" x14ac:dyDescent="0.3">
      <c r="A329" s="1188" t="s">
        <v>919</v>
      </c>
      <c r="B329" s="1188" t="s">
        <v>939</v>
      </c>
      <c r="C329" s="1189">
        <v>0</v>
      </c>
      <c r="D329" s="1189">
        <v>0</v>
      </c>
    </row>
    <row r="330" spans="1:4" x14ac:dyDescent="0.3">
      <c r="A330" s="1188" t="s">
        <v>919</v>
      </c>
      <c r="B330" s="1188" t="s">
        <v>940</v>
      </c>
      <c r="C330" s="1189">
        <v>0</v>
      </c>
      <c r="D330" s="1189">
        <v>0</v>
      </c>
    </row>
    <row r="331" spans="1:4" x14ac:dyDescent="0.3">
      <c r="A331" s="1188" t="s">
        <v>919</v>
      </c>
      <c r="B331" s="1188" t="s">
        <v>941</v>
      </c>
      <c r="C331" s="1189">
        <v>0</v>
      </c>
      <c r="D331" s="1189">
        <v>0</v>
      </c>
    </row>
    <row r="332" spans="1:4" x14ac:dyDescent="0.3">
      <c r="A332" s="1188" t="s">
        <v>919</v>
      </c>
      <c r="B332" s="1188" t="s">
        <v>942</v>
      </c>
      <c r="C332" s="1189">
        <v>0</v>
      </c>
      <c r="D332" s="1189">
        <v>0</v>
      </c>
    </row>
    <row r="333" spans="1:4" x14ac:dyDescent="0.3">
      <c r="A333" s="1188" t="s">
        <v>919</v>
      </c>
      <c r="B333" s="1188" t="s">
        <v>943</v>
      </c>
      <c r="C333" s="1189">
        <v>0</v>
      </c>
      <c r="D333" s="1189">
        <v>0</v>
      </c>
    </row>
    <row r="334" spans="1:4" x14ac:dyDescent="0.3">
      <c r="A334" s="1188" t="s">
        <v>919</v>
      </c>
      <c r="B334" s="1188" t="s">
        <v>944</v>
      </c>
      <c r="C334" s="1189">
        <v>0</v>
      </c>
      <c r="D334" s="1189">
        <v>0</v>
      </c>
    </row>
    <row r="335" spans="1:4" x14ac:dyDescent="0.3">
      <c r="A335" s="1188" t="s">
        <v>919</v>
      </c>
      <c r="B335" s="1188" t="s">
        <v>945</v>
      </c>
      <c r="C335" s="1189">
        <v>0</v>
      </c>
      <c r="D335" s="1189">
        <v>0</v>
      </c>
    </row>
    <row r="336" spans="1:4" x14ac:dyDescent="0.3">
      <c r="A336" s="1188" t="s">
        <v>919</v>
      </c>
      <c r="B336" s="1188" t="s">
        <v>946</v>
      </c>
      <c r="C336" s="1189">
        <v>0</v>
      </c>
      <c r="D336" s="1189">
        <v>0</v>
      </c>
    </row>
    <row r="337" spans="1:4" x14ac:dyDescent="0.3">
      <c r="A337" s="1188" t="s">
        <v>919</v>
      </c>
      <c r="B337" s="1188" t="s">
        <v>947</v>
      </c>
      <c r="C337" s="1189">
        <v>0</v>
      </c>
      <c r="D337" s="1189">
        <v>0</v>
      </c>
    </row>
    <row r="338" spans="1:4" x14ac:dyDescent="0.3">
      <c r="A338" s="1188" t="s">
        <v>919</v>
      </c>
      <c r="B338" s="1188" t="s">
        <v>948</v>
      </c>
      <c r="C338" s="1189">
        <v>0</v>
      </c>
      <c r="D338" s="1189">
        <v>0</v>
      </c>
    </row>
    <row r="339" spans="1:4" x14ac:dyDescent="0.3">
      <c r="A339" s="1188" t="s">
        <v>919</v>
      </c>
      <c r="B339" s="1188" t="s">
        <v>949</v>
      </c>
      <c r="C339" s="1189">
        <v>0</v>
      </c>
      <c r="D339" s="1189">
        <v>0</v>
      </c>
    </row>
    <row r="340" spans="1:4" x14ac:dyDescent="0.3">
      <c r="A340" s="1188" t="s">
        <v>919</v>
      </c>
      <c r="B340" s="1188" t="s">
        <v>950</v>
      </c>
      <c r="C340" s="1189">
        <v>0</v>
      </c>
      <c r="D340" s="1189">
        <v>0</v>
      </c>
    </row>
    <row r="341" spans="1:4" x14ac:dyDescent="0.3">
      <c r="A341" s="1188" t="s">
        <v>919</v>
      </c>
      <c r="B341" s="1188" t="s">
        <v>951</v>
      </c>
      <c r="C341" s="1189">
        <v>0</v>
      </c>
      <c r="D341" s="1189">
        <v>0</v>
      </c>
    </row>
    <row r="342" spans="1:4" x14ac:dyDescent="0.3">
      <c r="A342" s="1188" t="s">
        <v>919</v>
      </c>
      <c r="B342" s="1188" t="s">
        <v>952</v>
      </c>
      <c r="C342" s="1189">
        <v>0</v>
      </c>
      <c r="D342" s="1189">
        <v>0</v>
      </c>
    </row>
    <row r="343" spans="1:4" x14ac:dyDescent="0.3">
      <c r="A343" s="1188" t="s">
        <v>919</v>
      </c>
      <c r="B343" s="1188" t="s">
        <v>953</v>
      </c>
      <c r="C343" s="1189">
        <v>0</v>
      </c>
      <c r="D343" s="1189">
        <v>0</v>
      </c>
    </row>
    <row r="344" spans="1:4" x14ac:dyDescent="0.3">
      <c r="A344" s="1188" t="s">
        <v>919</v>
      </c>
      <c r="B344" s="1188" t="s">
        <v>954</v>
      </c>
      <c r="C344" s="1189">
        <v>0</v>
      </c>
      <c r="D344" s="1189">
        <v>0</v>
      </c>
    </row>
    <row r="345" spans="1:4" x14ac:dyDescent="0.3">
      <c r="A345" s="1188" t="s">
        <v>919</v>
      </c>
      <c r="B345" s="1188" t="s">
        <v>955</v>
      </c>
      <c r="C345" s="1189">
        <v>0</v>
      </c>
      <c r="D345" s="1189">
        <v>0</v>
      </c>
    </row>
    <row r="346" spans="1:4" x14ac:dyDescent="0.3">
      <c r="A346" s="1188" t="s">
        <v>919</v>
      </c>
      <c r="B346" s="1188" t="s">
        <v>956</v>
      </c>
      <c r="C346" s="1189">
        <v>0</v>
      </c>
      <c r="D346" s="1189">
        <v>0</v>
      </c>
    </row>
    <row r="347" spans="1:4" x14ac:dyDescent="0.3">
      <c r="A347" s="1188" t="s">
        <v>919</v>
      </c>
      <c r="B347" s="1188" t="s">
        <v>957</v>
      </c>
      <c r="C347" s="1189">
        <v>0</v>
      </c>
      <c r="D347" s="1189">
        <v>0</v>
      </c>
    </row>
    <row r="348" spans="1:4" x14ac:dyDescent="0.3">
      <c r="A348" s="1188" t="s">
        <v>919</v>
      </c>
      <c r="B348" s="1188" t="s">
        <v>958</v>
      </c>
      <c r="C348" s="1189">
        <v>0</v>
      </c>
      <c r="D348" s="1189">
        <v>0</v>
      </c>
    </row>
    <row r="349" spans="1:4" x14ac:dyDescent="0.3">
      <c r="A349" s="1188" t="s">
        <v>919</v>
      </c>
      <c r="B349" s="1188" t="s">
        <v>959</v>
      </c>
      <c r="C349" s="1189">
        <v>0</v>
      </c>
      <c r="D349" s="1189">
        <v>0</v>
      </c>
    </row>
    <row r="350" spans="1:4" x14ac:dyDescent="0.3">
      <c r="A350" s="1188" t="s">
        <v>919</v>
      </c>
      <c r="B350" s="1188" t="s">
        <v>960</v>
      </c>
      <c r="C350" s="1189">
        <v>0</v>
      </c>
      <c r="D350" s="1189">
        <v>0</v>
      </c>
    </row>
    <row r="351" spans="1:4" x14ac:dyDescent="0.3">
      <c r="A351" s="1188" t="s">
        <v>919</v>
      </c>
      <c r="B351" s="1188" t="s">
        <v>961</v>
      </c>
      <c r="C351" s="1189">
        <v>0</v>
      </c>
      <c r="D351" s="1189">
        <v>0</v>
      </c>
    </row>
    <row r="352" spans="1:4" x14ac:dyDescent="0.3">
      <c r="A352" s="1188" t="s">
        <v>919</v>
      </c>
      <c r="B352" s="1188" t="s">
        <v>962</v>
      </c>
      <c r="C352" s="1189">
        <v>0</v>
      </c>
      <c r="D352" s="1189">
        <v>0</v>
      </c>
    </row>
    <row r="353" spans="1:4" x14ac:dyDescent="0.3">
      <c r="A353" s="1188" t="s">
        <v>919</v>
      </c>
      <c r="B353" s="1188" t="s">
        <v>963</v>
      </c>
      <c r="C353" s="1189">
        <v>0</v>
      </c>
      <c r="D353" s="1189">
        <v>0</v>
      </c>
    </row>
    <row r="354" spans="1:4" x14ac:dyDescent="0.3">
      <c r="A354" s="1188" t="s">
        <v>919</v>
      </c>
      <c r="B354" s="1188" t="s">
        <v>964</v>
      </c>
      <c r="C354" s="1189">
        <v>0</v>
      </c>
      <c r="D354" s="1189">
        <v>0</v>
      </c>
    </row>
    <row r="355" spans="1:4" x14ac:dyDescent="0.3">
      <c r="A355" s="1188" t="s">
        <v>919</v>
      </c>
      <c r="B355" s="1188" t="s">
        <v>965</v>
      </c>
      <c r="C355" s="1189">
        <v>0</v>
      </c>
      <c r="D355" s="1189">
        <v>0</v>
      </c>
    </row>
    <row r="356" spans="1:4" x14ac:dyDescent="0.3">
      <c r="A356" s="1188" t="s">
        <v>919</v>
      </c>
      <c r="B356" s="1188" t="s">
        <v>966</v>
      </c>
      <c r="C356" s="1189">
        <v>0</v>
      </c>
      <c r="D356" s="1189">
        <v>0</v>
      </c>
    </row>
    <row r="357" spans="1:4" x14ac:dyDescent="0.3">
      <c r="A357" s="1188" t="s">
        <v>919</v>
      </c>
      <c r="B357" s="1188" t="s">
        <v>967</v>
      </c>
      <c r="C357" s="1189">
        <v>0</v>
      </c>
      <c r="D357" s="1189">
        <v>0</v>
      </c>
    </row>
    <row r="358" spans="1:4" x14ac:dyDescent="0.3">
      <c r="A358" s="1188" t="s">
        <v>919</v>
      </c>
      <c r="B358" s="1188" t="s">
        <v>968</v>
      </c>
      <c r="C358" s="1189">
        <v>0</v>
      </c>
      <c r="D358" s="1189">
        <v>0</v>
      </c>
    </row>
    <row r="359" spans="1:4" x14ac:dyDescent="0.3">
      <c r="A359" s="1188" t="s">
        <v>919</v>
      </c>
      <c r="B359" s="1188" t="s">
        <v>969</v>
      </c>
      <c r="C359" s="1189">
        <v>0</v>
      </c>
      <c r="D359" s="1189">
        <v>0</v>
      </c>
    </row>
    <row r="360" spans="1:4" x14ac:dyDescent="0.3">
      <c r="A360" s="1188" t="s">
        <v>919</v>
      </c>
      <c r="B360" s="1188" t="s">
        <v>970</v>
      </c>
      <c r="C360" s="1189">
        <v>0</v>
      </c>
      <c r="D360" s="1189">
        <v>0</v>
      </c>
    </row>
    <row r="361" spans="1:4" x14ac:dyDescent="0.3">
      <c r="A361" s="1188" t="s">
        <v>919</v>
      </c>
      <c r="B361" s="1188" t="s">
        <v>971</v>
      </c>
      <c r="C361" s="1189">
        <v>0</v>
      </c>
      <c r="D361" s="1189">
        <v>0</v>
      </c>
    </row>
    <row r="362" spans="1:4" x14ac:dyDescent="0.3">
      <c r="A362" s="1188" t="s">
        <v>919</v>
      </c>
      <c r="B362" s="1188" t="s">
        <v>972</v>
      </c>
      <c r="C362" s="1189">
        <v>0</v>
      </c>
      <c r="D362" s="1189">
        <v>0</v>
      </c>
    </row>
    <row r="363" spans="1:4" x14ac:dyDescent="0.3">
      <c r="A363" s="1188" t="s">
        <v>919</v>
      </c>
      <c r="B363" s="1188" t="s">
        <v>973</v>
      </c>
      <c r="C363" s="1189">
        <v>0</v>
      </c>
      <c r="D363" s="1189">
        <v>0</v>
      </c>
    </row>
    <row r="364" spans="1:4" x14ac:dyDescent="0.3">
      <c r="A364" s="1188" t="s">
        <v>919</v>
      </c>
      <c r="B364" s="1188" t="s">
        <v>974</v>
      </c>
      <c r="C364" s="1189">
        <v>0</v>
      </c>
      <c r="D364" s="1189">
        <v>0</v>
      </c>
    </row>
    <row r="365" spans="1:4" x14ac:dyDescent="0.3">
      <c r="A365" s="1188" t="s">
        <v>919</v>
      </c>
      <c r="B365" s="1188" t="s">
        <v>975</v>
      </c>
      <c r="C365" s="1189">
        <v>0</v>
      </c>
      <c r="D365" s="1189">
        <v>0</v>
      </c>
    </row>
    <row r="366" spans="1:4" x14ac:dyDescent="0.3">
      <c r="A366" s="1188" t="s">
        <v>919</v>
      </c>
      <c r="B366" s="1188" t="s">
        <v>976</v>
      </c>
      <c r="C366" s="1189">
        <v>0</v>
      </c>
      <c r="D366" s="1189">
        <v>0</v>
      </c>
    </row>
    <row r="367" spans="1:4" x14ac:dyDescent="0.3">
      <c r="A367" s="1188" t="s">
        <v>919</v>
      </c>
      <c r="B367" s="1188" t="s">
        <v>977</v>
      </c>
      <c r="C367" s="1189">
        <v>0</v>
      </c>
      <c r="D367" s="1189">
        <v>0</v>
      </c>
    </row>
    <row r="368" spans="1:4" x14ac:dyDescent="0.3">
      <c r="A368" s="1188" t="s">
        <v>919</v>
      </c>
      <c r="B368" s="1188" t="s">
        <v>978</v>
      </c>
      <c r="C368" s="1189">
        <v>0</v>
      </c>
      <c r="D368" s="1189">
        <v>0</v>
      </c>
    </row>
    <row r="369" spans="1:4" x14ac:dyDescent="0.3">
      <c r="A369" s="1188" t="s">
        <v>919</v>
      </c>
      <c r="B369" s="1188" t="s">
        <v>979</v>
      </c>
      <c r="C369" s="1189">
        <v>0</v>
      </c>
      <c r="D369" s="1189">
        <v>0</v>
      </c>
    </row>
    <row r="370" spans="1:4" x14ac:dyDescent="0.3">
      <c r="A370" s="1188" t="s">
        <v>919</v>
      </c>
      <c r="B370" s="1188" t="s">
        <v>980</v>
      </c>
      <c r="C370" s="1189">
        <v>0</v>
      </c>
      <c r="D370" s="1189">
        <v>0</v>
      </c>
    </row>
    <row r="371" spans="1:4" x14ac:dyDescent="0.3">
      <c r="A371" s="1188" t="s">
        <v>919</v>
      </c>
      <c r="B371" s="1188" t="s">
        <v>981</v>
      </c>
      <c r="C371" s="1189">
        <v>0</v>
      </c>
      <c r="D371" s="1189">
        <v>0</v>
      </c>
    </row>
    <row r="372" spans="1:4" x14ac:dyDescent="0.3">
      <c r="A372" s="1188" t="s">
        <v>919</v>
      </c>
      <c r="B372" s="1188" t="s">
        <v>982</v>
      </c>
      <c r="C372" s="1189">
        <v>0</v>
      </c>
      <c r="D372" s="1189">
        <v>0</v>
      </c>
    </row>
    <row r="373" spans="1:4" x14ac:dyDescent="0.3">
      <c r="A373" s="1188" t="s">
        <v>919</v>
      </c>
      <c r="B373" s="1188" t="s">
        <v>983</v>
      </c>
      <c r="C373" s="1189">
        <v>0</v>
      </c>
      <c r="D373" s="1189">
        <v>0</v>
      </c>
    </row>
    <row r="374" spans="1:4" x14ac:dyDescent="0.3">
      <c r="A374" s="1188" t="s">
        <v>919</v>
      </c>
      <c r="B374" s="1188" t="s">
        <v>984</v>
      </c>
      <c r="C374" s="1189">
        <v>0</v>
      </c>
      <c r="D374" s="1189">
        <v>0</v>
      </c>
    </row>
    <row r="375" spans="1:4" x14ac:dyDescent="0.3">
      <c r="A375" s="1188" t="s">
        <v>919</v>
      </c>
      <c r="B375" s="1188" t="s">
        <v>985</v>
      </c>
      <c r="C375" s="1189">
        <v>0</v>
      </c>
      <c r="D375" s="1189">
        <v>0</v>
      </c>
    </row>
    <row r="376" spans="1:4" x14ac:dyDescent="0.3">
      <c r="A376" s="1188" t="s">
        <v>919</v>
      </c>
      <c r="B376" s="1188" t="s">
        <v>986</v>
      </c>
      <c r="C376" s="1189">
        <v>0</v>
      </c>
      <c r="D376" s="1189">
        <v>0</v>
      </c>
    </row>
    <row r="377" spans="1:4" x14ac:dyDescent="0.3">
      <c r="A377" s="1188" t="s">
        <v>919</v>
      </c>
      <c r="B377" s="1188" t="s">
        <v>987</v>
      </c>
      <c r="C377" s="1189">
        <v>0</v>
      </c>
      <c r="D377" s="1189">
        <v>0</v>
      </c>
    </row>
    <row r="378" spans="1:4" x14ac:dyDescent="0.3">
      <c r="A378" s="1188" t="s">
        <v>919</v>
      </c>
      <c r="B378" s="1188" t="s">
        <v>988</v>
      </c>
      <c r="C378" s="1189">
        <v>0</v>
      </c>
      <c r="D378" s="1189">
        <v>0</v>
      </c>
    </row>
    <row r="379" spans="1:4" x14ac:dyDescent="0.3">
      <c r="A379" s="1188" t="s">
        <v>919</v>
      </c>
      <c r="B379" s="1188" t="s">
        <v>989</v>
      </c>
      <c r="C379" s="1189">
        <v>0</v>
      </c>
      <c r="D379" s="1189">
        <v>0</v>
      </c>
    </row>
    <row r="380" spans="1:4" x14ac:dyDescent="0.3">
      <c r="A380" s="1188" t="s">
        <v>919</v>
      </c>
      <c r="B380" s="1188" t="s">
        <v>990</v>
      </c>
      <c r="C380" s="1189">
        <v>0</v>
      </c>
      <c r="D380" s="1189">
        <v>0</v>
      </c>
    </row>
    <row r="381" spans="1:4" x14ac:dyDescent="0.3">
      <c r="A381" s="1188" t="s">
        <v>919</v>
      </c>
      <c r="B381" s="1188" t="s">
        <v>991</v>
      </c>
      <c r="C381" s="1189">
        <v>0</v>
      </c>
      <c r="D381" s="1189">
        <v>0</v>
      </c>
    </row>
    <row r="382" spans="1:4" x14ac:dyDescent="0.3">
      <c r="A382" s="1188" t="s">
        <v>919</v>
      </c>
      <c r="B382" s="1188" t="s">
        <v>992</v>
      </c>
      <c r="C382" s="1189">
        <v>0</v>
      </c>
      <c r="D382" s="1189">
        <v>0</v>
      </c>
    </row>
    <row r="383" spans="1:4" x14ac:dyDescent="0.3">
      <c r="A383" s="1188" t="s">
        <v>919</v>
      </c>
      <c r="B383" s="1188" t="s">
        <v>993</v>
      </c>
      <c r="C383" s="1189">
        <v>0</v>
      </c>
      <c r="D383" s="1189">
        <v>0</v>
      </c>
    </row>
    <row r="384" spans="1:4" x14ac:dyDescent="0.3">
      <c r="A384" s="1188" t="s">
        <v>919</v>
      </c>
      <c r="B384" s="1188" t="s">
        <v>994</v>
      </c>
      <c r="C384" s="1189">
        <v>0</v>
      </c>
      <c r="D384" s="1189">
        <v>0</v>
      </c>
    </row>
    <row r="385" spans="1:4" x14ac:dyDescent="0.3">
      <c r="A385" s="1188" t="s">
        <v>919</v>
      </c>
      <c r="B385" s="1188" t="s">
        <v>995</v>
      </c>
      <c r="C385" s="1189">
        <v>0</v>
      </c>
      <c r="D385" s="1189">
        <v>0</v>
      </c>
    </row>
    <row r="386" spans="1:4" x14ac:dyDescent="0.3">
      <c r="A386" s="1188" t="s">
        <v>919</v>
      </c>
      <c r="B386" s="1188" t="s">
        <v>996</v>
      </c>
      <c r="C386" s="1189">
        <v>0</v>
      </c>
      <c r="D386" s="1189">
        <v>0</v>
      </c>
    </row>
    <row r="387" spans="1:4" x14ac:dyDescent="0.3">
      <c r="A387" s="1188" t="s">
        <v>919</v>
      </c>
      <c r="B387" s="1188" t="s">
        <v>997</v>
      </c>
      <c r="C387" s="1189">
        <v>0</v>
      </c>
      <c r="D387" s="1189">
        <v>0</v>
      </c>
    </row>
    <row r="388" spans="1:4" x14ac:dyDescent="0.3">
      <c r="A388" s="1188" t="s">
        <v>919</v>
      </c>
      <c r="B388" s="1188" t="s">
        <v>998</v>
      </c>
      <c r="C388" s="1189">
        <v>0</v>
      </c>
      <c r="D388" s="1189">
        <v>0</v>
      </c>
    </row>
    <row r="389" spans="1:4" x14ac:dyDescent="0.3">
      <c r="A389" s="1188" t="s">
        <v>919</v>
      </c>
      <c r="B389" s="1188" t="s">
        <v>999</v>
      </c>
      <c r="C389" s="1189">
        <v>0</v>
      </c>
      <c r="D389" s="1189">
        <v>0</v>
      </c>
    </row>
    <row r="390" spans="1:4" x14ac:dyDescent="0.3">
      <c r="A390" s="1188" t="s">
        <v>919</v>
      </c>
      <c r="B390" s="1188" t="s">
        <v>1000</v>
      </c>
      <c r="C390" s="1189">
        <v>0</v>
      </c>
      <c r="D390" s="1189">
        <v>0</v>
      </c>
    </row>
    <row r="391" spans="1:4" x14ac:dyDescent="0.3">
      <c r="A391" s="1188" t="s">
        <v>919</v>
      </c>
      <c r="B391" s="1188" t="s">
        <v>1001</v>
      </c>
      <c r="C391" s="1189">
        <v>0</v>
      </c>
      <c r="D391" s="1189">
        <v>0</v>
      </c>
    </row>
    <row r="392" spans="1:4" x14ac:dyDescent="0.3">
      <c r="A392" s="1188" t="s">
        <v>919</v>
      </c>
      <c r="B392" s="1188" t="s">
        <v>1002</v>
      </c>
      <c r="C392" s="1189">
        <v>0</v>
      </c>
      <c r="D392" s="1189">
        <v>0</v>
      </c>
    </row>
    <row r="393" spans="1:4" x14ac:dyDescent="0.3">
      <c r="A393" s="1188" t="s">
        <v>919</v>
      </c>
      <c r="B393" s="1188" t="s">
        <v>1003</v>
      </c>
      <c r="C393" s="1189">
        <v>0</v>
      </c>
      <c r="D393" s="1189">
        <v>0</v>
      </c>
    </row>
    <row r="394" spans="1:4" x14ac:dyDescent="0.3">
      <c r="A394" s="1188" t="s">
        <v>919</v>
      </c>
      <c r="B394" s="1188" t="s">
        <v>1004</v>
      </c>
      <c r="C394" s="1189">
        <v>0</v>
      </c>
      <c r="D394" s="1189">
        <v>0</v>
      </c>
    </row>
    <row r="395" spans="1:4" x14ac:dyDescent="0.3">
      <c r="A395" s="1188" t="s">
        <v>919</v>
      </c>
      <c r="B395" s="1188" t="s">
        <v>1005</v>
      </c>
      <c r="C395" s="1189">
        <v>0</v>
      </c>
      <c r="D395" s="1189">
        <v>0</v>
      </c>
    </row>
    <row r="396" spans="1:4" x14ac:dyDescent="0.3">
      <c r="A396" s="1188" t="s">
        <v>919</v>
      </c>
      <c r="B396" s="1188" t="s">
        <v>1006</v>
      </c>
      <c r="C396" s="1189">
        <v>0</v>
      </c>
      <c r="D396" s="1189">
        <v>0</v>
      </c>
    </row>
    <row r="397" spans="1:4" x14ac:dyDescent="0.3">
      <c r="A397" s="1188" t="s">
        <v>919</v>
      </c>
      <c r="B397" s="1188" t="s">
        <v>1007</v>
      </c>
      <c r="C397" s="1189">
        <v>0</v>
      </c>
      <c r="D397" s="1189">
        <v>0</v>
      </c>
    </row>
    <row r="398" spans="1:4" x14ac:dyDescent="0.3">
      <c r="A398" s="1188" t="s">
        <v>919</v>
      </c>
      <c r="B398" s="1188" t="s">
        <v>1008</v>
      </c>
      <c r="C398" s="1189">
        <v>0</v>
      </c>
      <c r="D398" s="1189">
        <v>0</v>
      </c>
    </row>
    <row r="399" spans="1:4" x14ac:dyDescent="0.3">
      <c r="A399" s="1188" t="s">
        <v>919</v>
      </c>
      <c r="B399" s="1188" t="s">
        <v>1009</v>
      </c>
      <c r="C399" s="1189">
        <v>0</v>
      </c>
      <c r="D399" s="1189">
        <v>0</v>
      </c>
    </row>
    <row r="400" spans="1:4" x14ac:dyDescent="0.3">
      <c r="A400" s="1188" t="s">
        <v>919</v>
      </c>
      <c r="B400" s="1188" t="s">
        <v>1010</v>
      </c>
      <c r="C400" s="1189">
        <v>0</v>
      </c>
      <c r="D400" s="1189">
        <v>0</v>
      </c>
    </row>
    <row r="401" spans="1:4" x14ac:dyDescent="0.3">
      <c r="A401" s="1188" t="s">
        <v>919</v>
      </c>
      <c r="B401" s="1188" t="s">
        <v>1011</v>
      </c>
      <c r="C401" s="1189">
        <v>0</v>
      </c>
      <c r="D401" s="1189">
        <v>0</v>
      </c>
    </row>
    <row r="402" spans="1:4" x14ac:dyDescent="0.3">
      <c r="A402" s="1188" t="s">
        <v>919</v>
      </c>
      <c r="B402" s="1188" t="s">
        <v>1012</v>
      </c>
      <c r="C402" s="1189">
        <v>0</v>
      </c>
      <c r="D402" s="1189">
        <v>0</v>
      </c>
    </row>
    <row r="403" spans="1:4" x14ac:dyDescent="0.3">
      <c r="A403" s="1188" t="s">
        <v>919</v>
      </c>
      <c r="B403" s="1188" t="s">
        <v>1013</v>
      </c>
      <c r="C403" s="1189">
        <v>0</v>
      </c>
      <c r="D403" s="1189">
        <v>0</v>
      </c>
    </row>
    <row r="404" spans="1:4" x14ac:dyDescent="0.3">
      <c r="A404" s="1188" t="s">
        <v>919</v>
      </c>
      <c r="B404" s="1188" t="s">
        <v>1014</v>
      </c>
      <c r="C404" s="1189">
        <v>0</v>
      </c>
      <c r="D404" s="1189">
        <v>0</v>
      </c>
    </row>
    <row r="405" spans="1:4" x14ac:dyDescent="0.3">
      <c r="A405" s="1188" t="s">
        <v>919</v>
      </c>
      <c r="B405" s="1188" t="s">
        <v>1015</v>
      </c>
      <c r="C405" s="1189">
        <v>0</v>
      </c>
      <c r="D405" s="1189">
        <v>0</v>
      </c>
    </row>
    <row r="406" spans="1:4" x14ac:dyDescent="0.3">
      <c r="A406" s="1188" t="s">
        <v>919</v>
      </c>
      <c r="B406" s="1188" t="s">
        <v>1016</v>
      </c>
      <c r="C406" s="1189">
        <v>0</v>
      </c>
      <c r="D406" s="1189">
        <v>0</v>
      </c>
    </row>
    <row r="407" spans="1:4" x14ac:dyDescent="0.3">
      <c r="A407" s="1188" t="s">
        <v>919</v>
      </c>
      <c r="B407" s="1188" t="s">
        <v>1017</v>
      </c>
      <c r="C407" s="1189">
        <v>0</v>
      </c>
      <c r="D407" s="1189">
        <v>0</v>
      </c>
    </row>
    <row r="408" spans="1:4" x14ac:dyDescent="0.3">
      <c r="A408" s="1188" t="s">
        <v>919</v>
      </c>
      <c r="B408" s="1188" t="s">
        <v>1018</v>
      </c>
      <c r="C408" s="1189">
        <v>0</v>
      </c>
      <c r="D408" s="1189">
        <v>0</v>
      </c>
    </row>
    <row r="409" spans="1:4" x14ac:dyDescent="0.3">
      <c r="A409" s="1188" t="s">
        <v>919</v>
      </c>
      <c r="B409" s="1188" t="s">
        <v>1019</v>
      </c>
      <c r="C409" s="1189">
        <v>0</v>
      </c>
      <c r="D409" s="1189">
        <v>0</v>
      </c>
    </row>
    <row r="410" spans="1:4" x14ac:dyDescent="0.3">
      <c r="A410" s="1188" t="s">
        <v>919</v>
      </c>
      <c r="B410" s="1188" t="s">
        <v>1020</v>
      </c>
      <c r="C410" s="1189">
        <v>0</v>
      </c>
      <c r="D410" s="1189">
        <v>0</v>
      </c>
    </row>
    <row r="411" spans="1:4" x14ac:dyDescent="0.3">
      <c r="A411" s="1188" t="s">
        <v>919</v>
      </c>
      <c r="B411" s="1188" t="s">
        <v>1021</v>
      </c>
      <c r="C411" s="1189">
        <v>0</v>
      </c>
      <c r="D411" s="1189">
        <v>0</v>
      </c>
    </row>
    <row r="412" spans="1:4" x14ac:dyDescent="0.3">
      <c r="A412" s="1188" t="s">
        <v>919</v>
      </c>
      <c r="B412" s="1188" t="s">
        <v>1022</v>
      </c>
      <c r="C412" s="1189">
        <v>0</v>
      </c>
      <c r="D412" s="1189">
        <v>0</v>
      </c>
    </row>
    <row r="413" spans="1:4" x14ac:dyDescent="0.3">
      <c r="A413" s="1188" t="s">
        <v>919</v>
      </c>
      <c r="B413" s="1188" t="s">
        <v>1023</v>
      </c>
      <c r="C413" s="1189">
        <v>0</v>
      </c>
      <c r="D413" s="1189">
        <v>0</v>
      </c>
    </row>
    <row r="414" spans="1:4" x14ac:dyDescent="0.3">
      <c r="A414" s="1188" t="s">
        <v>919</v>
      </c>
      <c r="B414" s="1188" t="s">
        <v>1024</v>
      </c>
      <c r="C414" s="1189">
        <v>0</v>
      </c>
      <c r="D414" s="1189">
        <v>0</v>
      </c>
    </row>
    <row r="415" spans="1:4" x14ac:dyDescent="0.3">
      <c r="A415" s="1188" t="s">
        <v>919</v>
      </c>
      <c r="B415" s="1188" t="s">
        <v>1025</v>
      </c>
      <c r="C415" s="1189">
        <v>0</v>
      </c>
      <c r="D415" s="1189">
        <v>0</v>
      </c>
    </row>
    <row r="416" spans="1:4" x14ac:dyDescent="0.3">
      <c r="A416" s="1188" t="s">
        <v>919</v>
      </c>
      <c r="B416" s="1188" t="s">
        <v>1026</v>
      </c>
      <c r="C416" s="1189">
        <v>0</v>
      </c>
      <c r="D416" s="1189">
        <v>0</v>
      </c>
    </row>
    <row r="417" spans="1:4" x14ac:dyDescent="0.3">
      <c r="A417" s="1188" t="s">
        <v>919</v>
      </c>
      <c r="B417" s="1188" t="s">
        <v>1027</v>
      </c>
      <c r="C417" s="1189">
        <v>0</v>
      </c>
      <c r="D417" s="1189">
        <v>0</v>
      </c>
    </row>
    <row r="418" spans="1:4" x14ac:dyDescent="0.3">
      <c r="A418" s="1188" t="s">
        <v>919</v>
      </c>
      <c r="B418" s="1188" t="s">
        <v>1028</v>
      </c>
      <c r="C418" s="1189">
        <v>0</v>
      </c>
      <c r="D418" s="1189">
        <v>0</v>
      </c>
    </row>
    <row r="419" spans="1:4" x14ac:dyDescent="0.3">
      <c r="A419" s="1188" t="s">
        <v>919</v>
      </c>
      <c r="B419" s="1188" t="s">
        <v>1029</v>
      </c>
      <c r="C419" s="1189">
        <v>0</v>
      </c>
      <c r="D419" s="1189">
        <v>0</v>
      </c>
    </row>
    <row r="420" spans="1:4" x14ac:dyDescent="0.3">
      <c r="A420" s="1188" t="s">
        <v>919</v>
      </c>
      <c r="B420" s="1188" t="s">
        <v>1030</v>
      </c>
      <c r="C420" s="1189">
        <v>0</v>
      </c>
      <c r="D420" s="1189">
        <v>0</v>
      </c>
    </row>
    <row r="421" spans="1:4" x14ac:dyDescent="0.3">
      <c r="A421" s="1188" t="s">
        <v>919</v>
      </c>
      <c r="B421" s="1188" t="s">
        <v>1031</v>
      </c>
      <c r="C421" s="1189">
        <v>0</v>
      </c>
      <c r="D421" s="1189">
        <v>0</v>
      </c>
    </row>
    <row r="422" spans="1:4" x14ac:dyDescent="0.3">
      <c r="A422" s="1188" t="s">
        <v>919</v>
      </c>
      <c r="B422" s="1188" t="s">
        <v>1032</v>
      </c>
      <c r="C422" s="1189">
        <v>0</v>
      </c>
      <c r="D422" s="1189">
        <v>0</v>
      </c>
    </row>
    <row r="423" spans="1:4" x14ac:dyDescent="0.3">
      <c r="A423" s="1188" t="s">
        <v>919</v>
      </c>
      <c r="B423" s="1188" t="s">
        <v>1033</v>
      </c>
      <c r="C423" s="1189">
        <v>0</v>
      </c>
      <c r="D423" s="1189">
        <v>0</v>
      </c>
    </row>
    <row r="424" spans="1:4" x14ac:dyDescent="0.3">
      <c r="A424" s="1188" t="s">
        <v>1034</v>
      </c>
      <c r="B424" s="1188" t="s">
        <v>1035</v>
      </c>
      <c r="C424" s="1189">
        <v>0</v>
      </c>
      <c r="D424" s="1189">
        <v>0</v>
      </c>
    </row>
    <row r="425" spans="1:4" x14ac:dyDescent="0.3">
      <c r="A425" s="1188" t="s">
        <v>1034</v>
      </c>
      <c r="B425" s="1188" t="s">
        <v>1036</v>
      </c>
      <c r="C425" s="1189">
        <v>0</v>
      </c>
      <c r="D425" s="1189">
        <v>0</v>
      </c>
    </row>
    <row r="426" spans="1:4" x14ac:dyDescent="0.3">
      <c r="A426" s="1188" t="s">
        <v>1034</v>
      </c>
      <c r="B426" s="1188" t="s">
        <v>1037</v>
      </c>
      <c r="C426" s="1189">
        <v>0</v>
      </c>
      <c r="D426" s="1189">
        <v>0</v>
      </c>
    </row>
    <row r="427" spans="1:4" x14ac:dyDescent="0.3">
      <c r="A427" s="1188" t="s">
        <v>1034</v>
      </c>
      <c r="B427" s="1188" t="s">
        <v>1038</v>
      </c>
      <c r="C427" s="1189">
        <v>0</v>
      </c>
      <c r="D427" s="1189">
        <v>0</v>
      </c>
    </row>
    <row r="428" spans="1:4" x14ac:dyDescent="0.3">
      <c r="A428" s="1188" t="s">
        <v>1034</v>
      </c>
      <c r="B428" s="1188" t="s">
        <v>1039</v>
      </c>
      <c r="C428" s="1189">
        <v>0</v>
      </c>
      <c r="D428" s="1189">
        <v>0</v>
      </c>
    </row>
    <row r="429" spans="1:4" x14ac:dyDescent="0.3">
      <c r="A429" s="1188" t="s">
        <v>1034</v>
      </c>
      <c r="B429" s="1188" t="s">
        <v>1040</v>
      </c>
      <c r="C429" s="1189">
        <v>0</v>
      </c>
      <c r="D429" s="1189">
        <v>0</v>
      </c>
    </row>
    <row r="430" spans="1:4" x14ac:dyDescent="0.3">
      <c r="A430" s="1188" t="s">
        <v>1034</v>
      </c>
      <c r="B430" s="1188" t="s">
        <v>1041</v>
      </c>
      <c r="C430" s="1189">
        <v>0</v>
      </c>
      <c r="D430" s="1189">
        <v>0</v>
      </c>
    </row>
    <row r="431" spans="1:4" x14ac:dyDescent="0.3">
      <c r="A431" s="1188" t="s">
        <v>1034</v>
      </c>
      <c r="B431" s="1188" t="s">
        <v>1042</v>
      </c>
      <c r="C431" s="1189">
        <v>0</v>
      </c>
      <c r="D431" s="1189">
        <v>0</v>
      </c>
    </row>
    <row r="432" spans="1:4" x14ac:dyDescent="0.3">
      <c r="A432" s="1188" t="s">
        <v>1034</v>
      </c>
      <c r="B432" s="1188" t="s">
        <v>1043</v>
      </c>
      <c r="C432" s="1189">
        <v>0</v>
      </c>
      <c r="D432" s="1189">
        <v>0</v>
      </c>
    </row>
    <row r="433" spans="1:4" x14ac:dyDescent="0.3">
      <c r="A433" s="1188" t="s">
        <v>1034</v>
      </c>
      <c r="B433" s="1188" t="s">
        <v>1044</v>
      </c>
      <c r="C433" s="1189">
        <v>0</v>
      </c>
      <c r="D433" s="1189">
        <v>0</v>
      </c>
    </row>
    <row r="434" spans="1:4" x14ac:dyDescent="0.3">
      <c r="A434" s="1188" t="s">
        <v>1034</v>
      </c>
      <c r="B434" s="1188" t="s">
        <v>1045</v>
      </c>
      <c r="C434" s="1189">
        <v>0</v>
      </c>
      <c r="D434" s="1189">
        <v>0</v>
      </c>
    </row>
    <row r="435" spans="1:4" x14ac:dyDescent="0.3">
      <c r="A435" s="1188" t="s">
        <v>1034</v>
      </c>
      <c r="B435" s="1188" t="s">
        <v>1046</v>
      </c>
      <c r="C435" s="1189">
        <v>0</v>
      </c>
      <c r="D435" s="1189">
        <v>0</v>
      </c>
    </row>
    <row r="436" spans="1:4" x14ac:dyDescent="0.3">
      <c r="A436" s="1188" t="s">
        <v>1034</v>
      </c>
      <c r="B436" s="1188" t="s">
        <v>1047</v>
      </c>
      <c r="C436" s="1189">
        <v>0</v>
      </c>
      <c r="D436" s="1189">
        <v>0</v>
      </c>
    </row>
    <row r="437" spans="1:4" x14ac:dyDescent="0.3">
      <c r="A437" s="1188" t="s">
        <v>1034</v>
      </c>
      <c r="B437" s="1188" t="s">
        <v>1048</v>
      </c>
      <c r="C437" s="1189">
        <v>0</v>
      </c>
      <c r="D437" s="1189">
        <v>0</v>
      </c>
    </row>
    <row r="438" spans="1:4" x14ac:dyDescent="0.3">
      <c r="A438" s="1188" t="s">
        <v>1034</v>
      </c>
      <c r="B438" s="1188" t="s">
        <v>1049</v>
      </c>
      <c r="C438" s="1189">
        <v>0</v>
      </c>
      <c r="D438" s="1189">
        <v>0</v>
      </c>
    </row>
    <row r="439" spans="1:4" x14ac:dyDescent="0.3">
      <c r="A439" s="1188" t="s">
        <v>1034</v>
      </c>
      <c r="B439" s="1188" t="s">
        <v>1050</v>
      </c>
      <c r="C439" s="1189">
        <v>0</v>
      </c>
      <c r="D439" s="1189">
        <v>0</v>
      </c>
    </row>
    <row r="440" spans="1:4" x14ac:dyDescent="0.3">
      <c r="A440" s="1188" t="s">
        <v>1034</v>
      </c>
      <c r="B440" s="1188" t="s">
        <v>1051</v>
      </c>
      <c r="C440" s="1189">
        <v>0</v>
      </c>
      <c r="D440" s="1189">
        <v>0</v>
      </c>
    </row>
    <row r="441" spans="1:4" x14ac:dyDescent="0.3">
      <c r="A441" s="1188" t="s">
        <v>1034</v>
      </c>
      <c r="B441" s="1188" t="s">
        <v>1052</v>
      </c>
      <c r="C441" s="1189">
        <v>0</v>
      </c>
      <c r="D441" s="1189">
        <v>0</v>
      </c>
    </row>
    <row r="442" spans="1:4" x14ac:dyDescent="0.3">
      <c r="A442" s="1188" t="s">
        <v>1034</v>
      </c>
      <c r="B442" s="1188" t="s">
        <v>1053</v>
      </c>
      <c r="C442" s="1189">
        <v>0</v>
      </c>
      <c r="D442" s="1189">
        <v>0</v>
      </c>
    </row>
    <row r="443" spans="1:4" x14ac:dyDescent="0.3">
      <c r="A443" s="1188" t="s">
        <v>1034</v>
      </c>
      <c r="B443" s="1188" t="s">
        <v>1054</v>
      </c>
      <c r="C443" s="1189">
        <v>0</v>
      </c>
      <c r="D443" s="1189">
        <v>0</v>
      </c>
    </row>
    <row r="444" spans="1:4" x14ac:dyDescent="0.3">
      <c r="A444" s="1188" t="s">
        <v>1034</v>
      </c>
      <c r="B444" s="1188" t="s">
        <v>1055</v>
      </c>
      <c r="C444" s="1189">
        <v>0</v>
      </c>
      <c r="D444" s="1189">
        <v>0</v>
      </c>
    </row>
    <row r="445" spans="1:4" x14ac:dyDescent="0.3">
      <c r="A445" s="1188" t="s">
        <v>1034</v>
      </c>
      <c r="B445" s="1188" t="s">
        <v>1056</v>
      </c>
      <c r="C445" s="1189">
        <v>0</v>
      </c>
      <c r="D445" s="1189">
        <v>0</v>
      </c>
    </row>
    <row r="446" spans="1:4" x14ac:dyDescent="0.3">
      <c r="A446" s="1188" t="s">
        <v>1057</v>
      </c>
      <c r="B446" s="1188" t="s">
        <v>1058</v>
      </c>
      <c r="C446" s="1189">
        <v>0</v>
      </c>
      <c r="D446" s="1189">
        <v>0</v>
      </c>
    </row>
    <row r="447" spans="1:4" x14ac:dyDescent="0.3">
      <c r="A447" s="1188" t="s">
        <v>1057</v>
      </c>
      <c r="B447" s="1188" t="s">
        <v>1059</v>
      </c>
      <c r="C447" s="1189">
        <v>0</v>
      </c>
      <c r="D447" s="1189">
        <v>0</v>
      </c>
    </row>
    <row r="448" spans="1:4" x14ac:dyDescent="0.3">
      <c r="A448" s="1188" t="s">
        <v>1057</v>
      </c>
      <c r="B448" s="1188" t="s">
        <v>1060</v>
      </c>
      <c r="C448" s="1189">
        <v>0</v>
      </c>
      <c r="D448" s="1189">
        <v>0</v>
      </c>
    </row>
    <row r="449" spans="1:4" x14ac:dyDescent="0.3">
      <c r="A449" s="1188" t="s">
        <v>1057</v>
      </c>
      <c r="B449" s="1188" t="s">
        <v>1061</v>
      </c>
      <c r="C449" s="1189">
        <v>0</v>
      </c>
      <c r="D449" s="1189">
        <v>0</v>
      </c>
    </row>
    <row r="450" spans="1:4" x14ac:dyDescent="0.3">
      <c r="A450" s="1188" t="s">
        <v>1057</v>
      </c>
      <c r="B450" s="1188" t="s">
        <v>1062</v>
      </c>
      <c r="C450" s="1189">
        <v>0</v>
      </c>
      <c r="D450" s="1189">
        <v>0</v>
      </c>
    </row>
    <row r="451" spans="1:4" x14ac:dyDescent="0.3">
      <c r="A451" s="1188" t="s">
        <v>1057</v>
      </c>
      <c r="B451" s="1188" t="s">
        <v>1063</v>
      </c>
      <c r="C451" s="1189">
        <v>0</v>
      </c>
      <c r="D451" s="1189">
        <v>0</v>
      </c>
    </row>
    <row r="452" spans="1:4" x14ac:dyDescent="0.3">
      <c r="A452" s="1188" t="s">
        <v>1057</v>
      </c>
      <c r="B452" s="1188" t="s">
        <v>1064</v>
      </c>
      <c r="C452" s="1189">
        <v>0</v>
      </c>
      <c r="D452" s="1189">
        <v>0</v>
      </c>
    </row>
    <row r="453" spans="1:4" x14ac:dyDescent="0.3">
      <c r="A453" s="1188" t="s">
        <v>1057</v>
      </c>
      <c r="B453" s="1188" t="s">
        <v>1065</v>
      </c>
      <c r="C453" s="1189">
        <v>0</v>
      </c>
      <c r="D453" s="1189">
        <v>0</v>
      </c>
    </row>
    <row r="454" spans="1:4" x14ac:dyDescent="0.3">
      <c r="A454" s="1188" t="s">
        <v>1057</v>
      </c>
      <c r="B454" s="1188" t="s">
        <v>1066</v>
      </c>
      <c r="C454" s="1189">
        <v>0</v>
      </c>
      <c r="D454" s="1189">
        <v>0</v>
      </c>
    </row>
    <row r="455" spans="1:4" x14ac:dyDescent="0.3">
      <c r="A455" s="1188" t="s">
        <v>1057</v>
      </c>
      <c r="B455" s="1188" t="s">
        <v>1067</v>
      </c>
      <c r="C455" s="1189">
        <v>0</v>
      </c>
      <c r="D455" s="1189">
        <v>0</v>
      </c>
    </row>
    <row r="456" spans="1:4" x14ac:dyDescent="0.3">
      <c r="A456" s="1188" t="s">
        <v>1057</v>
      </c>
      <c r="B456" s="1188" t="s">
        <v>1068</v>
      </c>
      <c r="C456" s="1189">
        <v>0</v>
      </c>
      <c r="D456" s="1189">
        <v>0</v>
      </c>
    </row>
    <row r="457" spans="1:4" x14ac:dyDescent="0.3">
      <c r="A457" s="1188" t="s">
        <v>1057</v>
      </c>
      <c r="B457" s="1188" t="s">
        <v>1069</v>
      </c>
      <c r="C457" s="1189">
        <v>0</v>
      </c>
      <c r="D457" s="1189">
        <v>0</v>
      </c>
    </row>
    <row r="458" spans="1:4" x14ac:dyDescent="0.3">
      <c r="A458" s="1188" t="s">
        <v>1057</v>
      </c>
      <c r="B458" s="1188" t="s">
        <v>1070</v>
      </c>
      <c r="C458" s="1189">
        <v>0</v>
      </c>
      <c r="D458" s="1189">
        <v>0</v>
      </c>
    </row>
    <row r="459" spans="1:4" x14ac:dyDescent="0.3">
      <c r="A459" s="1188" t="s">
        <v>1057</v>
      </c>
      <c r="B459" s="1188" t="s">
        <v>1071</v>
      </c>
      <c r="C459" s="1189">
        <v>0</v>
      </c>
      <c r="D459" s="1189">
        <v>0</v>
      </c>
    </row>
    <row r="460" spans="1:4" x14ac:dyDescent="0.3">
      <c r="A460" s="1188" t="s">
        <v>1057</v>
      </c>
      <c r="B460" s="1188" t="s">
        <v>1072</v>
      </c>
      <c r="C460" s="1189">
        <v>0</v>
      </c>
      <c r="D460" s="1189">
        <v>0</v>
      </c>
    </row>
    <row r="461" spans="1:4" x14ac:dyDescent="0.3">
      <c r="A461" s="1188" t="s">
        <v>1057</v>
      </c>
      <c r="B461" s="1188" t="s">
        <v>1073</v>
      </c>
      <c r="C461" s="1189">
        <v>0</v>
      </c>
      <c r="D461" s="1189">
        <v>0</v>
      </c>
    </row>
    <row r="462" spans="1:4" x14ac:dyDescent="0.3">
      <c r="A462" s="1188" t="s">
        <v>1074</v>
      </c>
      <c r="B462" s="1188" t="s">
        <v>1075</v>
      </c>
      <c r="C462" s="1189">
        <v>0</v>
      </c>
      <c r="D462" s="1189">
        <v>0</v>
      </c>
    </row>
    <row r="463" spans="1:4" x14ac:dyDescent="0.3">
      <c r="A463" s="1188" t="s">
        <v>1074</v>
      </c>
      <c r="B463" s="1188" t="s">
        <v>1076</v>
      </c>
      <c r="C463" s="1189">
        <v>0</v>
      </c>
      <c r="D463" s="1189">
        <v>0</v>
      </c>
    </row>
    <row r="464" spans="1:4" x14ac:dyDescent="0.3">
      <c r="A464" s="1188" t="s">
        <v>1074</v>
      </c>
      <c r="B464" s="1188" t="s">
        <v>1077</v>
      </c>
      <c r="C464" s="1189">
        <v>0</v>
      </c>
      <c r="D464" s="1189">
        <v>0</v>
      </c>
    </row>
    <row r="465" spans="1:4" x14ac:dyDescent="0.3">
      <c r="A465" s="1188" t="s">
        <v>1074</v>
      </c>
      <c r="B465" s="1188" t="s">
        <v>1078</v>
      </c>
      <c r="C465" s="1189">
        <v>0</v>
      </c>
      <c r="D465" s="1189">
        <v>0</v>
      </c>
    </row>
    <row r="466" spans="1:4" x14ac:dyDescent="0.3">
      <c r="A466" s="1188" t="s">
        <v>1074</v>
      </c>
      <c r="B466" s="1188" t="s">
        <v>1079</v>
      </c>
      <c r="C466" s="1189">
        <v>0</v>
      </c>
      <c r="D466" s="1189">
        <v>0</v>
      </c>
    </row>
    <row r="467" spans="1:4" x14ac:dyDescent="0.3">
      <c r="A467" s="1188" t="s">
        <v>1074</v>
      </c>
      <c r="B467" s="1188" t="s">
        <v>1080</v>
      </c>
      <c r="C467" s="1189">
        <v>0</v>
      </c>
      <c r="D467" s="1189">
        <v>0</v>
      </c>
    </row>
    <row r="468" spans="1:4" x14ac:dyDescent="0.3">
      <c r="A468" s="1188" t="s">
        <v>1074</v>
      </c>
      <c r="B468" s="1188" t="s">
        <v>1081</v>
      </c>
      <c r="C468" s="1189">
        <v>0</v>
      </c>
      <c r="D468" s="1189">
        <v>0</v>
      </c>
    </row>
    <row r="469" spans="1:4" x14ac:dyDescent="0.3">
      <c r="A469" s="1188" t="s">
        <v>1074</v>
      </c>
      <c r="B469" s="1188" t="s">
        <v>1082</v>
      </c>
      <c r="C469" s="1189">
        <v>0</v>
      </c>
      <c r="D469" s="1189">
        <v>0</v>
      </c>
    </row>
    <row r="470" spans="1:4" x14ac:dyDescent="0.3">
      <c r="A470" s="1188" t="s">
        <v>1074</v>
      </c>
      <c r="B470" s="1188" t="s">
        <v>1083</v>
      </c>
      <c r="C470" s="1189">
        <v>0</v>
      </c>
      <c r="D470" s="1189">
        <v>0</v>
      </c>
    </row>
    <row r="471" spans="1:4" x14ac:dyDescent="0.3">
      <c r="A471" s="1188" t="s">
        <v>1074</v>
      </c>
      <c r="B471" s="1188" t="s">
        <v>1084</v>
      </c>
      <c r="C471" s="1189">
        <v>0</v>
      </c>
      <c r="D471" s="1189">
        <v>0</v>
      </c>
    </row>
    <row r="472" spans="1:4" x14ac:dyDescent="0.3">
      <c r="A472" s="1188" t="s">
        <v>1074</v>
      </c>
      <c r="B472" s="1188" t="s">
        <v>1085</v>
      </c>
      <c r="C472" s="1189">
        <v>0</v>
      </c>
      <c r="D472" s="1189">
        <v>0</v>
      </c>
    </row>
    <row r="473" spans="1:4" x14ac:dyDescent="0.3">
      <c r="A473" s="1188" t="s">
        <v>1074</v>
      </c>
      <c r="B473" s="1188" t="s">
        <v>1086</v>
      </c>
      <c r="C473" s="1189">
        <v>0</v>
      </c>
      <c r="D473" s="1189">
        <v>0</v>
      </c>
    </row>
    <row r="474" spans="1:4" x14ac:dyDescent="0.3">
      <c r="A474" s="1188" t="s">
        <v>1074</v>
      </c>
      <c r="B474" s="1188" t="s">
        <v>1087</v>
      </c>
      <c r="C474" s="1189">
        <v>0</v>
      </c>
      <c r="D474" s="1189">
        <v>0</v>
      </c>
    </row>
    <row r="475" spans="1:4" x14ac:dyDescent="0.3">
      <c r="A475" s="1188" t="s">
        <v>1074</v>
      </c>
      <c r="B475" s="1188" t="s">
        <v>1088</v>
      </c>
      <c r="C475" s="1189">
        <v>0</v>
      </c>
      <c r="D475" s="1189">
        <v>0</v>
      </c>
    </row>
    <row r="476" spans="1:4" x14ac:dyDescent="0.3">
      <c r="A476" s="1188" t="s">
        <v>1074</v>
      </c>
      <c r="B476" s="1188" t="s">
        <v>1089</v>
      </c>
      <c r="C476" s="1189">
        <v>0</v>
      </c>
      <c r="D476" s="1189">
        <v>0</v>
      </c>
    </row>
    <row r="477" spans="1:4" x14ac:dyDescent="0.3">
      <c r="A477" s="1188" t="s">
        <v>1074</v>
      </c>
      <c r="B477" s="1188" t="s">
        <v>1090</v>
      </c>
      <c r="C477" s="1189">
        <v>0</v>
      </c>
      <c r="D477" s="1189">
        <v>0</v>
      </c>
    </row>
    <row r="478" spans="1:4" x14ac:dyDescent="0.3">
      <c r="A478" s="1188" t="s">
        <v>1074</v>
      </c>
      <c r="B478" s="1188" t="s">
        <v>1091</v>
      </c>
      <c r="C478" s="1189">
        <v>0</v>
      </c>
      <c r="D478" s="1189">
        <v>0</v>
      </c>
    </row>
    <row r="479" spans="1:4" x14ac:dyDescent="0.3">
      <c r="A479" s="1188" t="s">
        <v>1074</v>
      </c>
      <c r="B479" s="1188" t="s">
        <v>1092</v>
      </c>
      <c r="C479" s="1189">
        <v>0</v>
      </c>
      <c r="D479" s="1189">
        <v>0</v>
      </c>
    </row>
    <row r="480" spans="1:4" x14ac:dyDescent="0.3">
      <c r="A480" s="1188" t="s">
        <v>1074</v>
      </c>
      <c r="B480" s="1188" t="s">
        <v>1093</v>
      </c>
      <c r="C480" s="1189">
        <v>0</v>
      </c>
      <c r="D480" s="1189">
        <v>0</v>
      </c>
    </row>
    <row r="481" spans="1:4" x14ac:dyDescent="0.3">
      <c r="A481" s="1188" t="s">
        <v>1074</v>
      </c>
      <c r="B481" s="1188" t="s">
        <v>1094</v>
      </c>
      <c r="C481" s="1189">
        <v>0</v>
      </c>
      <c r="D481" s="1189">
        <v>0</v>
      </c>
    </row>
    <row r="482" spans="1:4" x14ac:dyDescent="0.3">
      <c r="A482" s="1188" t="s">
        <v>1074</v>
      </c>
      <c r="B482" s="1188" t="s">
        <v>1095</v>
      </c>
      <c r="C482" s="1189">
        <v>0</v>
      </c>
      <c r="D482" s="1189">
        <v>0</v>
      </c>
    </row>
    <row r="483" spans="1:4" x14ac:dyDescent="0.3">
      <c r="A483" s="1188" t="s">
        <v>1074</v>
      </c>
      <c r="B483" s="1188" t="s">
        <v>1096</v>
      </c>
      <c r="C483" s="1189">
        <v>0</v>
      </c>
      <c r="D483" s="1189">
        <v>0</v>
      </c>
    </row>
    <row r="484" spans="1:4" x14ac:dyDescent="0.3">
      <c r="A484" s="1188" t="s">
        <v>1074</v>
      </c>
      <c r="B484" s="1188" t="s">
        <v>1097</v>
      </c>
      <c r="C484" s="1189">
        <v>0</v>
      </c>
      <c r="D484" s="1189">
        <v>0</v>
      </c>
    </row>
    <row r="485" spans="1:4" x14ac:dyDescent="0.3">
      <c r="A485" s="1188" t="s">
        <v>1074</v>
      </c>
      <c r="B485" s="1188" t="s">
        <v>1098</v>
      </c>
      <c r="C485" s="1189">
        <v>0</v>
      </c>
      <c r="D485" s="1189">
        <v>0</v>
      </c>
    </row>
    <row r="486" spans="1:4" x14ac:dyDescent="0.3">
      <c r="A486" s="1188" t="s">
        <v>1074</v>
      </c>
      <c r="B486" s="1188" t="s">
        <v>1099</v>
      </c>
      <c r="C486" s="1189">
        <v>0</v>
      </c>
      <c r="D486" s="1189">
        <v>0</v>
      </c>
    </row>
    <row r="487" spans="1:4" x14ac:dyDescent="0.3">
      <c r="A487" s="1188" t="s">
        <v>1074</v>
      </c>
      <c r="B487" s="1188" t="s">
        <v>1100</v>
      </c>
      <c r="C487" s="1189">
        <v>0</v>
      </c>
      <c r="D487" s="1189">
        <v>0</v>
      </c>
    </row>
    <row r="488" spans="1:4" x14ac:dyDescent="0.3">
      <c r="A488" s="1188" t="s">
        <v>1101</v>
      </c>
      <c r="B488" s="1188" t="s">
        <v>1102</v>
      </c>
      <c r="C488" s="1189">
        <v>0</v>
      </c>
      <c r="D488" s="1189">
        <v>0</v>
      </c>
    </row>
    <row r="489" spans="1:4" x14ac:dyDescent="0.3">
      <c r="A489" s="1188" t="s">
        <v>1101</v>
      </c>
      <c r="B489" s="1188" t="s">
        <v>1075</v>
      </c>
      <c r="C489" s="1189">
        <v>0</v>
      </c>
      <c r="D489" s="1189">
        <v>0</v>
      </c>
    </row>
    <row r="490" spans="1:4" x14ac:dyDescent="0.3">
      <c r="A490" s="1188" t="s">
        <v>1101</v>
      </c>
      <c r="B490" s="1188" t="s">
        <v>1076</v>
      </c>
      <c r="C490" s="1189">
        <v>0</v>
      </c>
      <c r="D490" s="1189">
        <v>0</v>
      </c>
    </row>
    <row r="491" spans="1:4" x14ac:dyDescent="0.3">
      <c r="A491" s="1188" t="s">
        <v>1101</v>
      </c>
      <c r="B491" s="1188" t="s">
        <v>1077</v>
      </c>
      <c r="C491" s="1189">
        <v>0</v>
      </c>
      <c r="D491" s="1189">
        <v>0</v>
      </c>
    </row>
    <row r="492" spans="1:4" x14ac:dyDescent="0.3">
      <c r="A492" s="1188" t="s">
        <v>1101</v>
      </c>
      <c r="B492" s="1188" t="s">
        <v>1078</v>
      </c>
      <c r="C492" s="1189">
        <v>0</v>
      </c>
      <c r="D492" s="1189">
        <v>0</v>
      </c>
    </row>
    <row r="493" spans="1:4" x14ac:dyDescent="0.3">
      <c r="A493" s="1188" t="s">
        <v>1101</v>
      </c>
      <c r="B493" s="1188" t="s">
        <v>1079</v>
      </c>
      <c r="C493" s="1189">
        <v>0</v>
      </c>
      <c r="D493" s="1189">
        <v>0</v>
      </c>
    </row>
    <row r="494" spans="1:4" x14ac:dyDescent="0.3">
      <c r="A494" s="1188" t="s">
        <v>1101</v>
      </c>
      <c r="B494" s="1188" t="s">
        <v>1080</v>
      </c>
      <c r="C494" s="1189">
        <v>0</v>
      </c>
      <c r="D494" s="1189">
        <v>0</v>
      </c>
    </row>
    <row r="495" spans="1:4" x14ac:dyDescent="0.3">
      <c r="A495" s="1188" t="s">
        <v>1101</v>
      </c>
      <c r="B495" s="1188" t="s">
        <v>1081</v>
      </c>
      <c r="C495" s="1189">
        <v>0</v>
      </c>
      <c r="D495" s="1189">
        <v>0</v>
      </c>
    </row>
    <row r="496" spans="1:4" x14ac:dyDescent="0.3">
      <c r="A496" s="1188" t="s">
        <v>1101</v>
      </c>
      <c r="B496" s="1188" t="s">
        <v>1082</v>
      </c>
      <c r="C496" s="1189">
        <v>0</v>
      </c>
      <c r="D496" s="1189">
        <v>0</v>
      </c>
    </row>
    <row r="497" spans="1:4" x14ac:dyDescent="0.3">
      <c r="A497" s="1188" t="s">
        <v>1101</v>
      </c>
      <c r="B497" s="1188" t="s">
        <v>1083</v>
      </c>
      <c r="C497" s="1189">
        <v>0</v>
      </c>
      <c r="D497" s="1189">
        <v>0</v>
      </c>
    </row>
    <row r="498" spans="1:4" x14ac:dyDescent="0.3">
      <c r="A498" s="1188" t="s">
        <v>1101</v>
      </c>
      <c r="B498" s="1188" t="s">
        <v>1084</v>
      </c>
      <c r="C498" s="1189">
        <v>0</v>
      </c>
      <c r="D498" s="1189">
        <v>0</v>
      </c>
    </row>
    <row r="499" spans="1:4" x14ac:dyDescent="0.3">
      <c r="A499" s="1188" t="s">
        <v>1101</v>
      </c>
      <c r="B499" s="1188" t="s">
        <v>1085</v>
      </c>
      <c r="C499" s="1189">
        <v>0</v>
      </c>
      <c r="D499" s="1189">
        <v>0</v>
      </c>
    </row>
    <row r="500" spans="1:4" x14ac:dyDescent="0.3">
      <c r="A500" s="1188" t="s">
        <v>1101</v>
      </c>
      <c r="B500" s="1188" t="s">
        <v>1086</v>
      </c>
      <c r="C500" s="1189">
        <v>0</v>
      </c>
      <c r="D500" s="1189">
        <v>0</v>
      </c>
    </row>
    <row r="501" spans="1:4" x14ac:dyDescent="0.3">
      <c r="A501" s="1188" t="s">
        <v>1101</v>
      </c>
      <c r="B501" s="1188" t="s">
        <v>1087</v>
      </c>
      <c r="C501" s="1189">
        <v>0</v>
      </c>
      <c r="D501" s="1189">
        <v>0</v>
      </c>
    </row>
    <row r="502" spans="1:4" x14ac:dyDescent="0.3">
      <c r="A502" s="1188" t="s">
        <v>1101</v>
      </c>
      <c r="B502" s="1188" t="s">
        <v>1103</v>
      </c>
      <c r="C502" s="1189">
        <v>0</v>
      </c>
      <c r="D502" s="1189">
        <v>0</v>
      </c>
    </row>
    <row r="503" spans="1:4" x14ac:dyDescent="0.3">
      <c r="A503" s="1188" t="s">
        <v>1101</v>
      </c>
      <c r="B503" s="1188" t="s">
        <v>1088</v>
      </c>
      <c r="C503" s="1189">
        <v>0</v>
      </c>
      <c r="D503" s="1189">
        <v>0</v>
      </c>
    </row>
    <row r="504" spans="1:4" x14ac:dyDescent="0.3">
      <c r="A504" s="1188" t="s">
        <v>1101</v>
      </c>
      <c r="B504" s="1188" t="s">
        <v>1089</v>
      </c>
      <c r="C504" s="1189">
        <v>0</v>
      </c>
      <c r="D504" s="1189">
        <v>0</v>
      </c>
    </row>
    <row r="505" spans="1:4" x14ac:dyDescent="0.3">
      <c r="A505" s="1188" t="s">
        <v>1101</v>
      </c>
      <c r="B505" s="1188" t="s">
        <v>1090</v>
      </c>
      <c r="C505" s="1189">
        <v>0</v>
      </c>
      <c r="D505" s="1189">
        <v>0</v>
      </c>
    </row>
    <row r="506" spans="1:4" x14ac:dyDescent="0.3">
      <c r="A506" s="1188" t="s">
        <v>1101</v>
      </c>
      <c r="B506" s="1188" t="s">
        <v>1091</v>
      </c>
      <c r="C506" s="1189">
        <v>0</v>
      </c>
      <c r="D506" s="1189">
        <v>0</v>
      </c>
    </row>
    <row r="507" spans="1:4" x14ac:dyDescent="0.3">
      <c r="A507" s="1188" t="s">
        <v>1101</v>
      </c>
      <c r="B507" s="1188" t="s">
        <v>1092</v>
      </c>
      <c r="C507" s="1189">
        <v>0</v>
      </c>
      <c r="D507" s="1189">
        <v>0</v>
      </c>
    </row>
    <row r="508" spans="1:4" x14ac:dyDescent="0.3">
      <c r="A508" s="1188" t="s">
        <v>1101</v>
      </c>
      <c r="B508" s="1188" t="s">
        <v>1093</v>
      </c>
      <c r="C508" s="1189">
        <v>0</v>
      </c>
      <c r="D508" s="1189">
        <v>0</v>
      </c>
    </row>
    <row r="509" spans="1:4" x14ac:dyDescent="0.3">
      <c r="A509" s="1188" t="s">
        <v>1101</v>
      </c>
      <c r="B509" s="1188" t="s">
        <v>1094</v>
      </c>
      <c r="C509" s="1189">
        <v>0</v>
      </c>
      <c r="D509" s="1189">
        <v>0</v>
      </c>
    </row>
    <row r="510" spans="1:4" x14ac:dyDescent="0.3">
      <c r="A510" s="1188" t="s">
        <v>1101</v>
      </c>
      <c r="B510" s="1188" t="s">
        <v>1095</v>
      </c>
      <c r="C510" s="1189">
        <v>0</v>
      </c>
      <c r="D510" s="1189">
        <v>0</v>
      </c>
    </row>
    <row r="511" spans="1:4" x14ac:dyDescent="0.3">
      <c r="A511" s="1188" t="s">
        <v>1101</v>
      </c>
      <c r="B511" s="1188" t="s">
        <v>1096</v>
      </c>
      <c r="C511" s="1189">
        <v>0</v>
      </c>
      <c r="D511" s="1189">
        <v>0</v>
      </c>
    </row>
    <row r="512" spans="1:4" x14ac:dyDescent="0.3">
      <c r="A512" s="1188" t="s">
        <v>1101</v>
      </c>
      <c r="B512" s="1188" t="s">
        <v>1097</v>
      </c>
      <c r="C512" s="1189">
        <v>0</v>
      </c>
      <c r="D512" s="1189">
        <v>0</v>
      </c>
    </row>
    <row r="513" spans="1:4" x14ac:dyDescent="0.3">
      <c r="A513" s="1188" t="s">
        <v>1101</v>
      </c>
      <c r="B513" s="1188" t="s">
        <v>1098</v>
      </c>
      <c r="C513" s="1189">
        <v>0</v>
      </c>
      <c r="D513" s="1189">
        <v>0</v>
      </c>
    </row>
    <row r="514" spans="1:4" x14ac:dyDescent="0.3">
      <c r="A514" s="1188" t="s">
        <v>1101</v>
      </c>
      <c r="B514" s="1188" t="s">
        <v>1099</v>
      </c>
      <c r="C514" s="1189">
        <v>0</v>
      </c>
      <c r="D514" s="1189">
        <v>0</v>
      </c>
    </row>
    <row r="515" spans="1:4" x14ac:dyDescent="0.3">
      <c r="A515" s="1188" t="s">
        <v>1101</v>
      </c>
      <c r="B515" s="1188" t="s">
        <v>1100</v>
      </c>
      <c r="C515" s="1189">
        <v>0</v>
      </c>
      <c r="D515" s="1189">
        <v>0</v>
      </c>
    </row>
    <row r="516" spans="1:4" x14ac:dyDescent="0.3">
      <c r="A516" s="1188" t="s">
        <v>1104</v>
      </c>
      <c r="B516" s="1188" t="s">
        <v>1105</v>
      </c>
      <c r="C516" s="1189">
        <v>0</v>
      </c>
      <c r="D516" s="1189">
        <v>0</v>
      </c>
    </row>
    <row r="517" spans="1:4" x14ac:dyDescent="0.3">
      <c r="A517" s="1188" t="s">
        <v>1104</v>
      </c>
      <c r="B517" s="1188" t="s">
        <v>1106</v>
      </c>
      <c r="C517" s="1189">
        <v>0</v>
      </c>
      <c r="D517" s="1189">
        <v>0</v>
      </c>
    </row>
    <row r="518" spans="1:4" x14ac:dyDescent="0.3">
      <c r="A518" s="1188" t="s">
        <v>1104</v>
      </c>
      <c r="B518" s="1188" t="s">
        <v>1107</v>
      </c>
      <c r="C518" s="1189">
        <v>0</v>
      </c>
      <c r="D518" s="1189">
        <v>0</v>
      </c>
    </row>
    <row r="519" spans="1:4" x14ac:dyDescent="0.3">
      <c r="A519" s="1188" t="s">
        <v>1104</v>
      </c>
      <c r="B519" s="1188" t="s">
        <v>1108</v>
      </c>
      <c r="C519" s="1189">
        <v>0</v>
      </c>
      <c r="D519" s="1189">
        <v>0</v>
      </c>
    </row>
    <row r="520" spans="1:4" x14ac:dyDescent="0.3">
      <c r="A520" s="1188" t="s">
        <v>1104</v>
      </c>
      <c r="B520" s="1188" t="s">
        <v>1109</v>
      </c>
      <c r="C520" s="1189">
        <v>0</v>
      </c>
      <c r="D520" s="1189">
        <v>0</v>
      </c>
    </row>
    <row r="521" spans="1:4" x14ac:dyDescent="0.3">
      <c r="A521" s="1188" t="s">
        <v>1104</v>
      </c>
      <c r="B521" s="1188" t="s">
        <v>1110</v>
      </c>
      <c r="C521" s="1189">
        <v>0</v>
      </c>
      <c r="D521" s="1189">
        <v>0</v>
      </c>
    </row>
    <row r="522" spans="1:4" x14ac:dyDescent="0.3">
      <c r="A522" s="1188" t="s">
        <v>1104</v>
      </c>
      <c r="B522" s="1188" t="s">
        <v>1111</v>
      </c>
      <c r="C522" s="1189">
        <v>0</v>
      </c>
      <c r="D522" s="1189">
        <v>0</v>
      </c>
    </row>
    <row r="523" spans="1:4" x14ac:dyDescent="0.3">
      <c r="A523" s="1188" t="s">
        <v>1104</v>
      </c>
      <c r="B523" s="1188" t="s">
        <v>1112</v>
      </c>
      <c r="C523" s="1189">
        <v>0</v>
      </c>
      <c r="D523" s="1189">
        <v>0</v>
      </c>
    </row>
    <row r="524" spans="1:4" x14ac:dyDescent="0.3">
      <c r="A524" s="1188" t="s">
        <v>1104</v>
      </c>
      <c r="B524" s="1188" t="s">
        <v>1113</v>
      </c>
      <c r="C524" s="1189">
        <v>0</v>
      </c>
      <c r="D524" s="1189">
        <v>0</v>
      </c>
    </row>
    <row r="525" spans="1:4" x14ac:dyDescent="0.3">
      <c r="A525" s="1188" t="s">
        <v>1104</v>
      </c>
      <c r="B525" s="1188" t="s">
        <v>1114</v>
      </c>
      <c r="C525" s="1189">
        <v>0</v>
      </c>
      <c r="D525" s="1189">
        <v>0</v>
      </c>
    </row>
    <row r="526" spans="1:4" x14ac:dyDescent="0.3">
      <c r="A526" s="1188" t="s">
        <v>1104</v>
      </c>
      <c r="B526" s="1188" t="s">
        <v>1115</v>
      </c>
      <c r="C526" s="1189">
        <v>0</v>
      </c>
      <c r="D526" s="1189">
        <v>0</v>
      </c>
    </row>
    <row r="527" spans="1:4" x14ac:dyDescent="0.3">
      <c r="A527" s="1188" t="s">
        <v>1104</v>
      </c>
      <c r="B527" s="1188" t="s">
        <v>1116</v>
      </c>
      <c r="C527" s="1189">
        <v>0</v>
      </c>
      <c r="D527" s="1189">
        <v>0</v>
      </c>
    </row>
    <row r="528" spans="1:4" x14ac:dyDescent="0.3">
      <c r="A528" s="1188" t="s">
        <v>1104</v>
      </c>
      <c r="B528" s="1188" t="s">
        <v>1117</v>
      </c>
      <c r="C528" s="1189">
        <v>0</v>
      </c>
      <c r="D528" s="1189">
        <v>0</v>
      </c>
    </row>
    <row r="529" spans="1:4" x14ac:dyDescent="0.3">
      <c r="A529" s="1188" t="s">
        <v>1104</v>
      </c>
      <c r="B529" s="1188" t="s">
        <v>1118</v>
      </c>
      <c r="C529" s="1189">
        <v>0</v>
      </c>
      <c r="D529" s="1189">
        <v>0</v>
      </c>
    </row>
    <row r="530" spans="1:4" x14ac:dyDescent="0.3">
      <c r="A530" s="1188" t="s">
        <v>1104</v>
      </c>
      <c r="B530" s="1188" t="s">
        <v>1119</v>
      </c>
      <c r="C530" s="1189">
        <v>0</v>
      </c>
      <c r="D530" s="1189">
        <v>0</v>
      </c>
    </row>
    <row r="531" spans="1:4" x14ac:dyDescent="0.3">
      <c r="A531" s="1188" t="s">
        <v>1104</v>
      </c>
      <c r="B531" s="1188" t="s">
        <v>1120</v>
      </c>
      <c r="C531" s="1189">
        <v>0</v>
      </c>
      <c r="D531" s="1189">
        <v>0</v>
      </c>
    </row>
    <row r="532" spans="1:4" x14ac:dyDescent="0.3">
      <c r="A532" s="1188" t="s">
        <v>1104</v>
      </c>
      <c r="B532" s="1188" t="s">
        <v>1121</v>
      </c>
      <c r="C532" s="1189">
        <v>0</v>
      </c>
      <c r="D532" s="1189">
        <v>0</v>
      </c>
    </row>
    <row r="533" spans="1:4" x14ac:dyDescent="0.3">
      <c r="A533" s="1188" t="s">
        <v>1104</v>
      </c>
      <c r="B533" s="1188" t="s">
        <v>1122</v>
      </c>
      <c r="C533" s="1189">
        <v>0</v>
      </c>
      <c r="D533" s="1189">
        <v>0</v>
      </c>
    </row>
    <row r="534" spans="1:4" x14ac:dyDescent="0.3">
      <c r="A534" s="1188" t="s">
        <v>1104</v>
      </c>
      <c r="B534" s="1188" t="s">
        <v>1123</v>
      </c>
      <c r="C534" s="1189">
        <v>0</v>
      </c>
      <c r="D534" s="1189">
        <v>0</v>
      </c>
    </row>
    <row r="535" spans="1:4" x14ac:dyDescent="0.3">
      <c r="A535" s="1188" t="s">
        <v>1104</v>
      </c>
      <c r="B535" s="1188" t="s">
        <v>1124</v>
      </c>
      <c r="C535" s="1189">
        <v>0</v>
      </c>
      <c r="D535" s="1189">
        <v>0</v>
      </c>
    </row>
    <row r="536" spans="1:4" x14ac:dyDescent="0.3">
      <c r="A536" s="1188" t="s">
        <v>1104</v>
      </c>
      <c r="B536" s="1188" t="s">
        <v>1125</v>
      </c>
      <c r="C536" s="1189">
        <v>0</v>
      </c>
      <c r="D536" s="1189">
        <v>0</v>
      </c>
    </row>
    <row r="537" spans="1:4" x14ac:dyDescent="0.3">
      <c r="A537" s="1188" t="s">
        <v>1104</v>
      </c>
      <c r="B537" s="1188" t="s">
        <v>1126</v>
      </c>
      <c r="C537" s="1189">
        <v>0</v>
      </c>
      <c r="D537" s="1189">
        <v>0</v>
      </c>
    </row>
    <row r="538" spans="1:4" x14ac:dyDescent="0.3">
      <c r="A538" s="1188" t="s">
        <v>1104</v>
      </c>
      <c r="B538" s="1188" t="s">
        <v>1127</v>
      </c>
      <c r="C538" s="1189">
        <v>0</v>
      </c>
      <c r="D538" s="1189">
        <v>0</v>
      </c>
    </row>
    <row r="539" spans="1:4" x14ac:dyDescent="0.3">
      <c r="A539" s="1188" t="s">
        <v>1104</v>
      </c>
      <c r="B539" s="1188" t="s">
        <v>1128</v>
      </c>
      <c r="C539" s="1189">
        <v>0</v>
      </c>
      <c r="D539" s="1189">
        <v>0</v>
      </c>
    </row>
    <row r="540" spans="1:4" x14ac:dyDescent="0.3">
      <c r="A540" s="1188" t="s">
        <v>1104</v>
      </c>
      <c r="B540" s="1188" t="s">
        <v>1129</v>
      </c>
      <c r="C540" s="1189">
        <v>0</v>
      </c>
      <c r="D540" s="1189">
        <v>0</v>
      </c>
    </row>
    <row r="541" spans="1:4" x14ac:dyDescent="0.3">
      <c r="A541" s="1188" t="s">
        <v>1104</v>
      </c>
      <c r="B541" s="1188" t="s">
        <v>1130</v>
      </c>
      <c r="C541" s="1189">
        <v>0</v>
      </c>
      <c r="D541" s="1189">
        <v>0</v>
      </c>
    </row>
    <row r="542" spans="1:4" x14ac:dyDescent="0.3">
      <c r="A542" s="1188" t="s">
        <v>1104</v>
      </c>
      <c r="B542" s="1188" t="s">
        <v>1131</v>
      </c>
      <c r="C542" s="1189">
        <v>0</v>
      </c>
      <c r="D542" s="1189">
        <v>0</v>
      </c>
    </row>
    <row r="543" spans="1:4" x14ac:dyDescent="0.3">
      <c r="A543" s="1188" t="s">
        <v>1104</v>
      </c>
      <c r="B543" s="1188" t="s">
        <v>1132</v>
      </c>
      <c r="C543" s="1189">
        <v>0</v>
      </c>
      <c r="D543" s="1189">
        <v>0</v>
      </c>
    </row>
    <row r="544" spans="1:4" x14ac:dyDescent="0.3">
      <c r="A544" s="1188" t="s">
        <v>1104</v>
      </c>
      <c r="B544" s="1188" t="s">
        <v>1133</v>
      </c>
      <c r="C544" s="1189">
        <v>0</v>
      </c>
      <c r="D544" s="1189">
        <v>0</v>
      </c>
    </row>
    <row r="545" spans="1:4" x14ac:dyDescent="0.3">
      <c r="A545" s="1188" t="s">
        <v>1104</v>
      </c>
      <c r="B545" s="1188" t="s">
        <v>1134</v>
      </c>
      <c r="C545" s="1189">
        <v>0</v>
      </c>
      <c r="D545" s="1189">
        <v>0</v>
      </c>
    </row>
    <row r="546" spans="1:4" x14ac:dyDescent="0.3">
      <c r="A546" s="1188" t="s">
        <v>1104</v>
      </c>
      <c r="B546" s="1188" t="s">
        <v>1135</v>
      </c>
      <c r="C546" s="1189">
        <v>0</v>
      </c>
      <c r="D546" s="1189">
        <v>0</v>
      </c>
    </row>
    <row r="547" spans="1:4" x14ac:dyDescent="0.3">
      <c r="A547" s="1188" t="s">
        <v>1104</v>
      </c>
      <c r="B547" s="1188" t="s">
        <v>1136</v>
      </c>
      <c r="C547" s="1189">
        <v>0</v>
      </c>
      <c r="D547" s="1189">
        <v>0</v>
      </c>
    </row>
    <row r="548" spans="1:4" x14ac:dyDescent="0.3">
      <c r="A548" s="1188" t="s">
        <v>1104</v>
      </c>
      <c r="B548" s="1188" t="s">
        <v>1137</v>
      </c>
      <c r="C548" s="1189">
        <v>0</v>
      </c>
      <c r="D548" s="1189">
        <v>0</v>
      </c>
    </row>
    <row r="549" spans="1:4" x14ac:dyDescent="0.3">
      <c r="A549" s="1188" t="s">
        <v>1104</v>
      </c>
      <c r="B549" s="1188" t="s">
        <v>1138</v>
      </c>
      <c r="C549" s="1189">
        <v>0</v>
      </c>
      <c r="D549" s="1189">
        <v>0</v>
      </c>
    </row>
    <row r="550" spans="1:4" x14ac:dyDescent="0.3">
      <c r="A550" s="1188" t="s">
        <v>1104</v>
      </c>
      <c r="B550" s="1188" t="s">
        <v>1139</v>
      </c>
      <c r="C550" s="1189">
        <v>0</v>
      </c>
      <c r="D550" s="1189">
        <v>0</v>
      </c>
    </row>
    <row r="551" spans="1:4" x14ac:dyDescent="0.3">
      <c r="A551" s="1188" t="s">
        <v>1104</v>
      </c>
      <c r="B551" s="1188" t="s">
        <v>1140</v>
      </c>
      <c r="C551" s="1189">
        <v>0</v>
      </c>
      <c r="D551" s="1189">
        <v>0</v>
      </c>
    </row>
    <row r="552" spans="1:4" x14ac:dyDescent="0.3">
      <c r="A552" s="1188" t="s">
        <v>1104</v>
      </c>
      <c r="B552" s="1188" t="s">
        <v>1141</v>
      </c>
      <c r="C552" s="1189">
        <v>0</v>
      </c>
      <c r="D552" s="1189">
        <v>0</v>
      </c>
    </row>
    <row r="553" spans="1:4" x14ac:dyDescent="0.3">
      <c r="A553" s="1188" t="s">
        <v>1104</v>
      </c>
      <c r="B553" s="1188" t="s">
        <v>1142</v>
      </c>
      <c r="C553" s="1189">
        <v>0</v>
      </c>
      <c r="D553" s="1189">
        <v>0</v>
      </c>
    </row>
    <row r="554" spans="1:4" x14ac:dyDescent="0.3">
      <c r="A554" s="1188" t="s">
        <v>1104</v>
      </c>
      <c r="B554" s="1188" t="s">
        <v>1143</v>
      </c>
      <c r="C554" s="1189">
        <v>0</v>
      </c>
      <c r="D554" s="1189">
        <v>0</v>
      </c>
    </row>
    <row r="555" spans="1:4" x14ac:dyDescent="0.3">
      <c r="A555" s="1188" t="s">
        <v>1104</v>
      </c>
      <c r="B555" s="1188" t="s">
        <v>1144</v>
      </c>
      <c r="C555" s="1189">
        <v>0</v>
      </c>
      <c r="D555" s="1189">
        <v>0</v>
      </c>
    </row>
    <row r="556" spans="1:4" x14ac:dyDescent="0.3">
      <c r="A556" s="1188" t="s">
        <v>1104</v>
      </c>
      <c r="B556" s="1188" t="s">
        <v>1145</v>
      </c>
      <c r="C556" s="1189">
        <v>0</v>
      </c>
      <c r="D556" s="1189">
        <v>0</v>
      </c>
    </row>
    <row r="557" spans="1:4" x14ac:dyDescent="0.3">
      <c r="A557" s="1188" t="s">
        <v>1104</v>
      </c>
      <c r="B557" s="1188" t="s">
        <v>1146</v>
      </c>
      <c r="C557" s="1189">
        <v>0</v>
      </c>
      <c r="D557" s="1189">
        <v>0</v>
      </c>
    </row>
    <row r="558" spans="1:4" x14ac:dyDescent="0.3">
      <c r="A558" s="1188" t="s">
        <v>1104</v>
      </c>
      <c r="B558" s="1188" t="s">
        <v>1147</v>
      </c>
      <c r="C558" s="1189">
        <v>0</v>
      </c>
      <c r="D558" s="1189">
        <v>0</v>
      </c>
    </row>
    <row r="559" spans="1:4" x14ac:dyDescent="0.3">
      <c r="A559" s="1188" t="s">
        <v>1104</v>
      </c>
      <c r="B559" s="1188" t="s">
        <v>1148</v>
      </c>
      <c r="C559" s="1189">
        <v>0</v>
      </c>
      <c r="D559" s="1189">
        <v>0</v>
      </c>
    </row>
    <row r="560" spans="1:4" x14ac:dyDescent="0.3">
      <c r="A560" s="1188" t="s">
        <v>1104</v>
      </c>
      <c r="B560" s="1188" t="s">
        <v>1149</v>
      </c>
      <c r="C560" s="1189">
        <v>0</v>
      </c>
      <c r="D560" s="1189">
        <v>0</v>
      </c>
    </row>
    <row r="561" spans="1:4" x14ac:dyDescent="0.3">
      <c r="A561" s="1188" t="s">
        <v>1104</v>
      </c>
      <c r="B561" s="1188" t="s">
        <v>1150</v>
      </c>
      <c r="C561" s="1189">
        <v>0</v>
      </c>
      <c r="D561" s="1189">
        <v>0</v>
      </c>
    </row>
    <row r="562" spans="1:4" x14ac:dyDescent="0.3">
      <c r="A562" s="1188" t="s">
        <v>1104</v>
      </c>
      <c r="B562" s="1188" t="s">
        <v>1151</v>
      </c>
      <c r="C562" s="1189">
        <v>0</v>
      </c>
      <c r="D562" s="1189">
        <v>0</v>
      </c>
    </row>
    <row r="563" spans="1:4" x14ac:dyDescent="0.3">
      <c r="A563" s="1188" t="s">
        <v>1104</v>
      </c>
      <c r="B563" s="1188" t="s">
        <v>1152</v>
      </c>
      <c r="C563" s="1189">
        <v>0</v>
      </c>
      <c r="D563" s="1189">
        <v>0</v>
      </c>
    </row>
    <row r="564" spans="1:4" x14ac:dyDescent="0.3">
      <c r="A564" s="1188" t="s">
        <v>1104</v>
      </c>
      <c r="B564" s="1188" t="s">
        <v>1153</v>
      </c>
      <c r="C564" s="1189">
        <v>0</v>
      </c>
      <c r="D564" s="1189">
        <v>0</v>
      </c>
    </row>
    <row r="565" spans="1:4" x14ac:dyDescent="0.3">
      <c r="A565" s="1188" t="s">
        <v>1104</v>
      </c>
      <c r="B565" s="1188" t="s">
        <v>1154</v>
      </c>
      <c r="C565" s="1189">
        <v>0</v>
      </c>
      <c r="D565" s="1189">
        <v>0</v>
      </c>
    </row>
    <row r="566" spans="1:4" x14ac:dyDescent="0.3">
      <c r="A566" s="1188" t="s">
        <v>1104</v>
      </c>
      <c r="B566" s="1188" t="s">
        <v>1155</v>
      </c>
      <c r="C566" s="1189">
        <v>0</v>
      </c>
      <c r="D566" s="1189">
        <v>0</v>
      </c>
    </row>
    <row r="567" spans="1:4" x14ac:dyDescent="0.3">
      <c r="A567" s="1188" t="s">
        <v>1104</v>
      </c>
      <c r="B567" s="1188" t="s">
        <v>1156</v>
      </c>
      <c r="C567" s="1189">
        <v>0</v>
      </c>
      <c r="D567" s="1189">
        <v>0</v>
      </c>
    </row>
    <row r="568" spans="1:4" x14ac:dyDescent="0.3">
      <c r="A568" s="1188" t="s">
        <v>1104</v>
      </c>
      <c r="B568" s="1188" t="s">
        <v>1157</v>
      </c>
      <c r="C568" s="1189">
        <v>0</v>
      </c>
      <c r="D568" s="1189">
        <v>0</v>
      </c>
    </row>
    <row r="569" spans="1:4" x14ac:dyDescent="0.3">
      <c r="A569" s="1188" t="s">
        <v>1104</v>
      </c>
      <c r="B569" s="1188" t="s">
        <v>1158</v>
      </c>
      <c r="C569" s="1189">
        <v>0</v>
      </c>
      <c r="D569" s="1189">
        <v>0</v>
      </c>
    </row>
    <row r="570" spans="1:4" x14ac:dyDescent="0.3">
      <c r="A570" s="1188" t="s">
        <v>1104</v>
      </c>
      <c r="B570" s="1188" t="s">
        <v>1159</v>
      </c>
      <c r="C570" s="1189">
        <v>0</v>
      </c>
      <c r="D570" s="1189">
        <v>0</v>
      </c>
    </row>
    <row r="571" spans="1:4" x14ac:dyDescent="0.3">
      <c r="A571" s="1188" t="s">
        <v>1104</v>
      </c>
      <c r="B571" s="1188" t="s">
        <v>1160</v>
      </c>
      <c r="C571" s="1189">
        <v>0</v>
      </c>
      <c r="D571" s="1189">
        <v>0</v>
      </c>
    </row>
    <row r="572" spans="1:4" x14ac:dyDescent="0.3">
      <c r="A572" s="1188" t="s">
        <v>1104</v>
      </c>
      <c r="B572" s="1188" t="s">
        <v>1161</v>
      </c>
      <c r="C572" s="1189">
        <v>0</v>
      </c>
      <c r="D572" s="1189">
        <v>0</v>
      </c>
    </row>
    <row r="573" spans="1:4" x14ac:dyDescent="0.3">
      <c r="A573" s="1188" t="s">
        <v>1104</v>
      </c>
      <c r="B573" s="1188" t="s">
        <v>1162</v>
      </c>
      <c r="C573" s="1189">
        <v>0</v>
      </c>
      <c r="D573" s="1189">
        <v>0</v>
      </c>
    </row>
    <row r="574" spans="1:4" x14ac:dyDescent="0.3">
      <c r="A574" s="1188" t="s">
        <v>1104</v>
      </c>
      <c r="B574" s="1188" t="s">
        <v>1163</v>
      </c>
      <c r="C574" s="1189">
        <v>0</v>
      </c>
      <c r="D574" s="1189">
        <v>0</v>
      </c>
    </row>
    <row r="575" spans="1:4" x14ac:dyDescent="0.3">
      <c r="A575" s="1188" t="s">
        <v>1104</v>
      </c>
      <c r="B575" s="1188" t="s">
        <v>1164</v>
      </c>
      <c r="C575" s="1189">
        <v>0</v>
      </c>
      <c r="D575" s="1189">
        <v>0</v>
      </c>
    </row>
    <row r="576" spans="1:4" x14ac:dyDescent="0.3">
      <c r="A576" s="1188" t="s">
        <v>1104</v>
      </c>
      <c r="B576" s="1188" t="s">
        <v>1165</v>
      </c>
      <c r="C576" s="1189">
        <v>0</v>
      </c>
      <c r="D576" s="1189">
        <v>0</v>
      </c>
    </row>
    <row r="577" spans="1:4" x14ac:dyDescent="0.3">
      <c r="A577" s="1188" t="s">
        <v>1104</v>
      </c>
      <c r="B577" s="1188" t="s">
        <v>1166</v>
      </c>
      <c r="C577" s="1189">
        <v>0</v>
      </c>
      <c r="D577" s="1189">
        <v>0</v>
      </c>
    </row>
    <row r="578" spans="1:4" x14ac:dyDescent="0.3">
      <c r="A578" s="1188" t="s">
        <v>1104</v>
      </c>
      <c r="B578" s="1188" t="s">
        <v>1167</v>
      </c>
      <c r="C578" s="1189">
        <v>0</v>
      </c>
      <c r="D578" s="1189">
        <v>0</v>
      </c>
    </row>
    <row r="579" spans="1:4" x14ac:dyDescent="0.3">
      <c r="A579" s="1188" t="s">
        <v>1104</v>
      </c>
      <c r="B579" s="1188" t="s">
        <v>1168</v>
      </c>
      <c r="C579" s="1189">
        <v>0</v>
      </c>
      <c r="D579" s="1189">
        <v>0</v>
      </c>
    </row>
    <row r="580" spans="1:4" x14ac:dyDescent="0.3">
      <c r="A580" s="1188" t="s">
        <v>1104</v>
      </c>
      <c r="B580" s="1188" t="s">
        <v>1169</v>
      </c>
      <c r="C580" s="1189">
        <v>0</v>
      </c>
      <c r="D580" s="1189">
        <v>0</v>
      </c>
    </row>
    <row r="581" spans="1:4" x14ac:dyDescent="0.3">
      <c r="A581" s="1188" t="s">
        <v>1104</v>
      </c>
      <c r="B581" s="1188" t="s">
        <v>1170</v>
      </c>
      <c r="C581" s="1189">
        <v>0</v>
      </c>
      <c r="D581" s="1189">
        <v>0</v>
      </c>
    </row>
    <row r="582" spans="1:4" x14ac:dyDescent="0.3">
      <c r="A582" s="1188" t="s">
        <v>1104</v>
      </c>
      <c r="B582" s="1188" t="s">
        <v>1171</v>
      </c>
      <c r="C582" s="1189">
        <v>0</v>
      </c>
      <c r="D582" s="1189">
        <v>0</v>
      </c>
    </row>
    <row r="583" spans="1:4" x14ac:dyDescent="0.3">
      <c r="A583" s="1188" t="s">
        <v>1104</v>
      </c>
      <c r="B583" s="1188" t="s">
        <v>1172</v>
      </c>
      <c r="C583" s="1189">
        <v>0</v>
      </c>
      <c r="D583" s="1189">
        <v>0</v>
      </c>
    </row>
    <row r="584" spans="1:4" x14ac:dyDescent="0.3">
      <c r="A584" s="1188" t="s">
        <v>1104</v>
      </c>
      <c r="B584" s="1188" t="s">
        <v>1173</v>
      </c>
      <c r="C584" s="1189">
        <v>0</v>
      </c>
      <c r="D584" s="1189">
        <v>0</v>
      </c>
    </row>
    <row r="585" spans="1:4" x14ac:dyDescent="0.3">
      <c r="A585" s="1188" t="s">
        <v>1104</v>
      </c>
      <c r="B585" s="1188" t="s">
        <v>1174</v>
      </c>
      <c r="C585" s="1189">
        <v>0</v>
      </c>
      <c r="D585" s="1189">
        <v>0</v>
      </c>
    </row>
    <row r="586" spans="1:4" x14ac:dyDescent="0.3">
      <c r="A586" s="1188" t="s">
        <v>1104</v>
      </c>
      <c r="B586" s="1188" t="s">
        <v>1175</v>
      </c>
      <c r="C586" s="1189">
        <v>0</v>
      </c>
      <c r="D586" s="1189">
        <v>0</v>
      </c>
    </row>
    <row r="587" spans="1:4" x14ac:dyDescent="0.3">
      <c r="A587" s="1188" t="s">
        <v>1104</v>
      </c>
      <c r="B587" s="1188" t="s">
        <v>1176</v>
      </c>
      <c r="C587" s="1189">
        <v>0</v>
      </c>
      <c r="D587" s="1189">
        <v>0</v>
      </c>
    </row>
    <row r="588" spans="1:4" x14ac:dyDescent="0.3">
      <c r="A588" s="1188" t="s">
        <v>1104</v>
      </c>
      <c r="B588" s="1188" t="s">
        <v>1177</v>
      </c>
      <c r="C588" s="1189">
        <v>0</v>
      </c>
      <c r="D588" s="1189">
        <v>0</v>
      </c>
    </row>
    <row r="589" spans="1:4" x14ac:dyDescent="0.3">
      <c r="A589" s="1188" t="s">
        <v>1104</v>
      </c>
      <c r="B589" s="1188" t="s">
        <v>1178</v>
      </c>
      <c r="C589" s="1189">
        <v>0</v>
      </c>
      <c r="D589" s="1189">
        <v>0</v>
      </c>
    </row>
    <row r="590" spans="1:4" x14ac:dyDescent="0.3">
      <c r="A590" s="1188" t="s">
        <v>1104</v>
      </c>
      <c r="B590" s="1188" t="s">
        <v>1179</v>
      </c>
      <c r="C590" s="1189">
        <v>0</v>
      </c>
      <c r="D590" s="1189">
        <v>0</v>
      </c>
    </row>
    <row r="591" spans="1:4" x14ac:dyDescent="0.3">
      <c r="A591" s="1188" t="s">
        <v>1104</v>
      </c>
      <c r="B591" s="1188" t="s">
        <v>1180</v>
      </c>
      <c r="C591" s="1189">
        <v>0</v>
      </c>
      <c r="D591" s="1189">
        <v>0</v>
      </c>
    </row>
    <row r="592" spans="1:4" x14ac:dyDescent="0.3">
      <c r="A592" s="1188" t="s">
        <v>1104</v>
      </c>
      <c r="B592" s="1188" t="s">
        <v>1181</v>
      </c>
      <c r="C592" s="1189">
        <v>0</v>
      </c>
      <c r="D592" s="1189">
        <v>0</v>
      </c>
    </row>
    <row r="593" spans="1:4" x14ac:dyDescent="0.3">
      <c r="A593" s="1188" t="s">
        <v>1104</v>
      </c>
      <c r="B593" s="1188" t="s">
        <v>1182</v>
      </c>
      <c r="C593" s="1189">
        <v>0</v>
      </c>
      <c r="D593" s="1189">
        <v>0</v>
      </c>
    </row>
    <row r="594" spans="1:4" x14ac:dyDescent="0.3">
      <c r="A594" s="1188" t="s">
        <v>1104</v>
      </c>
      <c r="B594" s="1188" t="s">
        <v>1183</v>
      </c>
      <c r="C594" s="1189">
        <v>0</v>
      </c>
      <c r="D594" s="1189">
        <v>0</v>
      </c>
    </row>
    <row r="595" spans="1:4" x14ac:dyDescent="0.3">
      <c r="A595" s="1188" t="s">
        <v>1104</v>
      </c>
      <c r="B595" s="1188" t="s">
        <v>1184</v>
      </c>
      <c r="C595" s="1189">
        <v>0</v>
      </c>
      <c r="D595" s="1189">
        <v>0</v>
      </c>
    </row>
    <row r="596" spans="1:4" x14ac:dyDescent="0.3">
      <c r="A596" s="1188" t="s">
        <v>1104</v>
      </c>
      <c r="B596" s="1188" t="s">
        <v>1185</v>
      </c>
      <c r="C596" s="1189">
        <v>0</v>
      </c>
      <c r="D596" s="1189">
        <v>0</v>
      </c>
    </row>
    <row r="597" spans="1:4" x14ac:dyDescent="0.3">
      <c r="A597" s="1188" t="s">
        <v>1104</v>
      </c>
      <c r="B597" s="1188" t="s">
        <v>1186</v>
      </c>
      <c r="C597" s="1189">
        <v>0</v>
      </c>
      <c r="D597" s="1189">
        <v>0</v>
      </c>
    </row>
    <row r="598" spans="1:4" x14ac:dyDescent="0.3">
      <c r="A598" s="1188" t="s">
        <v>1104</v>
      </c>
      <c r="B598" s="1188" t="s">
        <v>1187</v>
      </c>
      <c r="C598" s="1189">
        <v>0</v>
      </c>
      <c r="D598" s="1189">
        <v>0</v>
      </c>
    </row>
    <row r="599" spans="1:4" x14ac:dyDescent="0.3">
      <c r="A599" s="1188" t="s">
        <v>1104</v>
      </c>
      <c r="B599" s="1188" t="s">
        <v>1188</v>
      </c>
      <c r="C599" s="1189">
        <v>0</v>
      </c>
      <c r="D599" s="1189">
        <v>0</v>
      </c>
    </row>
    <row r="600" spans="1:4" x14ac:dyDescent="0.3">
      <c r="A600" s="1188" t="s">
        <v>1104</v>
      </c>
      <c r="B600" s="1188" t="s">
        <v>1189</v>
      </c>
      <c r="C600" s="1189">
        <v>0</v>
      </c>
      <c r="D600" s="1189">
        <v>0</v>
      </c>
    </row>
    <row r="601" spans="1:4" x14ac:dyDescent="0.3">
      <c r="A601" s="1188" t="s">
        <v>1104</v>
      </c>
      <c r="B601" s="1188" t="s">
        <v>1190</v>
      </c>
      <c r="C601" s="1189">
        <v>0</v>
      </c>
      <c r="D601" s="1189">
        <v>0</v>
      </c>
    </row>
    <row r="602" spans="1:4" x14ac:dyDescent="0.3">
      <c r="A602" s="1188" t="s">
        <v>1104</v>
      </c>
      <c r="B602" s="1188" t="s">
        <v>1191</v>
      </c>
      <c r="C602" s="1189">
        <v>0</v>
      </c>
      <c r="D602" s="1189">
        <v>0</v>
      </c>
    </row>
    <row r="603" spans="1:4" x14ac:dyDescent="0.3">
      <c r="A603" s="1188" t="s">
        <v>1104</v>
      </c>
      <c r="B603" s="1188" t="s">
        <v>1192</v>
      </c>
      <c r="C603" s="1189">
        <v>0</v>
      </c>
      <c r="D603" s="1189">
        <v>0</v>
      </c>
    </row>
    <row r="604" spans="1:4" x14ac:dyDescent="0.3">
      <c r="A604" s="1188" t="s">
        <v>1104</v>
      </c>
      <c r="B604" s="1188" t="s">
        <v>1193</v>
      </c>
      <c r="C604" s="1189">
        <v>0</v>
      </c>
      <c r="D604" s="1189">
        <v>0</v>
      </c>
    </row>
    <row r="605" spans="1:4" x14ac:dyDescent="0.3">
      <c r="A605" s="1188" t="s">
        <v>1104</v>
      </c>
      <c r="B605" s="1188" t="s">
        <v>1194</v>
      </c>
      <c r="C605" s="1189">
        <v>0</v>
      </c>
      <c r="D605" s="1189">
        <v>0</v>
      </c>
    </row>
    <row r="606" spans="1:4" x14ac:dyDescent="0.3">
      <c r="A606" s="1188" t="s">
        <v>1104</v>
      </c>
      <c r="B606" s="1188" t="s">
        <v>1195</v>
      </c>
      <c r="C606" s="1189">
        <v>0</v>
      </c>
      <c r="D606" s="1189">
        <v>0</v>
      </c>
    </row>
    <row r="607" spans="1:4" x14ac:dyDescent="0.3">
      <c r="A607" s="1188" t="s">
        <v>1104</v>
      </c>
      <c r="B607" s="1188" t="s">
        <v>1196</v>
      </c>
      <c r="C607" s="1189">
        <v>0</v>
      </c>
      <c r="D607" s="1189">
        <v>0</v>
      </c>
    </row>
    <row r="608" spans="1:4" x14ac:dyDescent="0.3">
      <c r="A608" s="1188" t="s">
        <v>1104</v>
      </c>
      <c r="B608" s="1188" t="s">
        <v>1197</v>
      </c>
      <c r="C608" s="1189">
        <v>0</v>
      </c>
      <c r="D608" s="1189">
        <v>0</v>
      </c>
    </row>
    <row r="609" spans="1:4" x14ac:dyDescent="0.3">
      <c r="A609" s="1188" t="s">
        <v>1104</v>
      </c>
      <c r="B609" s="1188" t="s">
        <v>1198</v>
      </c>
      <c r="C609" s="1189">
        <v>0</v>
      </c>
      <c r="D609" s="1189">
        <v>0</v>
      </c>
    </row>
    <row r="610" spans="1:4" x14ac:dyDescent="0.3">
      <c r="A610" s="1188" t="s">
        <v>1104</v>
      </c>
      <c r="B610" s="1188" t="s">
        <v>1199</v>
      </c>
      <c r="C610" s="1189">
        <v>0</v>
      </c>
      <c r="D610" s="1189">
        <v>0</v>
      </c>
    </row>
    <row r="611" spans="1:4" x14ac:dyDescent="0.3">
      <c r="A611" s="1188" t="s">
        <v>1104</v>
      </c>
      <c r="B611" s="1188" t="s">
        <v>1200</v>
      </c>
      <c r="C611" s="1189">
        <v>0</v>
      </c>
      <c r="D611" s="1189">
        <v>0</v>
      </c>
    </row>
    <row r="612" spans="1:4" x14ac:dyDescent="0.3">
      <c r="A612" s="1188" t="s">
        <v>1104</v>
      </c>
      <c r="B612" s="1188" t="s">
        <v>1201</v>
      </c>
      <c r="C612" s="1189">
        <v>0</v>
      </c>
      <c r="D612" s="1189">
        <v>0</v>
      </c>
    </row>
    <row r="613" spans="1:4" x14ac:dyDescent="0.3">
      <c r="A613" s="1188" t="s">
        <v>1104</v>
      </c>
      <c r="B613" s="1188" t="s">
        <v>1202</v>
      </c>
      <c r="C613" s="1189">
        <v>0</v>
      </c>
      <c r="D613" s="1189">
        <v>0</v>
      </c>
    </row>
    <row r="614" spans="1:4" x14ac:dyDescent="0.3">
      <c r="A614" s="1188" t="s">
        <v>1104</v>
      </c>
      <c r="B614" s="1188" t="s">
        <v>1203</v>
      </c>
      <c r="C614" s="1189">
        <v>0</v>
      </c>
      <c r="D614" s="1189">
        <v>0</v>
      </c>
    </row>
    <row r="615" spans="1:4" x14ac:dyDescent="0.3">
      <c r="A615" s="1188" t="s">
        <v>1104</v>
      </c>
      <c r="B615" s="1188" t="s">
        <v>1204</v>
      </c>
      <c r="C615" s="1189">
        <v>0</v>
      </c>
      <c r="D615" s="1189">
        <v>0</v>
      </c>
    </row>
    <row r="616" spans="1:4" x14ac:dyDescent="0.3">
      <c r="A616" s="1188" t="s">
        <v>1104</v>
      </c>
      <c r="B616" s="1188" t="s">
        <v>1205</v>
      </c>
      <c r="C616" s="1189">
        <v>0</v>
      </c>
      <c r="D616" s="1189">
        <v>0</v>
      </c>
    </row>
    <row r="617" spans="1:4" x14ac:dyDescent="0.3">
      <c r="A617" s="1188" t="s">
        <v>1104</v>
      </c>
      <c r="B617" s="1188" t="s">
        <v>1206</v>
      </c>
      <c r="C617" s="1189">
        <v>0</v>
      </c>
      <c r="D617" s="1189">
        <v>0</v>
      </c>
    </row>
    <row r="618" spans="1:4" x14ac:dyDescent="0.3">
      <c r="A618" s="1188" t="s">
        <v>1104</v>
      </c>
      <c r="B618" s="1188" t="s">
        <v>1207</v>
      </c>
      <c r="C618" s="1189">
        <v>0</v>
      </c>
      <c r="D618" s="1189">
        <v>0</v>
      </c>
    </row>
    <row r="619" spans="1:4" x14ac:dyDescent="0.3">
      <c r="A619" s="1188" t="s">
        <v>1104</v>
      </c>
      <c r="B619" s="1188" t="s">
        <v>1208</v>
      </c>
      <c r="C619" s="1189">
        <v>0</v>
      </c>
      <c r="D619" s="1189">
        <v>0</v>
      </c>
    </row>
    <row r="620" spans="1:4" x14ac:dyDescent="0.3">
      <c r="A620" s="1188" t="s">
        <v>1104</v>
      </c>
      <c r="B620" s="1188" t="s">
        <v>1209</v>
      </c>
      <c r="C620" s="1189">
        <v>0</v>
      </c>
      <c r="D620" s="1189">
        <v>0</v>
      </c>
    </row>
    <row r="621" spans="1:4" x14ac:dyDescent="0.3">
      <c r="A621" s="1188" t="s">
        <v>1104</v>
      </c>
      <c r="B621" s="1188" t="s">
        <v>1210</v>
      </c>
      <c r="C621" s="1189">
        <v>0</v>
      </c>
      <c r="D621" s="1189">
        <v>0</v>
      </c>
    </row>
    <row r="622" spans="1:4" x14ac:dyDescent="0.3">
      <c r="A622" s="1188" t="s">
        <v>1104</v>
      </c>
      <c r="B622" s="1188" t="s">
        <v>1211</v>
      </c>
      <c r="C622" s="1189">
        <v>0</v>
      </c>
      <c r="D622" s="1189">
        <v>0</v>
      </c>
    </row>
    <row r="623" spans="1:4" x14ac:dyDescent="0.3">
      <c r="A623" s="1188" t="s">
        <v>1104</v>
      </c>
      <c r="B623" s="1188" t="s">
        <v>1212</v>
      </c>
      <c r="C623" s="1189">
        <v>0</v>
      </c>
      <c r="D623" s="1189">
        <v>0</v>
      </c>
    </row>
    <row r="624" spans="1:4" x14ac:dyDescent="0.3">
      <c r="A624" s="1188" t="s">
        <v>1104</v>
      </c>
      <c r="B624" s="1188" t="s">
        <v>1213</v>
      </c>
      <c r="C624" s="1189">
        <v>0</v>
      </c>
      <c r="D624" s="1189">
        <v>0</v>
      </c>
    </row>
    <row r="625" spans="1:4" x14ac:dyDescent="0.3">
      <c r="A625" s="1188" t="s">
        <v>1104</v>
      </c>
      <c r="B625" s="1188" t="s">
        <v>1214</v>
      </c>
      <c r="C625" s="1189">
        <v>0</v>
      </c>
      <c r="D625" s="1189">
        <v>0</v>
      </c>
    </row>
    <row r="626" spans="1:4" x14ac:dyDescent="0.3">
      <c r="A626" s="1188" t="s">
        <v>1104</v>
      </c>
      <c r="B626" s="1188" t="s">
        <v>1215</v>
      </c>
      <c r="C626" s="1189">
        <v>0</v>
      </c>
      <c r="D626" s="1189">
        <v>0</v>
      </c>
    </row>
    <row r="627" spans="1:4" x14ac:dyDescent="0.3">
      <c r="A627" s="1188" t="s">
        <v>1104</v>
      </c>
      <c r="B627" s="1188" t="s">
        <v>1216</v>
      </c>
      <c r="C627" s="1189">
        <v>0</v>
      </c>
      <c r="D627" s="1189">
        <v>0</v>
      </c>
    </row>
    <row r="628" spans="1:4" x14ac:dyDescent="0.3">
      <c r="A628" s="1188" t="s">
        <v>1104</v>
      </c>
      <c r="B628" s="1188" t="s">
        <v>1217</v>
      </c>
      <c r="C628" s="1189">
        <v>0</v>
      </c>
      <c r="D628" s="1189">
        <v>0</v>
      </c>
    </row>
    <row r="629" spans="1:4" x14ac:dyDescent="0.3">
      <c r="A629" s="1188" t="s">
        <v>1104</v>
      </c>
      <c r="B629" s="1188" t="s">
        <v>1218</v>
      </c>
      <c r="C629" s="1189">
        <v>0</v>
      </c>
      <c r="D629" s="1189">
        <v>0</v>
      </c>
    </row>
    <row r="630" spans="1:4" x14ac:dyDescent="0.3">
      <c r="A630" s="1188" t="s">
        <v>1104</v>
      </c>
      <c r="B630" s="1188" t="s">
        <v>1219</v>
      </c>
      <c r="C630" s="1189">
        <v>0</v>
      </c>
      <c r="D630" s="1189">
        <v>0</v>
      </c>
    </row>
    <row r="631" spans="1:4" x14ac:dyDescent="0.3">
      <c r="A631" s="1188" t="s">
        <v>1104</v>
      </c>
      <c r="B631" s="1188" t="s">
        <v>1220</v>
      </c>
      <c r="C631" s="1189">
        <v>0</v>
      </c>
      <c r="D631" s="1189">
        <v>0</v>
      </c>
    </row>
    <row r="632" spans="1:4" x14ac:dyDescent="0.3">
      <c r="A632" s="1188" t="s">
        <v>1104</v>
      </c>
      <c r="B632" s="1188" t="s">
        <v>1221</v>
      </c>
      <c r="C632" s="1189">
        <v>0</v>
      </c>
      <c r="D632" s="1189">
        <v>0</v>
      </c>
    </row>
    <row r="633" spans="1:4" x14ac:dyDescent="0.3">
      <c r="A633" s="1188" t="s">
        <v>1104</v>
      </c>
      <c r="B633" s="1188" t="s">
        <v>1222</v>
      </c>
      <c r="C633" s="1189">
        <v>0</v>
      </c>
      <c r="D633" s="1189">
        <v>0</v>
      </c>
    </row>
    <row r="634" spans="1:4" x14ac:dyDescent="0.3">
      <c r="A634" s="1188" t="s">
        <v>1104</v>
      </c>
      <c r="B634" s="1188" t="s">
        <v>1223</v>
      </c>
      <c r="C634" s="1189">
        <v>0</v>
      </c>
      <c r="D634" s="1189">
        <v>0</v>
      </c>
    </row>
    <row r="635" spans="1:4" x14ac:dyDescent="0.3">
      <c r="A635" s="1188" t="s">
        <v>1104</v>
      </c>
      <c r="B635" s="1188" t="s">
        <v>1224</v>
      </c>
      <c r="C635" s="1189">
        <v>0</v>
      </c>
      <c r="D635" s="1189">
        <v>0</v>
      </c>
    </row>
    <row r="636" spans="1:4" x14ac:dyDescent="0.3">
      <c r="A636" s="1188" t="s">
        <v>1104</v>
      </c>
      <c r="B636" s="1188" t="s">
        <v>1225</v>
      </c>
      <c r="C636" s="1189">
        <v>0</v>
      </c>
      <c r="D636" s="1189">
        <v>0</v>
      </c>
    </row>
    <row r="637" spans="1:4" x14ac:dyDescent="0.3">
      <c r="A637" s="1188" t="s">
        <v>1104</v>
      </c>
      <c r="B637" s="1188" t="s">
        <v>1226</v>
      </c>
      <c r="C637" s="1189">
        <v>0</v>
      </c>
      <c r="D637" s="1189">
        <v>0</v>
      </c>
    </row>
    <row r="638" spans="1:4" x14ac:dyDescent="0.3">
      <c r="A638" s="1188" t="s">
        <v>1104</v>
      </c>
      <c r="B638" s="1188" t="s">
        <v>1227</v>
      </c>
      <c r="C638" s="1189">
        <v>0</v>
      </c>
      <c r="D638" s="1189">
        <v>0</v>
      </c>
    </row>
    <row r="639" spans="1:4" x14ac:dyDescent="0.3">
      <c r="A639" s="1188" t="s">
        <v>1104</v>
      </c>
      <c r="B639" s="1188" t="s">
        <v>1228</v>
      </c>
      <c r="C639" s="1189">
        <v>0</v>
      </c>
      <c r="D639" s="1189">
        <v>0</v>
      </c>
    </row>
    <row r="640" spans="1:4" x14ac:dyDescent="0.3">
      <c r="A640" s="1188" t="s">
        <v>1104</v>
      </c>
      <c r="B640" s="1188" t="s">
        <v>1229</v>
      </c>
      <c r="C640" s="1189">
        <v>0</v>
      </c>
      <c r="D640" s="1189">
        <v>0</v>
      </c>
    </row>
    <row r="641" spans="1:4" x14ac:dyDescent="0.3">
      <c r="A641" s="1188" t="s">
        <v>1104</v>
      </c>
      <c r="B641" s="1188" t="s">
        <v>1230</v>
      </c>
      <c r="C641" s="1189">
        <v>0</v>
      </c>
      <c r="D641" s="1189">
        <v>0</v>
      </c>
    </row>
    <row r="642" spans="1:4" x14ac:dyDescent="0.3">
      <c r="A642" s="1188" t="s">
        <v>1104</v>
      </c>
      <c r="B642" s="1188" t="s">
        <v>1231</v>
      </c>
      <c r="C642" s="1189">
        <v>0</v>
      </c>
      <c r="D642" s="1189">
        <v>0</v>
      </c>
    </row>
    <row r="643" spans="1:4" x14ac:dyDescent="0.3">
      <c r="A643" s="1188" t="s">
        <v>1104</v>
      </c>
      <c r="B643" s="1188" t="s">
        <v>1232</v>
      </c>
      <c r="C643" s="1189">
        <v>0</v>
      </c>
      <c r="D643" s="1189">
        <v>0</v>
      </c>
    </row>
    <row r="644" spans="1:4" x14ac:dyDescent="0.3">
      <c r="A644" s="1188" t="s">
        <v>1104</v>
      </c>
      <c r="B644" s="1188" t="s">
        <v>1233</v>
      </c>
      <c r="C644" s="1189">
        <v>0</v>
      </c>
      <c r="D644" s="1189">
        <v>0</v>
      </c>
    </row>
    <row r="645" spans="1:4" x14ac:dyDescent="0.3">
      <c r="A645" s="1188" t="s">
        <v>1104</v>
      </c>
      <c r="B645" s="1188" t="s">
        <v>1234</v>
      </c>
      <c r="C645" s="1189">
        <v>0</v>
      </c>
      <c r="D645" s="1189">
        <v>0</v>
      </c>
    </row>
    <row r="646" spans="1:4" x14ac:dyDescent="0.3">
      <c r="A646" s="1188" t="s">
        <v>1104</v>
      </c>
      <c r="B646" s="1188" t="s">
        <v>1235</v>
      </c>
      <c r="C646" s="1189">
        <v>0</v>
      </c>
      <c r="D646" s="1189">
        <v>0</v>
      </c>
    </row>
    <row r="647" spans="1:4" x14ac:dyDescent="0.3">
      <c r="A647" s="1188" t="s">
        <v>1104</v>
      </c>
      <c r="B647" s="1188" t="s">
        <v>1236</v>
      </c>
      <c r="C647" s="1189">
        <v>0</v>
      </c>
      <c r="D647" s="1189">
        <v>0</v>
      </c>
    </row>
    <row r="648" spans="1:4" x14ac:dyDescent="0.3">
      <c r="A648" s="1188" t="s">
        <v>1104</v>
      </c>
      <c r="B648" s="1188" t="s">
        <v>1237</v>
      </c>
      <c r="C648" s="1189">
        <v>0</v>
      </c>
      <c r="D648" s="1189">
        <v>0</v>
      </c>
    </row>
    <row r="649" spans="1:4" x14ac:dyDescent="0.3">
      <c r="A649" s="1188" t="s">
        <v>1104</v>
      </c>
      <c r="B649" s="1188" t="s">
        <v>1238</v>
      </c>
      <c r="C649" s="1189">
        <v>0</v>
      </c>
      <c r="D649" s="1189">
        <v>0</v>
      </c>
    </row>
    <row r="650" spans="1:4" x14ac:dyDescent="0.3">
      <c r="A650" s="1188" t="s">
        <v>1104</v>
      </c>
      <c r="B650" s="1188" t="s">
        <v>1239</v>
      </c>
      <c r="C650" s="1189">
        <v>0</v>
      </c>
      <c r="D650" s="1189">
        <v>0</v>
      </c>
    </row>
    <row r="651" spans="1:4" x14ac:dyDescent="0.3">
      <c r="A651" s="1188" t="s">
        <v>1104</v>
      </c>
      <c r="B651" s="1188" t="s">
        <v>1240</v>
      </c>
      <c r="C651" s="1189">
        <v>0</v>
      </c>
      <c r="D651" s="1189">
        <v>0</v>
      </c>
    </row>
    <row r="652" spans="1:4" x14ac:dyDescent="0.3">
      <c r="A652" s="1188" t="s">
        <v>1104</v>
      </c>
      <c r="B652" s="1188" t="s">
        <v>1241</v>
      </c>
      <c r="C652" s="1189">
        <v>0</v>
      </c>
      <c r="D652" s="1189">
        <v>0</v>
      </c>
    </row>
    <row r="653" spans="1:4" x14ac:dyDescent="0.3">
      <c r="A653" s="1188" t="s">
        <v>1104</v>
      </c>
      <c r="B653" s="1188" t="s">
        <v>1242</v>
      </c>
      <c r="C653" s="1189">
        <v>0</v>
      </c>
      <c r="D653" s="1189">
        <v>0</v>
      </c>
    </row>
    <row r="654" spans="1:4" x14ac:dyDescent="0.3">
      <c r="A654" s="1188" t="s">
        <v>1104</v>
      </c>
      <c r="B654" s="1188" t="s">
        <v>1243</v>
      </c>
      <c r="C654" s="1189">
        <v>0</v>
      </c>
      <c r="D654" s="1189">
        <v>0</v>
      </c>
    </row>
    <row r="655" spans="1:4" x14ac:dyDescent="0.3">
      <c r="A655" s="1188" t="s">
        <v>1104</v>
      </c>
      <c r="B655" s="1188" t="s">
        <v>1244</v>
      </c>
      <c r="C655" s="1189">
        <v>0</v>
      </c>
      <c r="D655" s="1189">
        <v>0</v>
      </c>
    </row>
    <row r="656" spans="1:4" x14ac:dyDescent="0.3">
      <c r="A656" s="1188" t="s">
        <v>1104</v>
      </c>
      <c r="B656" s="1188" t="s">
        <v>1245</v>
      </c>
      <c r="C656" s="1189">
        <v>0</v>
      </c>
      <c r="D656" s="1189">
        <v>0</v>
      </c>
    </row>
    <row r="657" spans="1:4" x14ac:dyDescent="0.3">
      <c r="A657" s="1188" t="s">
        <v>1104</v>
      </c>
      <c r="B657" s="1188" t="s">
        <v>1246</v>
      </c>
      <c r="C657" s="1189">
        <v>0</v>
      </c>
      <c r="D657" s="1189">
        <v>0</v>
      </c>
    </row>
    <row r="658" spans="1:4" x14ac:dyDescent="0.3">
      <c r="A658" s="1188" t="s">
        <v>1104</v>
      </c>
      <c r="B658" s="1188" t="s">
        <v>1247</v>
      </c>
      <c r="C658" s="1189">
        <v>0</v>
      </c>
      <c r="D658" s="1189">
        <v>0</v>
      </c>
    </row>
    <row r="659" spans="1:4" x14ac:dyDescent="0.3">
      <c r="A659" s="1188" t="s">
        <v>1104</v>
      </c>
      <c r="B659" s="1188" t="s">
        <v>1248</v>
      </c>
      <c r="C659" s="1189">
        <v>0</v>
      </c>
      <c r="D659" s="1189">
        <v>0</v>
      </c>
    </row>
    <row r="660" spans="1:4" x14ac:dyDescent="0.3">
      <c r="A660" s="1188" t="s">
        <v>1104</v>
      </c>
      <c r="B660" s="1188" t="s">
        <v>1249</v>
      </c>
      <c r="C660" s="1189">
        <v>0</v>
      </c>
      <c r="D660" s="1189">
        <v>0</v>
      </c>
    </row>
    <row r="661" spans="1:4" x14ac:dyDescent="0.3">
      <c r="A661" s="1188" t="s">
        <v>1104</v>
      </c>
      <c r="B661" s="1188" t="s">
        <v>1250</v>
      </c>
      <c r="C661" s="1189">
        <v>0</v>
      </c>
      <c r="D661" s="1189">
        <v>0</v>
      </c>
    </row>
    <row r="662" spans="1:4" x14ac:dyDescent="0.3">
      <c r="A662" s="1188" t="s">
        <v>1104</v>
      </c>
      <c r="B662" s="1188" t="s">
        <v>1251</v>
      </c>
      <c r="C662" s="1189">
        <v>0</v>
      </c>
      <c r="D662" s="1189">
        <v>0</v>
      </c>
    </row>
    <row r="663" spans="1:4" x14ac:dyDescent="0.3">
      <c r="A663" s="1188" t="s">
        <v>1104</v>
      </c>
      <c r="B663" s="1188" t="s">
        <v>1252</v>
      </c>
      <c r="C663" s="1189">
        <v>0</v>
      </c>
      <c r="D663" s="1189">
        <v>0</v>
      </c>
    </row>
    <row r="664" spans="1:4" x14ac:dyDescent="0.3">
      <c r="A664" s="1188" t="s">
        <v>1104</v>
      </c>
      <c r="B664" s="1188" t="s">
        <v>1253</v>
      </c>
      <c r="C664" s="1189">
        <v>0</v>
      </c>
      <c r="D664" s="1189">
        <v>0</v>
      </c>
    </row>
    <row r="665" spans="1:4" x14ac:dyDescent="0.3">
      <c r="A665" s="1188" t="s">
        <v>1104</v>
      </c>
      <c r="B665" s="1188" t="s">
        <v>1254</v>
      </c>
      <c r="C665" s="1189">
        <v>0</v>
      </c>
      <c r="D665" s="1189">
        <v>0</v>
      </c>
    </row>
    <row r="666" spans="1:4" x14ac:dyDescent="0.3">
      <c r="A666" s="1188" t="s">
        <v>1104</v>
      </c>
      <c r="B666" s="1188" t="s">
        <v>1255</v>
      </c>
      <c r="C666" s="1189">
        <v>0</v>
      </c>
      <c r="D666" s="1189">
        <v>0</v>
      </c>
    </row>
    <row r="667" spans="1:4" x14ac:dyDescent="0.3">
      <c r="A667" s="1188" t="s">
        <v>1104</v>
      </c>
      <c r="B667" s="1188" t="s">
        <v>1256</v>
      </c>
      <c r="C667" s="1189">
        <v>0</v>
      </c>
      <c r="D667" s="1189">
        <v>0</v>
      </c>
    </row>
    <row r="668" spans="1:4" x14ac:dyDescent="0.3">
      <c r="A668" s="1188" t="s">
        <v>1104</v>
      </c>
      <c r="B668" s="1188" t="s">
        <v>1257</v>
      </c>
      <c r="C668" s="1189">
        <v>0</v>
      </c>
      <c r="D668" s="1189">
        <v>0</v>
      </c>
    </row>
    <row r="669" spans="1:4" x14ac:dyDescent="0.3">
      <c r="A669" s="1188" t="s">
        <v>1104</v>
      </c>
      <c r="B669" s="1188" t="s">
        <v>1258</v>
      </c>
      <c r="C669" s="1189">
        <v>0</v>
      </c>
      <c r="D669" s="1189">
        <v>0</v>
      </c>
    </row>
    <row r="670" spans="1:4" x14ac:dyDescent="0.3">
      <c r="A670" s="1188" t="s">
        <v>1104</v>
      </c>
      <c r="B670" s="1188" t="s">
        <v>1259</v>
      </c>
      <c r="C670" s="1189">
        <v>0</v>
      </c>
      <c r="D670" s="1189">
        <v>0</v>
      </c>
    </row>
    <row r="671" spans="1:4" x14ac:dyDescent="0.3">
      <c r="A671" s="1188" t="s">
        <v>1104</v>
      </c>
      <c r="B671" s="1188" t="s">
        <v>1260</v>
      </c>
      <c r="C671" s="1189">
        <v>0</v>
      </c>
      <c r="D671" s="1189">
        <v>0</v>
      </c>
    </row>
    <row r="672" spans="1:4" x14ac:dyDescent="0.3">
      <c r="A672" s="1188" t="s">
        <v>1104</v>
      </c>
      <c r="B672" s="1188" t="s">
        <v>1261</v>
      </c>
      <c r="C672" s="1189">
        <v>0</v>
      </c>
      <c r="D672" s="1189">
        <v>0</v>
      </c>
    </row>
    <row r="673" spans="1:4" x14ac:dyDescent="0.3">
      <c r="A673" s="1188" t="s">
        <v>1104</v>
      </c>
      <c r="B673" s="1188" t="s">
        <v>1262</v>
      </c>
      <c r="C673" s="1189">
        <v>0</v>
      </c>
      <c r="D673" s="1189">
        <v>0</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theme="3"/>
  </sheetPr>
  <dimension ref="A1:BA1"/>
  <sheetViews>
    <sheetView workbookViewId="0">
      <selection activeCell="D7" sqref="D7"/>
    </sheetView>
  </sheetViews>
  <sheetFormatPr defaultColWidth="8.77734375" defaultRowHeight="14.4" x14ac:dyDescent="0.3"/>
  <sheetData>
    <row r="1" spans="1:53" x14ac:dyDescent="0.3">
      <c r="A1">
        <v>0</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1877" t="s">
        <v>1263</v>
      </c>
      <c r="C2" s="1877"/>
      <c r="D2" s="1877"/>
      <c r="E2" s="1877"/>
      <c r="F2" s="1877" t="s">
        <v>1264</v>
      </c>
      <c r="G2" s="1877"/>
      <c r="H2" s="42" t="s">
        <v>1265</v>
      </c>
      <c r="I2" s="42" t="s">
        <v>1266</v>
      </c>
    </row>
    <row r="3" spans="2:9" x14ac:dyDescent="0.3">
      <c r="B3" s="43" t="s">
        <v>1267</v>
      </c>
      <c r="C3" s="43" t="s">
        <v>413</v>
      </c>
      <c r="D3" s="44" t="s">
        <v>439</v>
      </c>
      <c r="E3" s="44" t="s">
        <v>428</v>
      </c>
      <c r="F3" s="45" t="s">
        <v>414</v>
      </c>
      <c r="G3" s="45" t="s">
        <v>429</v>
      </c>
      <c r="H3" s="46" t="s">
        <v>431</v>
      </c>
      <c r="I3" s="46" t="s">
        <v>1268</v>
      </c>
    </row>
    <row r="4" spans="2:9" ht="110.4" x14ac:dyDescent="0.3">
      <c r="B4" s="47" t="s">
        <v>109</v>
      </c>
      <c r="C4" s="25" t="s">
        <v>1269</v>
      </c>
      <c r="D4" s="25" t="s">
        <v>1270</v>
      </c>
      <c r="E4" s="25" t="s">
        <v>1271</v>
      </c>
      <c r="F4" s="25" t="s">
        <v>1272</v>
      </c>
      <c r="G4" s="25" t="s">
        <v>1273</v>
      </c>
      <c r="H4" s="25" t="s">
        <v>1274</v>
      </c>
      <c r="I4" s="25" t="s">
        <v>1275</v>
      </c>
    </row>
    <row r="5" spans="2:9" ht="110.4" x14ac:dyDescent="0.3">
      <c r="B5" s="47" t="s">
        <v>106</v>
      </c>
      <c r="C5" s="25" t="s">
        <v>1276</v>
      </c>
      <c r="D5" s="25" t="s">
        <v>1277</v>
      </c>
      <c r="E5" s="25" t="s">
        <v>1278</v>
      </c>
      <c r="F5" s="25" t="s">
        <v>1279</v>
      </c>
      <c r="G5" s="25" t="s">
        <v>1280</v>
      </c>
      <c r="H5" s="25" t="s">
        <v>1281</v>
      </c>
      <c r="I5" s="25" t="s">
        <v>1282</v>
      </c>
    </row>
    <row r="6" spans="2:9" ht="165.6" x14ac:dyDescent="0.3">
      <c r="B6" s="47" t="s">
        <v>104</v>
      </c>
      <c r="C6" s="25" t="s">
        <v>1283</v>
      </c>
      <c r="D6" s="25" t="s">
        <v>1284</v>
      </c>
      <c r="E6" s="25" t="s">
        <v>1285</v>
      </c>
      <c r="F6" s="25" t="s">
        <v>1286</v>
      </c>
      <c r="G6" s="25" t="s">
        <v>1287</v>
      </c>
      <c r="H6" s="25" t="s">
        <v>1288</v>
      </c>
      <c r="I6" s="25" t="s">
        <v>1289</v>
      </c>
    </row>
    <row r="7" spans="2:9" ht="193.2" x14ac:dyDescent="0.3">
      <c r="B7" s="47" t="s">
        <v>102</v>
      </c>
      <c r="C7" s="25" t="s">
        <v>1290</v>
      </c>
      <c r="D7" s="25" t="s">
        <v>1291</v>
      </c>
      <c r="E7" s="25" t="s">
        <v>1292</v>
      </c>
      <c r="F7" s="25" t="s">
        <v>1293</v>
      </c>
      <c r="G7" s="25" t="s">
        <v>1294</v>
      </c>
      <c r="H7" s="25" t="s">
        <v>1295</v>
      </c>
      <c r="I7" s="25" t="s">
        <v>1296</v>
      </c>
    </row>
    <row r="8" spans="2:9" ht="124.2" x14ac:dyDescent="0.3">
      <c r="B8" s="47" t="s">
        <v>100</v>
      </c>
      <c r="C8" s="25" t="s">
        <v>1297</v>
      </c>
      <c r="D8" s="25" t="s">
        <v>1298</v>
      </c>
      <c r="E8" s="25" t="s">
        <v>1299</v>
      </c>
      <c r="F8" s="25" t="s">
        <v>1300</v>
      </c>
      <c r="G8" s="25" t="s">
        <v>1301</v>
      </c>
      <c r="H8" s="25" t="s">
        <v>1302</v>
      </c>
      <c r="I8" s="25" t="s">
        <v>1303</v>
      </c>
    </row>
    <row r="9" spans="2:9" ht="179.4" x14ac:dyDescent="0.3">
      <c r="B9" s="47" t="s">
        <v>97</v>
      </c>
      <c r="C9" s="25" t="s">
        <v>1304</v>
      </c>
      <c r="D9" s="25" t="s">
        <v>1305</v>
      </c>
      <c r="E9" s="25" t="s">
        <v>1306</v>
      </c>
      <c r="F9" s="25" t="s">
        <v>1307</v>
      </c>
      <c r="G9" s="25" t="s">
        <v>1308</v>
      </c>
      <c r="H9" s="25" t="s">
        <v>1309</v>
      </c>
      <c r="I9" s="25" t="s">
        <v>1310</v>
      </c>
    </row>
  </sheetData>
  <mergeCells count="2">
    <mergeCell ref="B2:E2"/>
    <mergeCell ref="F2:G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dimension ref="B2:I101"/>
  <sheetViews>
    <sheetView topLeftCell="E30" workbookViewId="0">
      <selection activeCell="C3" sqref="C3:F3"/>
    </sheetView>
  </sheetViews>
  <sheetFormatPr defaultColWidth="10.77734375" defaultRowHeight="14.4" x14ac:dyDescent="0.3"/>
  <cols>
    <col min="3" max="3" width="37" customWidth="1"/>
    <col min="4" max="4" width="31.44140625" bestFit="1" customWidth="1"/>
    <col min="5" max="5" width="37.44140625" bestFit="1" customWidth="1"/>
    <col min="8" max="8" width="11.21875" bestFit="1" customWidth="1"/>
    <col min="9" max="9" width="34.21875" bestFit="1" customWidth="1"/>
  </cols>
  <sheetData>
    <row r="2" spans="2:9" x14ac:dyDescent="0.3">
      <c r="B2" s="48" t="s">
        <v>1311</v>
      </c>
      <c r="C2" s="48" t="s">
        <v>1312</v>
      </c>
      <c r="D2" s="48" t="s">
        <v>1313</v>
      </c>
      <c r="E2" s="48" t="s">
        <v>1314</v>
      </c>
      <c r="H2" s="1878" t="s">
        <v>1315</v>
      </c>
      <c r="I2" s="1878"/>
    </row>
    <row r="3" spans="2:9" x14ac:dyDescent="0.3">
      <c r="B3" s="9" t="s">
        <v>1316</v>
      </c>
      <c r="C3" s="9" t="s">
        <v>1317</v>
      </c>
      <c r="D3" s="9" t="s">
        <v>402</v>
      </c>
      <c r="E3" s="9" t="s">
        <v>1318</v>
      </c>
      <c r="H3" s="51" t="s">
        <v>1319</v>
      </c>
      <c r="I3" s="51" t="s">
        <v>413</v>
      </c>
    </row>
    <row r="4" spans="2:9" x14ac:dyDescent="0.3">
      <c r="B4" s="47" t="s">
        <v>1316</v>
      </c>
      <c r="C4" s="47" t="s">
        <v>1317</v>
      </c>
      <c r="D4" s="47" t="s">
        <v>402</v>
      </c>
      <c r="E4" s="47" t="s">
        <v>1320</v>
      </c>
      <c r="H4" s="51" t="s">
        <v>1319</v>
      </c>
      <c r="I4" s="47" t="s">
        <v>439</v>
      </c>
    </row>
    <row r="5" spans="2:9" x14ac:dyDescent="0.3">
      <c r="B5" s="47" t="s">
        <v>1316</v>
      </c>
      <c r="C5" s="47" t="s">
        <v>1317</v>
      </c>
      <c r="D5" s="47" t="s">
        <v>402</v>
      </c>
      <c r="E5" s="47" t="s">
        <v>1321</v>
      </c>
      <c r="H5" s="51" t="s">
        <v>1319</v>
      </c>
      <c r="I5" s="47" t="s">
        <v>428</v>
      </c>
    </row>
    <row r="6" spans="2:9" x14ac:dyDescent="0.3">
      <c r="B6" s="47" t="s">
        <v>1316</v>
      </c>
      <c r="C6" s="47" t="s">
        <v>1317</v>
      </c>
      <c r="D6" s="47" t="s">
        <v>402</v>
      </c>
      <c r="E6" s="47" t="s">
        <v>1322</v>
      </c>
      <c r="H6" s="51" t="s">
        <v>1323</v>
      </c>
      <c r="I6" s="47" t="s">
        <v>414</v>
      </c>
    </row>
    <row r="7" spans="2:9" x14ac:dyDescent="0.3">
      <c r="B7" s="47" t="s">
        <v>1316</v>
      </c>
      <c r="C7" s="47" t="s">
        <v>1317</v>
      </c>
      <c r="D7" s="47" t="s">
        <v>410</v>
      </c>
      <c r="E7" s="47" t="s">
        <v>1324</v>
      </c>
      <c r="H7" s="51" t="s">
        <v>1323</v>
      </c>
      <c r="I7" s="47" t="s">
        <v>429</v>
      </c>
    </row>
    <row r="8" spans="2:9" x14ac:dyDescent="0.3">
      <c r="B8" s="47" t="s">
        <v>1316</v>
      </c>
      <c r="C8" s="47" t="s">
        <v>1317</v>
      </c>
      <c r="D8" s="47" t="s">
        <v>410</v>
      </c>
      <c r="E8" s="47" t="s">
        <v>488</v>
      </c>
      <c r="H8" s="51" t="s">
        <v>431</v>
      </c>
      <c r="I8" s="47" t="s">
        <v>1325</v>
      </c>
    </row>
    <row r="9" spans="2:9" x14ac:dyDescent="0.3">
      <c r="B9" s="47" t="s">
        <v>1316</v>
      </c>
      <c r="C9" s="47" t="s">
        <v>1317</v>
      </c>
      <c r="D9" s="47" t="s">
        <v>410</v>
      </c>
      <c r="E9" s="47" t="s">
        <v>1326</v>
      </c>
      <c r="H9" s="197" t="s">
        <v>416</v>
      </c>
      <c r="I9" s="198" t="s">
        <v>1327</v>
      </c>
    </row>
    <row r="10" spans="2:9" x14ac:dyDescent="0.3">
      <c r="B10" s="47" t="s">
        <v>1316</v>
      </c>
      <c r="C10" s="47" t="s">
        <v>1317</v>
      </c>
      <c r="D10" s="47" t="s">
        <v>410</v>
      </c>
      <c r="E10" s="47" t="s">
        <v>1328</v>
      </c>
      <c r="H10" s="199" t="s">
        <v>68</v>
      </c>
      <c r="I10" s="199" t="s">
        <v>1329</v>
      </c>
    </row>
    <row r="11" spans="2:9" x14ac:dyDescent="0.3">
      <c r="B11" s="47" t="s">
        <v>1316</v>
      </c>
      <c r="C11" s="47" t="s">
        <v>1317</v>
      </c>
      <c r="D11" s="47" t="s">
        <v>410</v>
      </c>
      <c r="E11" s="47" t="s">
        <v>1330</v>
      </c>
      <c r="H11" s="199"/>
      <c r="I11" s="199" t="s">
        <v>1331</v>
      </c>
    </row>
    <row r="12" spans="2:9" x14ac:dyDescent="0.3">
      <c r="B12" s="47" t="s">
        <v>1316</v>
      </c>
      <c r="C12" s="47" t="s">
        <v>1317</v>
      </c>
      <c r="D12" s="47" t="s">
        <v>423</v>
      </c>
      <c r="E12" s="47" t="s">
        <v>1332</v>
      </c>
      <c r="H12" s="199"/>
      <c r="I12" s="199" t="s">
        <v>1333</v>
      </c>
    </row>
    <row r="13" spans="2:9" x14ac:dyDescent="0.3">
      <c r="B13" s="47" t="s">
        <v>1316</v>
      </c>
      <c r="C13" s="47" t="s">
        <v>1317</v>
      </c>
      <c r="D13" s="47" t="s">
        <v>423</v>
      </c>
      <c r="E13" s="47" t="s">
        <v>1334</v>
      </c>
      <c r="H13" s="199"/>
      <c r="I13" s="199" t="s">
        <v>1335</v>
      </c>
    </row>
    <row r="14" spans="2:9" x14ac:dyDescent="0.3">
      <c r="B14" s="47" t="s">
        <v>1316</v>
      </c>
      <c r="C14" s="47" t="s">
        <v>1317</v>
      </c>
      <c r="D14" s="47" t="s">
        <v>423</v>
      </c>
      <c r="E14" s="47" t="s">
        <v>1336</v>
      </c>
      <c r="H14" s="199"/>
      <c r="I14" s="199" t="s">
        <v>1337</v>
      </c>
    </row>
    <row r="15" spans="2:9" x14ac:dyDescent="0.3">
      <c r="B15" s="47" t="s">
        <v>1316</v>
      </c>
      <c r="C15" s="47" t="s">
        <v>1317</v>
      </c>
      <c r="D15" s="47" t="s">
        <v>423</v>
      </c>
      <c r="E15" s="47" t="s">
        <v>1338</v>
      </c>
      <c r="H15" s="199"/>
      <c r="I15" s="199" t="s">
        <v>1339</v>
      </c>
    </row>
    <row r="16" spans="2:9" x14ac:dyDescent="0.3">
      <c r="B16" s="47" t="s">
        <v>1316</v>
      </c>
      <c r="C16" s="47" t="s">
        <v>1317</v>
      </c>
      <c r="D16" s="47" t="s">
        <v>423</v>
      </c>
      <c r="E16" s="47" t="s">
        <v>1340</v>
      </c>
      <c r="H16" s="199"/>
      <c r="I16" s="199" t="s">
        <v>1341</v>
      </c>
    </row>
    <row r="17" spans="2:9" x14ac:dyDescent="0.3">
      <c r="B17" s="47" t="s">
        <v>1316</v>
      </c>
      <c r="C17" s="47" t="s">
        <v>1342</v>
      </c>
      <c r="D17" s="47" t="s">
        <v>436</v>
      </c>
      <c r="E17" s="52"/>
      <c r="H17" s="199"/>
      <c r="I17" s="199" t="s">
        <v>1343</v>
      </c>
    </row>
    <row r="18" spans="2:9" x14ac:dyDescent="0.3">
      <c r="B18" s="47" t="s">
        <v>1344</v>
      </c>
      <c r="C18" s="47" t="s">
        <v>1345</v>
      </c>
      <c r="D18" s="47" t="s">
        <v>446</v>
      </c>
      <c r="E18" s="47" t="s">
        <v>1346</v>
      </c>
      <c r="H18" s="199"/>
      <c r="I18" s="199" t="s">
        <v>1347</v>
      </c>
    </row>
    <row r="19" spans="2:9" x14ac:dyDescent="0.3">
      <c r="B19" s="47" t="s">
        <v>1344</v>
      </c>
      <c r="C19" s="47" t="s">
        <v>1345</v>
      </c>
      <c r="D19" s="47" t="s">
        <v>446</v>
      </c>
      <c r="E19" s="47" t="s">
        <v>1348</v>
      </c>
      <c r="H19" s="199" t="s">
        <v>1349</v>
      </c>
      <c r="I19" s="199" t="s">
        <v>1350</v>
      </c>
    </row>
    <row r="20" spans="2:9" x14ac:dyDescent="0.3">
      <c r="B20" s="47" t="s">
        <v>1344</v>
      </c>
      <c r="C20" s="47" t="s">
        <v>1345</v>
      </c>
      <c r="D20" s="47" t="s">
        <v>455</v>
      </c>
      <c r="E20" s="47" t="s">
        <v>1351</v>
      </c>
      <c r="H20" s="199" t="s">
        <v>68</v>
      </c>
      <c r="I20" s="199" t="s">
        <v>1352</v>
      </c>
    </row>
    <row r="21" spans="2:9" x14ac:dyDescent="0.3">
      <c r="B21" s="47" t="s">
        <v>1344</v>
      </c>
      <c r="C21" s="47" t="s">
        <v>1345</v>
      </c>
      <c r="D21" s="47" t="s">
        <v>455</v>
      </c>
      <c r="E21" s="47" t="s">
        <v>1353</v>
      </c>
      <c r="H21" s="199" t="s">
        <v>1349</v>
      </c>
      <c r="I21" s="199" t="s">
        <v>1354</v>
      </c>
    </row>
    <row r="22" spans="2:9" x14ac:dyDescent="0.3">
      <c r="B22" s="47" t="s">
        <v>339</v>
      </c>
      <c r="C22" s="47"/>
      <c r="D22" s="53" t="s">
        <v>411</v>
      </c>
      <c r="E22" s="54" t="s">
        <v>1355</v>
      </c>
      <c r="H22" s="51" t="s">
        <v>1323</v>
      </c>
      <c r="I22" s="199" t="s">
        <v>1356</v>
      </c>
    </row>
    <row r="23" spans="2:9" x14ac:dyDescent="0.3">
      <c r="B23" s="47" t="s">
        <v>339</v>
      </c>
      <c r="C23" s="47"/>
      <c r="D23" s="53" t="s">
        <v>411</v>
      </c>
      <c r="E23" s="54" t="s">
        <v>1357</v>
      </c>
      <c r="H23" s="51" t="s">
        <v>1323</v>
      </c>
      <c r="I23" s="199" t="s">
        <v>1358</v>
      </c>
    </row>
    <row r="24" spans="2:9" x14ac:dyDescent="0.3">
      <c r="B24" s="47" t="s">
        <v>339</v>
      </c>
      <c r="C24" s="47"/>
      <c r="D24" s="53" t="s">
        <v>411</v>
      </c>
      <c r="E24" s="54" t="s">
        <v>1359</v>
      </c>
      <c r="H24" s="199"/>
      <c r="I24" s="199"/>
    </row>
    <row r="25" spans="2:9" x14ac:dyDescent="0.3">
      <c r="B25" s="47" t="s">
        <v>339</v>
      </c>
      <c r="C25" s="47"/>
      <c r="D25" s="53" t="s">
        <v>411</v>
      </c>
      <c r="E25" s="54" t="s">
        <v>1360</v>
      </c>
    </row>
    <row r="26" spans="2:9" x14ac:dyDescent="0.3">
      <c r="B26" s="47" t="s">
        <v>339</v>
      </c>
      <c r="C26" s="47"/>
      <c r="D26" s="53" t="s">
        <v>411</v>
      </c>
      <c r="E26" s="54" t="s">
        <v>1361</v>
      </c>
    </row>
    <row r="27" spans="2:9" x14ac:dyDescent="0.3">
      <c r="B27" s="47" t="s">
        <v>339</v>
      </c>
      <c r="C27" s="47"/>
      <c r="D27" s="53" t="s">
        <v>411</v>
      </c>
      <c r="E27" s="54" t="s">
        <v>1362</v>
      </c>
    </row>
    <row r="28" spans="2:9" x14ac:dyDescent="0.3">
      <c r="B28" s="47" t="s">
        <v>339</v>
      </c>
      <c r="C28" s="47"/>
      <c r="D28" s="53" t="s">
        <v>411</v>
      </c>
      <c r="E28" s="54" t="s">
        <v>1363</v>
      </c>
    </row>
    <row r="29" spans="2:9" x14ac:dyDescent="0.3">
      <c r="B29" s="47" t="s">
        <v>339</v>
      </c>
      <c r="C29" s="47"/>
      <c r="D29" s="53" t="s">
        <v>411</v>
      </c>
      <c r="E29" s="54" t="s">
        <v>1364</v>
      </c>
    </row>
    <row r="30" spans="2:9" x14ac:dyDescent="0.3">
      <c r="B30" s="47" t="s">
        <v>339</v>
      </c>
      <c r="C30" s="47"/>
      <c r="D30" s="53" t="s">
        <v>411</v>
      </c>
      <c r="E30" s="54" t="s">
        <v>1365</v>
      </c>
    </row>
    <row r="31" spans="2:9" x14ac:dyDescent="0.3">
      <c r="B31" s="47" t="s">
        <v>339</v>
      </c>
      <c r="C31" s="47"/>
      <c r="D31" s="53" t="s">
        <v>468</v>
      </c>
      <c r="E31" s="54" t="s">
        <v>1366</v>
      </c>
    </row>
    <row r="32" spans="2:9" x14ac:dyDescent="0.3">
      <c r="B32" s="47" t="s">
        <v>339</v>
      </c>
      <c r="C32" s="47"/>
      <c r="D32" s="53" t="s">
        <v>468</v>
      </c>
      <c r="E32" s="54" t="s">
        <v>1367</v>
      </c>
    </row>
    <row r="33" spans="2:5" x14ac:dyDescent="0.3">
      <c r="B33" s="47" t="s">
        <v>339</v>
      </c>
      <c r="C33" s="47"/>
      <c r="D33" s="53" t="s">
        <v>468</v>
      </c>
      <c r="E33" s="54" t="s">
        <v>1368</v>
      </c>
    </row>
    <row r="34" spans="2:5" x14ac:dyDescent="0.3">
      <c r="B34" s="47" t="s">
        <v>339</v>
      </c>
      <c r="C34" s="47"/>
      <c r="D34" s="53" t="s">
        <v>468</v>
      </c>
      <c r="E34" s="54" t="s">
        <v>1369</v>
      </c>
    </row>
    <row r="35" spans="2:5" x14ac:dyDescent="0.3">
      <c r="B35" s="47" t="s">
        <v>339</v>
      </c>
      <c r="C35" s="47"/>
      <c r="D35" s="53" t="s">
        <v>468</v>
      </c>
      <c r="E35" s="54" t="s">
        <v>1370</v>
      </c>
    </row>
    <row r="36" spans="2:5" x14ac:dyDescent="0.3">
      <c r="B36" s="47" t="s">
        <v>339</v>
      </c>
      <c r="C36" s="47"/>
      <c r="D36" s="53" t="s">
        <v>468</v>
      </c>
      <c r="E36" s="54" t="s">
        <v>439</v>
      </c>
    </row>
    <row r="37" spans="2:5" x14ac:dyDescent="0.3">
      <c r="B37" s="47" t="s">
        <v>339</v>
      </c>
      <c r="C37" s="47"/>
      <c r="D37" s="53" t="s">
        <v>468</v>
      </c>
      <c r="E37" s="54" t="s">
        <v>1371</v>
      </c>
    </row>
    <row r="38" spans="2:5" x14ac:dyDescent="0.3">
      <c r="B38" s="47" t="s">
        <v>339</v>
      </c>
      <c r="C38" s="47"/>
      <c r="D38" s="53" t="s">
        <v>468</v>
      </c>
      <c r="E38" s="54" t="s">
        <v>1372</v>
      </c>
    </row>
    <row r="39" spans="2:5" x14ac:dyDescent="0.3">
      <c r="B39" s="47" t="s">
        <v>339</v>
      </c>
      <c r="C39" s="47" t="s">
        <v>1373</v>
      </c>
      <c r="D39" s="55" t="s">
        <v>473</v>
      </c>
      <c r="E39" s="55" t="s">
        <v>473</v>
      </c>
    </row>
    <row r="40" spans="2:5" x14ac:dyDescent="0.3">
      <c r="B40" s="47" t="s">
        <v>339</v>
      </c>
      <c r="C40" s="47" t="s">
        <v>1374</v>
      </c>
      <c r="D40" s="55" t="s">
        <v>476</v>
      </c>
      <c r="E40" s="55" t="s">
        <v>1330</v>
      </c>
    </row>
    <row r="41" spans="2:5" x14ac:dyDescent="0.3">
      <c r="B41" s="47" t="s">
        <v>339</v>
      </c>
      <c r="C41" s="47" t="s">
        <v>1374</v>
      </c>
      <c r="D41" s="55" t="s">
        <v>476</v>
      </c>
      <c r="E41" s="55" t="s">
        <v>1375</v>
      </c>
    </row>
    <row r="42" spans="2:5" x14ac:dyDescent="0.3">
      <c r="B42" s="47" t="s">
        <v>339</v>
      </c>
      <c r="C42" s="47" t="s">
        <v>1374</v>
      </c>
      <c r="D42" s="55" t="s">
        <v>476</v>
      </c>
      <c r="E42" s="55" t="s">
        <v>1326</v>
      </c>
    </row>
    <row r="43" spans="2:5" x14ac:dyDescent="0.3">
      <c r="B43" s="47" t="s">
        <v>339</v>
      </c>
      <c r="C43" s="47" t="s">
        <v>1374</v>
      </c>
      <c r="D43" s="55" t="s">
        <v>476</v>
      </c>
      <c r="E43" s="55" t="s">
        <v>1324</v>
      </c>
    </row>
    <row r="44" spans="2:5" x14ac:dyDescent="0.3">
      <c r="B44" s="47" t="s">
        <v>339</v>
      </c>
      <c r="C44" s="47"/>
      <c r="D44" s="53" t="s">
        <v>437</v>
      </c>
      <c r="E44" s="54" t="s">
        <v>1376</v>
      </c>
    </row>
    <row r="45" spans="2:5" x14ac:dyDescent="0.3">
      <c r="B45" s="47" t="s">
        <v>339</v>
      </c>
      <c r="C45" s="47"/>
      <c r="D45" s="53" t="s">
        <v>437</v>
      </c>
      <c r="E45" s="54" t="s">
        <v>1377</v>
      </c>
    </row>
    <row r="46" spans="2:5" x14ac:dyDescent="0.3">
      <c r="B46" s="47" t="s">
        <v>339</v>
      </c>
      <c r="C46" s="47"/>
      <c r="D46" s="53" t="s">
        <v>437</v>
      </c>
      <c r="E46" s="54" t="s">
        <v>1378</v>
      </c>
    </row>
    <row r="47" spans="2:5" x14ac:dyDescent="0.3">
      <c r="B47" s="47" t="s">
        <v>339</v>
      </c>
      <c r="C47" s="47"/>
      <c r="D47" s="53" t="s">
        <v>437</v>
      </c>
      <c r="E47" s="54" t="s">
        <v>1379</v>
      </c>
    </row>
    <row r="48" spans="2:5" x14ac:dyDescent="0.3">
      <c r="B48" s="47" t="s">
        <v>339</v>
      </c>
      <c r="C48" s="47"/>
      <c r="D48" s="53" t="s">
        <v>437</v>
      </c>
      <c r="E48" s="54" t="s">
        <v>1380</v>
      </c>
    </row>
    <row r="49" spans="2:5" x14ac:dyDescent="0.3">
      <c r="B49" s="47" t="s">
        <v>339</v>
      </c>
      <c r="C49" s="47"/>
      <c r="D49" s="53" t="s">
        <v>437</v>
      </c>
      <c r="E49" s="54" t="s">
        <v>1381</v>
      </c>
    </row>
    <row r="50" spans="2:5" x14ac:dyDescent="0.3">
      <c r="B50" s="47" t="s">
        <v>339</v>
      </c>
      <c r="C50" s="47"/>
      <c r="D50" s="53" t="s">
        <v>437</v>
      </c>
      <c r="E50" s="54" t="s">
        <v>1382</v>
      </c>
    </row>
    <row r="51" spans="2:5" x14ac:dyDescent="0.3">
      <c r="B51" s="47" t="s">
        <v>339</v>
      </c>
      <c r="C51" s="47"/>
      <c r="D51" s="53" t="s">
        <v>437</v>
      </c>
      <c r="E51" s="54" t="s">
        <v>469</v>
      </c>
    </row>
    <row r="52" spans="2:5" x14ac:dyDescent="0.3">
      <c r="B52" s="47" t="s">
        <v>339</v>
      </c>
      <c r="C52" s="47" t="s">
        <v>1374</v>
      </c>
      <c r="D52" s="55" t="s">
        <v>482</v>
      </c>
      <c r="E52" s="56" t="s">
        <v>1383</v>
      </c>
    </row>
    <row r="53" spans="2:5" x14ac:dyDescent="0.3">
      <c r="B53" s="47" t="s">
        <v>339</v>
      </c>
      <c r="C53" s="47"/>
      <c r="D53" s="53" t="s">
        <v>425</v>
      </c>
      <c r="E53" s="53" t="s">
        <v>1384</v>
      </c>
    </row>
    <row r="54" spans="2:5" x14ac:dyDescent="0.3">
      <c r="B54" s="47" t="s">
        <v>339</v>
      </c>
      <c r="C54" s="47"/>
      <c r="D54" s="53" t="s">
        <v>425</v>
      </c>
      <c r="E54" s="53" t="s">
        <v>1385</v>
      </c>
    </row>
    <row r="55" spans="2:5" x14ac:dyDescent="0.3">
      <c r="B55" s="47" t="s">
        <v>339</v>
      </c>
      <c r="C55" s="47"/>
      <c r="D55" s="53" t="s">
        <v>425</v>
      </c>
      <c r="E55" s="53" t="s">
        <v>1386</v>
      </c>
    </row>
    <row r="56" spans="2:5" x14ac:dyDescent="0.3">
      <c r="B56" s="47" t="s">
        <v>339</v>
      </c>
      <c r="C56" s="47"/>
      <c r="D56" s="53" t="s">
        <v>425</v>
      </c>
      <c r="E56" s="53" t="s">
        <v>1387</v>
      </c>
    </row>
    <row r="57" spans="2:5" x14ac:dyDescent="0.3">
      <c r="B57" s="47" t="s">
        <v>339</v>
      </c>
      <c r="C57" s="47"/>
      <c r="D57" s="53" t="s">
        <v>425</v>
      </c>
      <c r="E57" s="53" t="s">
        <v>1388</v>
      </c>
    </row>
    <row r="58" spans="2:5" x14ac:dyDescent="0.3">
      <c r="B58" s="47" t="s">
        <v>339</v>
      </c>
      <c r="C58" s="47"/>
      <c r="D58" s="53" t="s">
        <v>425</v>
      </c>
      <c r="E58" s="53" t="s">
        <v>1389</v>
      </c>
    </row>
    <row r="59" spans="2:5" x14ac:dyDescent="0.3">
      <c r="B59" s="47" t="s">
        <v>339</v>
      </c>
      <c r="C59" s="47"/>
      <c r="D59" s="53" t="s">
        <v>425</v>
      </c>
      <c r="E59" s="53" t="s">
        <v>1390</v>
      </c>
    </row>
    <row r="60" spans="2:5" x14ac:dyDescent="0.3">
      <c r="B60" s="47" t="s">
        <v>339</v>
      </c>
      <c r="C60" s="47"/>
      <c r="D60" s="53" t="s">
        <v>425</v>
      </c>
      <c r="E60" s="53" t="s">
        <v>1391</v>
      </c>
    </row>
    <row r="61" spans="2:5" x14ac:dyDescent="0.3">
      <c r="B61" s="47" t="s">
        <v>339</v>
      </c>
      <c r="C61" s="47"/>
      <c r="D61" s="53" t="s">
        <v>425</v>
      </c>
      <c r="E61" s="53" t="s">
        <v>1392</v>
      </c>
    </row>
    <row r="62" spans="2:5" x14ac:dyDescent="0.3">
      <c r="B62" s="47" t="s">
        <v>339</v>
      </c>
      <c r="C62" s="47" t="s">
        <v>1374</v>
      </c>
      <c r="D62" s="55" t="s">
        <v>486</v>
      </c>
      <c r="E62" s="55" t="s">
        <v>1338</v>
      </c>
    </row>
    <row r="63" spans="2:5" x14ac:dyDescent="0.3">
      <c r="B63" s="47" t="s">
        <v>339</v>
      </c>
      <c r="C63" s="47" t="s">
        <v>1374</v>
      </c>
      <c r="D63" s="55" t="s">
        <v>486</v>
      </c>
      <c r="E63" s="55" t="s">
        <v>1340</v>
      </c>
    </row>
    <row r="64" spans="2:5" x14ac:dyDescent="0.3">
      <c r="B64" s="47" t="s">
        <v>339</v>
      </c>
      <c r="C64" s="47" t="s">
        <v>1374</v>
      </c>
      <c r="D64" s="55" t="s">
        <v>486</v>
      </c>
      <c r="E64" s="55" t="s">
        <v>1336</v>
      </c>
    </row>
    <row r="65" spans="2:5" x14ac:dyDescent="0.3">
      <c r="B65" s="47" t="s">
        <v>339</v>
      </c>
      <c r="C65" s="47" t="s">
        <v>1374</v>
      </c>
      <c r="D65" s="55" t="s">
        <v>486</v>
      </c>
      <c r="E65" s="55" t="s">
        <v>1393</v>
      </c>
    </row>
    <row r="66" spans="2:5" x14ac:dyDescent="0.3">
      <c r="B66" s="47" t="s">
        <v>339</v>
      </c>
      <c r="C66" s="47" t="s">
        <v>1374</v>
      </c>
      <c r="D66" s="55" t="s">
        <v>486</v>
      </c>
      <c r="E66" s="55" t="s">
        <v>1394</v>
      </c>
    </row>
    <row r="67" spans="2:5" x14ac:dyDescent="0.3">
      <c r="B67" s="47" t="s">
        <v>339</v>
      </c>
      <c r="C67" s="47"/>
      <c r="D67" s="53" t="s">
        <v>488</v>
      </c>
      <c r="E67" s="54" t="s">
        <v>488</v>
      </c>
    </row>
    <row r="68" spans="2:5" x14ac:dyDescent="0.3">
      <c r="B68" s="47" t="s">
        <v>1395</v>
      </c>
      <c r="C68" s="47" t="s">
        <v>1396</v>
      </c>
      <c r="D68" s="47" t="s">
        <v>1397</v>
      </c>
      <c r="E68" s="47" t="s">
        <v>1398</v>
      </c>
    </row>
    <row r="69" spans="2:5" x14ac:dyDescent="0.3">
      <c r="B69" s="47" t="s">
        <v>1395</v>
      </c>
      <c r="C69" s="47" t="s">
        <v>1396</v>
      </c>
      <c r="D69" s="47" t="s">
        <v>1397</v>
      </c>
      <c r="E69" s="47" t="s">
        <v>1399</v>
      </c>
    </row>
    <row r="70" spans="2:5" x14ac:dyDescent="0.3">
      <c r="B70" s="47" t="s">
        <v>1395</v>
      </c>
      <c r="C70" s="47" t="s">
        <v>1396</v>
      </c>
      <c r="D70" s="47" t="s">
        <v>1397</v>
      </c>
      <c r="E70" s="47" t="s">
        <v>1400</v>
      </c>
    </row>
    <row r="71" spans="2:5" x14ac:dyDescent="0.3">
      <c r="B71" s="47" t="s">
        <v>1395</v>
      </c>
      <c r="C71" s="47" t="s">
        <v>1396</v>
      </c>
      <c r="D71" s="47" t="s">
        <v>1401</v>
      </c>
      <c r="E71" s="47"/>
    </row>
    <row r="72" spans="2:5" x14ac:dyDescent="0.3">
      <c r="B72" s="47" t="s">
        <v>1395</v>
      </c>
      <c r="C72" s="47" t="s">
        <v>1396</v>
      </c>
      <c r="D72" s="47" t="s">
        <v>1402</v>
      </c>
      <c r="E72" s="47"/>
    </row>
    <row r="73" spans="2:5" x14ac:dyDescent="0.3">
      <c r="B73" s="47" t="s">
        <v>1316</v>
      </c>
      <c r="C73" s="47" t="s">
        <v>1403</v>
      </c>
      <c r="D73" s="47" t="s">
        <v>490</v>
      </c>
      <c r="E73" s="52"/>
    </row>
    <row r="74" spans="2:5" x14ac:dyDescent="0.3">
      <c r="B74" s="47" t="s">
        <v>1316</v>
      </c>
      <c r="C74" s="47" t="s">
        <v>1403</v>
      </c>
      <c r="D74" s="47" t="s">
        <v>492</v>
      </c>
      <c r="E74" s="52"/>
    </row>
    <row r="75" spans="2:5" x14ac:dyDescent="0.3">
      <c r="B75" s="47" t="s">
        <v>1316</v>
      </c>
      <c r="C75" s="47" t="s">
        <v>1403</v>
      </c>
      <c r="D75" s="47" t="s">
        <v>494</v>
      </c>
      <c r="E75" s="52"/>
    </row>
    <row r="76" spans="2:5" x14ac:dyDescent="0.3">
      <c r="B76" s="47" t="s">
        <v>1316</v>
      </c>
      <c r="C76" s="47" t="s">
        <v>1403</v>
      </c>
      <c r="D76" s="47" t="s">
        <v>496</v>
      </c>
      <c r="E76" s="52"/>
    </row>
    <row r="77" spans="2:5" x14ac:dyDescent="0.3">
      <c r="B77" s="47" t="s">
        <v>1316</v>
      </c>
      <c r="C77" s="47" t="s">
        <v>1403</v>
      </c>
      <c r="D77" s="47" t="s">
        <v>499</v>
      </c>
      <c r="E77" s="52"/>
    </row>
    <row r="78" spans="2:5" x14ac:dyDescent="0.3">
      <c r="B78" s="47" t="s">
        <v>1316</v>
      </c>
      <c r="C78" s="47" t="s">
        <v>1403</v>
      </c>
      <c r="D78" s="47" t="s">
        <v>501</v>
      </c>
      <c r="E78" s="52"/>
    </row>
    <row r="79" spans="2:5" x14ac:dyDescent="0.3">
      <c r="B79" s="47" t="s">
        <v>1316</v>
      </c>
      <c r="C79" s="47" t="s">
        <v>1403</v>
      </c>
      <c r="D79" s="47" t="s">
        <v>503</v>
      </c>
      <c r="E79" s="52"/>
    </row>
    <row r="80" spans="2:5" x14ac:dyDescent="0.3">
      <c r="B80" s="47" t="s">
        <v>1404</v>
      </c>
      <c r="C80" s="47" t="s">
        <v>1374</v>
      </c>
      <c r="D80" s="47" t="s">
        <v>506</v>
      </c>
      <c r="E80" s="47" t="s">
        <v>1405</v>
      </c>
    </row>
    <row r="81" spans="2:5" x14ac:dyDescent="0.3">
      <c r="B81" s="47" t="s">
        <v>1404</v>
      </c>
      <c r="C81" s="47" t="s">
        <v>1374</v>
      </c>
      <c r="D81" s="47" t="s">
        <v>506</v>
      </c>
      <c r="E81" s="47" t="s">
        <v>488</v>
      </c>
    </row>
    <row r="82" spans="2:5" x14ac:dyDescent="0.3">
      <c r="B82" s="47" t="s">
        <v>1404</v>
      </c>
      <c r="C82" s="47" t="s">
        <v>1374</v>
      </c>
      <c r="D82" s="47" t="s">
        <v>506</v>
      </c>
      <c r="E82" s="47" t="s">
        <v>1326</v>
      </c>
    </row>
    <row r="83" spans="2:5" x14ac:dyDescent="0.3">
      <c r="B83" s="47" t="s">
        <v>1404</v>
      </c>
      <c r="C83" s="47" t="s">
        <v>1374</v>
      </c>
      <c r="D83" s="47" t="s">
        <v>506</v>
      </c>
      <c r="E83" s="47" t="s">
        <v>1328</v>
      </c>
    </row>
    <row r="84" spans="2:5" x14ac:dyDescent="0.3">
      <c r="B84" s="47" t="s">
        <v>1404</v>
      </c>
      <c r="C84" s="47" t="s">
        <v>1374</v>
      </c>
      <c r="D84" s="47" t="s">
        <v>506</v>
      </c>
      <c r="E84" s="47" t="s">
        <v>1330</v>
      </c>
    </row>
    <row r="85" spans="2:5" x14ac:dyDescent="0.3">
      <c r="B85" s="47" t="s">
        <v>1404</v>
      </c>
      <c r="C85" s="47" t="s">
        <v>1374</v>
      </c>
      <c r="D85" s="47" t="s">
        <v>508</v>
      </c>
      <c r="E85" s="47" t="s">
        <v>1322</v>
      </c>
    </row>
    <row r="86" spans="2:5" x14ac:dyDescent="0.3">
      <c r="B86" s="47" t="s">
        <v>1344</v>
      </c>
      <c r="C86" s="47" t="s">
        <v>1406</v>
      </c>
      <c r="D86" s="47" t="s">
        <v>510</v>
      </c>
      <c r="E86" s="47" t="s">
        <v>1407</v>
      </c>
    </row>
    <row r="87" spans="2:5" x14ac:dyDescent="0.3">
      <c r="B87" s="47" t="s">
        <v>1344</v>
      </c>
      <c r="C87" s="47" t="s">
        <v>1406</v>
      </c>
      <c r="D87" s="47" t="s">
        <v>510</v>
      </c>
      <c r="E87" s="47" t="s">
        <v>1408</v>
      </c>
    </row>
    <row r="88" spans="2:5" x14ac:dyDescent="0.3">
      <c r="B88" s="47" t="s">
        <v>1344</v>
      </c>
      <c r="C88" s="47" t="s">
        <v>1406</v>
      </c>
      <c r="D88" s="47" t="s">
        <v>510</v>
      </c>
      <c r="E88" s="47" t="s">
        <v>1409</v>
      </c>
    </row>
    <row r="89" spans="2:5" x14ac:dyDescent="0.3">
      <c r="B89" s="47" t="s">
        <v>1344</v>
      </c>
      <c r="C89" s="47" t="s">
        <v>1406</v>
      </c>
      <c r="D89" s="47" t="s">
        <v>512</v>
      </c>
      <c r="E89" s="47" t="s">
        <v>1410</v>
      </c>
    </row>
    <row r="90" spans="2:5" x14ac:dyDescent="0.3">
      <c r="B90" s="47" t="s">
        <v>1344</v>
      </c>
      <c r="C90" s="47" t="s">
        <v>1406</v>
      </c>
      <c r="D90" s="47" t="s">
        <v>512</v>
      </c>
      <c r="E90" s="47" t="s">
        <v>1411</v>
      </c>
    </row>
    <row r="91" spans="2:5" x14ac:dyDescent="0.3">
      <c r="B91" s="47" t="s">
        <v>1344</v>
      </c>
      <c r="C91" s="47" t="s">
        <v>1406</v>
      </c>
      <c r="D91" s="47" t="s">
        <v>514</v>
      </c>
      <c r="E91" s="47" t="s">
        <v>1412</v>
      </c>
    </row>
    <row r="92" spans="2:5" x14ac:dyDescent="0.3">
      <c r="B92" s="47" t="s">
        <v>1344</v>
      </c>
      <c r="C92" s="47" t="s">
        <v>1406</v>
      </c>
      <c r="D92" s="47" t="s">
        <v>514</v>
      </c>
      <c r="E92" s="47" t="s">
        <v>1413</v>
      </c>
    </row>
    <row r="93" spans="2:5" x14ac:dyDescent="0.3">
      <c r="B93" s="47" t="s">
        <v>1344</v>
      </c>
      <c r="C93" s="47" t="s">
        <v>1406</v>
      </c>
      <c r="D93" s="47" t="s">
        <v>514</v>
      </c>
      <c r="E93" s="47" t="s">
        <v>1414</v>
      </c>
    </row>
    <row r="94" spans="2:5" x14ac:dyDescent="0.3">
      <c r="B94" s="47" t="s">
        <v>1344</v>
      </c>
      <c r="C94" s="47" t="s">
        <v>1406</v>
      </c>
      <c r="D94" s="47" t="s">
        <v>516</v>
      </c>
      <c r="E94" s="47" t="s">
        <v>1415</v>
      </c>
    </row>
    <row r="95" spans="2:5" x14ac:dyDescent="0.3">
      <c r="B95" s="47" t="s">
        <v>1344</v>
      </c>
      <c r="C95" s="47" t="s">
        <v>1406</v>
      </c>
      <c r="D95" s="47" t="s">
        <v>516</v>
      </c>
      <c r="E95" s="47" t="s">
        <v>1416</v>
      </c>
    </row>
    <row r="96" spans="2:5" x14ac:dyDescent="0.3">
      <c r="B96" s="47" t="s">
        <v>1344</v>
      </c>
      <c r="C96" s="47" t="s">
        <v>1406</v>
      </c>
      <c r="D96" s="47" t="s">
        <v>518</v>
      </c>
      <c r="E96" s="47" t="s">
        <v>1417</v>
      </c>
    </row>
    <row r="97" spans="2:5" x14ac:dyDescent="0.3">
      <c r="B97" s="47" t="s">
        <v>1344</v>
      </c>
      <c r="C97" s="47" t="s">
        <v>1406</v>
      </c>
      <c r="D97" s="47" t="s">
        <v>518</v>
      </c>
      <c r="E97" s="47" t="s">
        <v>1418</v>
      </c>
    </row>
    <row r="98" spans="2:5" x14ac:dyDescent="0.3">
      <c r="B98" s="47" t="s">
        <v>1344</v>
      </c>
      <c r="C98" s="47" t="s">
        <v>1406</v>
      </c>
      <c r="D98" s="47" t="s">
        <v>518</v>
      </c>
      <c r="E98" s="47" t="s">
        <v>1419</v>
      </c>
    </row>
    <row r="99" spans="2:5" x14ac:dyDescent="0.3">
      <c r="B99" s="47" t="s">
        <v>1344</v>
      </c>
      <c r="C99" s="47" t="s">
        <v>1406</v>
      </c>
      <c r="D99" s="47" t="s">
        <v>520</v>
      </c>
      <c r="E99" s="47" t="s">
        <v>1420</v>
      </c>
    </row>
    <row r="100" spans="2:5" x14ac:dyDescent="0.3">
      <c r="B100" s="47" t="s">
        <v>1344</v>
      </c>
      <c r="C100" s="47" t="s">
        <v>1406</v>
      </c>
      <c r="D100" s="47" t="s">
        <v>520</v>
      </c>
      <c r="E100" s="47" t="s">
        <v>1421</v>
      </c>
    </row>
    <row r="101" spans="2:5" x14ac:dyDescent="0.3">
      <c r="B101" s="47" t="s">
        <v>1344</v>
      </c>
      <c r="C101" s="47" t="s">
        <v>1406</v>
      </c>
      <c r="D101" s="47" t="s">
        <v>520</v>
      </c>
      <c r="E101" s="47" t="s">
        <v>1422</v>
      </c>
    </row>
  </sheetData>
  <mergeCells count="1">
    <mergeCell ref="H2:I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theme="3"/>
    <pageSetUpPr autoPageBreaks="0"/>
  </sheetPr>
  <dimension ref="A1:N96"/>
  <sheetViews>
    <sheetView showGridLines="0" zoomScale="95" zoomScaleNormal="95" workbookViewId="0">
      <selection activeCell="E31" sqref="E31"/>
    </sheetView>
  </sheetViews>
  <sheetFormatPr defaultColWidth="8.77734375" defaultRowHeight="14.4" x14ac:dyDescent="0.3"/>
  <cols>
    <col min="1" max="1" width="6.44140625" style="8" customWidth="1"/>
    <col min="2" max="2" width="30" style="8" bestFit="1" customWidth="1"/>
    <col min="3" max="3" width="36.44140625" style="8" bestFit="1" customWidth="1"/>
    <col min="4" max="7" width="35.44140625" style="8" customWidth="1"/>
    <col min="8" max="8" width="19.44140625" style="7" customWidth="1"/>
    <col min="9" max="9" width="25.77734375" style="7" customWidth="1"/>
    <col min="10" max="10" width="41.21875" style="8" customWidth="1"/>
    <col min="11" max="11" width="32.21875" style="8" customWidth="1"/>
    <col min="12" max="12" width="18.44140625" style="8" customWidth="1"/>
    <col min="13" max="13" width="29.44140625" customWidth="1"/>
    <col min="14" max="14" width="35.77734375" customWidth="1"/>
    <col min="15" max="15" width="28.44140625" style="8" customWidth="1"/>
    <col min="16" max="16" width="26.44140625" style="8" customWidth="1"/>
    <col min="17" max="16384" width="8.77734375" style="8"/>
  </cols>
  <sheetData>
    <row r="1" spans="1:14" ht="14.25" customHeight="1" x14ac:dyDescent="0.3">
      <c r="A1" s="1626"/>
      <c r="B1" s="1626"/>
      <c r="C1" s="1626"/>
      <c r="D1" s="61"/>
      <c r="E1" s="61"/>
      <c r="F1" s="61"/>
      <c r="G1" s="61"/>
    </row>
    <row r="2" spans="1:14" ht="14.25" customHeight="1" x14ac:dyDescent="0.3">
      <c r="A2" s="1626"/>
      <c r="B2" s="1626"/>
      <c r="C2" s="1626"/>
      <c r="D2" s="61"/>
      <c r="E2" s="61"/>
      <c r="F2" s="61"/>
      <c r="G2" s="61"/>
    </row>
    <row r="3" spans="1:14" ht="24.6" x14ac:dyDescent="0.4">
      <c r="B3" s="262" t="s">
        <v>1423</v>
      </c>
      <c r="C3" s="263"/>
      <c r="D3" s="263"/>
      <c r="E3" s="195"/>
      <c r="F3" s="195"/>
      <c r="G3" s="195"/>
    </row>
    <row r="4" spans="1:14" ht="13.8" x14ac:dyDescent="0.25">
      <c r="B4" s="263"/>
      <c r="C4" s="263"/>
      <c r="D4" s="263"/>
      <c r="E4" s="181"/>
      <c r="F4" s="181"/>
      <c r="G4" s="181"/>
      <c r="M4" s="8"/>
      <c r="N4" s="8"/>
    </row>
    <row r="5" spans="1:14" ht="13.8" x14ac:dyDescent="0.25">
      <c r="B5" s="263"/>
      <c r="C5" s="263"/>
      <c r="D5" s="263"/>
      <c r="E5" s="181"/>
      <c r="F5" s="181"/>
      <c r="G5" s="181"/>
      <c r="M5" s="8"/>
      <c r="N5" s="8"/>
    </row>
    <row r="6" spans="1:14" ht="17.399999999999999" x14ac:dyDescent="0.3">
      <c r="B6" s="264" t="s">
        <v>1424</v>
      </c>
      <c r="C6" s="263"/>
      <c r="D6" s="263"/>
    </row>
    <row r="7" spans="1:14" x14ac:dyDescent="0.3">
      <c r="B7" s="265"/>
      <c r="C7" s="263"/>
      <c r="D7" s="263"/>
    </row>
    <row r="8" spans="1:14" ht="17.399999999999999" x14ac:dyDescent="0.3">
      <c r="B8" s="266"/>
      <c r="C8" s="266"/>
      <c r="D8" s="264" t="s">
        <v>1425</v>
      </c>
      <c r="E8" s="102"/>
      <c r="H8" s="8"/>
      <c r="I8" s="8"/>
    </row>
    <row r="9" spans="1:14" ht="15" customHeight="1" thickBot="1" x14ac:dyDescent="0.35">
      <c r="B9" s="7"/>
      <c r="C9" s="7"/>
      <c r="H9" s="8"/>
      <c r="I9" s="8"/>
    </row>
    <row r="10" spans="1:14" ht="15" customHeight="1" thickBot="1" x14ac:dyDescent="0.35">
      <c r="B10" s="1879" t="s">
        <v>88</v>
      </c>
      <c r="C10" s="1883"/>
      <c r="D10" s="1883"/>
      <c r="E10" s="1880"/>
      <c r="F10" s="371"/>
      <c r="H10" s="1881"/>
      <c r="I10" s="1881"/>
    </row>
    <row r="11" spans="1:14" ht="15" customHeight="1" thickBot="1" x14ac:dyDescent="0.35">
      <c r="B11" s="277" t="s">
        <v>92</v>
      </c>
      <c r="C11" s="278" t="s">
        <v>1426</v>
      </c>
      <c r="D11" s="278" t="s">
        <v>451</v>
      </c>
      <c r="E11" s="278" t="s">
        <v>1427</v>
      </c>
      <c r="G11" s="271"/>
      <c r="H11" s="272"/>
      <c r="I11" s="8"/>
      <c r="L11"/>
      <c r="N11" s="8"/>
    </row>
    <row r="12" spans="1:14" ht="15" customHeight="1" x14ac:dyDescent="0.3">
      <c r="B12" s="280" t="s">
        <v>97</v>
      </c>
      <c r="C12" s="279">
        <v>13</v>
      </c>
      <c r="D12" s="283" t="s">
        <v>97</v>
      </c>
      <c r="E12" s="279">
        <v>20</v>
      </c>
      <c r="G12" s="15"/>
      <c r="H12" s="273"/>
      <c r="I12" s="8"/>
      <c r="L12"/>
      <c r="N12" s="8"/>
    </row>
    <row r="13" spans="1:14" ht="15" customHeight="1" x14ac:dyDescent="0.3">
      <c r="B13" s="281" t="s">
        <v>100</v>
      </c>
      <c r="C13" s="275">
        <v>8</v>
      </c>
      <c r="D13" s="284" t="s">
        <v>102</v>
      </c>
      <c r="E13" s="275">
        <v>10</v>
      </c>
      <c r="G13" s="15"/>
      <c r="H13" s="273"/>
      <c r="I13" s="8"/>
      <c r="L13"/>
      <c r="N13" s="8"/>
    </row>
    <row r="14" spans="1:14" ht="15" customHeight="1" x14ac:dyDescent="0.3">
      <c r="B14" s="281" t="s">
        <v>102</v>
      </c>
      <c r="C14" s="275">
        <v>5</v>
      </c>
      <c r="D14" s="284" t="s">
        <v>104</v>
      </c>
      <c r="E14" s="275">
        <v>5.25</v>
      </c>
      <c r="G14" s="15"/>
      <c r="H14" s="273"/>
      <c r="I14" s="8"/>
      <c r="L14"/>
      <c r="N14" s="8"/>
    </row>
    <row r="15" spans="1:14" ht="15" customHeight="1" x14ac:dyDescent="0.3">
      <c r="B15" s="281" t="s">
        <v>104</v>
      </c>
      <c r="C15" s="275">
        <v>3</v>
      </c>
      <c r="D15" s="284" t="s">
        <v>106</v>
      </c>
      <c r="E15" s="275">
        <v>3</v>
      </c>
      <c r="G15" s="15"/>
      <c r="H15" s="273"/>
      <c r="I15" s="8"/>
      <c r="L15"/>
      <c r="N15" s="8"/>
    </row>
    <row r="16" spans="1:14" ht="15" customHeight="1" x14ac:dyDescent="0.3">
      <c r="B16" s="281" t="s">
        <v>106</v>
      </c>
      <c r="C16" s="275">
        <v>3</v>
      </c>
      <c r="D16" s="284" t="s">
        <v>111</v>
      </c>
      <c r="E16" s="275">
        <v>0</v>
      </c>
      <c r="G16" s="15"/>
      <c r="H16" s="273"/>
      <c r="I16" s="8"/>
      <c r="L16"/>
      <c r="N16" s="8"/>
    </row>
    <row r="17" spans="2:14" ht="15" customHeight="1" x14ac:dyDescent="0.3">
      <c r="B17" s="281" t="s">
        <v>109</v>
      </c>
      <c r="C17" s="275">
        <v>1</v>
      </c>
      <c r="D17" s="284"/>
      <c r="E17" s="275"/>
      <c r="G17" s="15"/>
      <c r="H17" s="273"/>
      <c r="I17" s="8"/>
      <c r="L17"/>
      <c r="N17" s="8"/>
    </row>
    <row r="18" spans="2:14" ht="15" customHeight="1" thickBot="1" x14ac:dyDescent="0.35">
      <c r="B18" s="282" t="s">
        <v>111</v>
      </c>
      <c r="C18" s="276">
        <v>0</v>
      </c>
      <c r="D18" s="285"/>
      <c r="E18" s="276"/>
      <c r="G18" s="15"/>
      <c r="H18" s="273"/>
      <c r="I18" s="8"/>
      <c r="L18"/>
      <c r="N18" s="8"/>
    </row>
    <row r="19" spans="2:14" ht="36" customHeight="1" x14ac:dyDescent="0.3">
      <c r="B19" s="7"/>
      <c r="C19" s="57"/>
      <c r="H19" s="15"/>
      <c r="I19" s="273"/>
    </row>
    <row r="20" spans="2:14" ht="15" customHeight="1" x14ac:dyDescent="0.3">
      <c r="B20" s="7"/>
      <c r="C20" s="57"/>
      <c r="H20" s="15"/>
      <c r="I20" s="273"/>
    </row>
    <row r="21" spans="2:14" ht="16.05" customHeight="1" thickBot="1" x14ac:dyDescent="0.35">
      <c r="B21" s="7"/>
      <c r="C21" s="7"/>
      <c r="H21" s="15"/>
      <c r="I21" s="273"/>
    </row>
    <row r="22" spans="2:14" ht="15" customHeight="1" thickBot="1" x14ac:dyDescent="0.35">
      <c r="B22" s="1879" t="s">
        <v>1428</v>
      </c>
      <c r="C22" s="1880"/>
      <c r="H22" s="57"/>
      <c r="I22"/>
    </row>
    <row r="23" spans="2:14" ht="27.6" x14ac:dyDescent="0.3">
      <c r="B23" s="27" t="s">
        <v>94</v>
      </c>
      <c r="C23" s="28" t="s">
        <v>1429</v>
      </c>
      <c r="H23" s="57"/>
      <c r="I23"/>
    </row>
    <row r="24" spans="2:14" ht="17.25" customHeight="1" x14ac:dyDescent="0.3">
      <c r="B24" s="290" t="s">
        <v>98</v>
      </c>
      <c r="C24" s="291">
        <v>0.25</v>
      </c>
      <c r="H24"/>
      <c r="I24"/>
    </row>
    <row r="25" spans="2:14" x14ac:dyDescent="0.3">
      <c r="B25" s="290" t="s">
        <v>101</v>
      </c>
      <c r="C25" s="291">
        <v>0.15</v>
      </c>
      <c r="H25"/>
      <c r="I25"/>
    </row>
    <row r="26" spans="2:14" ht="15" customHeight="1" x14ac:dyDescent="0.3">
      <c r="B26" s="290" t="s">
        <v>103</v>
      </c>
      <c r="C26" s="291">
        <v>0.05</v>
      </c>
      <c r="H26"/>
      <c r="I26"/>
    </row>
    <row r="27" spans="2:14" x14ac:dyDescent="0.3">
      <c r="B27" s="290" t="s">
        <v>105</v>
      </c>
      <c r="C27" s="291">
        <v>0</v>
      </c>
      <c r="H27"/>
      <c r="I27"/>
    </row>
    <row r="28" spans="2:14" ht="16.05" customHeight="1" thickBot="1" x14ac:dyDescent="0.35">
      <c r="B28" s="292" t="s">
        <v>107</v>
      </c>
      <c r="C28" s="293">
        <v>0</v>
      </c>
      <c r="H28"/>
      <c r="I28"/>
    </row>
    <row r="29" spans="2:14" ht="16.05" customHeight="1" thickBot="1" x14ac:dyDescent="0.35">
      <c r="B29" s="7"/>
      <c r="C29" s="7"/>
      <c r="D29" s="102"/>
      <c r="H29"/>
      <c r="I29"/>
    </row>
    <row r="30" spans="2:14" ht="15" thickBot="1" x14ac:dyDescent="0.35">
      <c r="B30" s="1879" t="s">
        <v>1430</v>
      </c>
      <c r="C30" s="1880"/>
      <c r="H30"/>
      <c r="I30"/>
    </row>
    <row r="31" spans="2:14" x14ac:dyDescent="0.3">
      <c r="B31" s="63" t="s">
        <v>1431</v>
      </c>
      <c r="C31" s="64" t="s">
        <v>1432</v>
      </c>
      <c r="H31"/>
      <c r="I31"/>
    </row>
    <row r="32" spans="2:14" x14ac:dyDescent="0.3">
      <c r="B32" s="30">
        <v>1</v>
      </c>
      <c r="C32" s="80">
        <v>0.2</v>
      </c>
      <c r="H32"/>
      <c r="I32"/>
    </row>
    <row r="33" spans="2:9" x14ac:dyDescent="0.3">
      <c r="B33" s="31">
        <v>2</v>
      </c>
      <c r="C33" s="81">
        <v>0.3</v>
      </c>
      <c r="H33"/>
      <c r="I33"/>
    </row>
    <row r="34" spans="2:9" x14ac:dyDescent="0.3">
      <c r="B34" s="32">
        <v>3</v>
      </c>
      <c r="C34" s="80">
        <v>0.4</v>
      </c>
      <c r="H34"/>
      <c r="I34"/>
    </row>
    <row r="35" spans="2:9" ht="16.05" customHeight="1" x14ac:dyDescent="0.3">
      <c r="B35" s="32">
        <v>4</v>
      </c>
      <c r="C35" s="80">
        <v>0.7</v>
      </c>
      <c r="H35"/>
      <c r="I35"/>
    </row>
    <row r="36" spans="2:9" ht="15" thickBot="1" x14ac:dyDescent="0.35">
      <c r="B36" s="33">
        <v>5</v>
      </c>
      <c r="C36" s="82">
        <v>0.9</v>
      </c>
      <c r="H36"/>
      <c r="I36"/>
    </row>
    <row r="37" spans="2:9" x14ac:dyDescent="0.3">
      <c r="B37" s="7"/>
      <c r="C37" s="7"/>
      <c r="H37"/>
      <c r="I37"/>
    </row>
    <row r="38" spans="2:9" ht="15" thickBot="1" x14ac:dyDescent="0.35">
      <c r="B38" s="7"/>
      <c r="C38" s="7"/>
      <c r="D38" s="102" t="s">
        <v>1433</v>
      </c>
      <c r="H38" s="8"/>
      <c r="I38" s="8"/>
    </row>
    <row r="39" spans="2:9" ht="15" thickBot="1" x14ac:dyDescent="0.35">
      <c r="B39" s="1691" t="s">
        <v>1434</v>
      </c>
      <c r="C39" s="1882"/>
      <c r="D39" s="1882"/>
      <c r="E39" s="1882"/>
      <c r="F39" s="274"/>
      <c r="I39"/>
    </row>
    <row r="40" spans="2:9" x14ac:dyDescent="0.3">
      <c r="B40" s="41" t="s">
        <v>1435</v>
      </c>
      <c r="C40" s="65" t="s">
        <v>1319</v>
      </c>
      <c r="D40" s="65" t="s">
        <v>431</v>
      </c>
      <c r="E40" s="66" t="s">
        <v>458</v>
      </c>
      <c r="I40"/>
    </row>
    <row r="41" spans="2:9" x14ac:dyDescent="0.3">
      <c r="B41" s="29" t="s">
        <v>413</v>
      </c>
      <c r="C41" s="68">
        <v>2.0099999999999998</v>
      </c>
      <c r="D41" s="68">
        <v>1.71</v>
      </c>
      <c r="E41" s="69"/>
      <c r="I41"/>
    </row>
    <row r="42" spans="2:9" x14ac:dyDescent="0.3">
      <c r="B42" s="29" t="s">
        <v>428</v>
      </c>
      <c r="C42" s="68">
        <v>3.14</v>
      </c>
      <c r="D42" s="68">
        <v>1.61</v>
      </c>
      <c r="E42" s="69"/>
      <c r="I42"/>
    </row>
    <row r="43" spans="2:9" x14ac:dyDescent="0.3">
      <c r="B43" s="29" t="s">
        <v>439</v>
      </c>
      <c r="C43" s="68">
        <v>1.72</v>
      </c>
      <c r="D43" s="68">
        <v>1.96</v>
      </c>
      <c r="E43" s="69"/>
      <c r="I43"/>
    </row>
    <row r="44" spans="2:9" x14ac:dyDescent="0.3">
      <c r="B44" s="29" t="s">
        <v>416</v>
      </c>
      <c r="C44" s="68">
        <v>1.5</v>
      </c>
      <c r="D44" s="68"/>
      <c r="E44" s="69"/>
      <c r="I44"/>
    </row>
    <row r="45" spans="2:9" x14ac:dyDescent="0.3">
      <c r="B45" s="29" t="s">
        <v>414</v>
      </c>
      <c r="C45" s="70"/>
      <c r="D45" s="70"/>
      <c r="E45" s="71">
        <v>2.9</v>
      </c>
      <c r="I45"/>
    </row>
    <row r="46" spans="2:9" ht="15" thickBot="1" x14ac:dyDescent="0.35">
      <c r="B46" s="24" t="s">
        <v>429</v>
      </c>
      <c r="C46" s="72"/>
      <c r="D46" s="67"/>
      <c r="E46" s="73">
        <v>2.9</v>
      </c>
      <c r="I46" s="8"/>
    </row>
    <row r="47" spans="2:9" ht="15" thickBot="1" x14ac:dyDescent="0.35">
      <c r="B47" s="7"/>
      <c r="C47" s="7"/>
      <c r="D47" s="102" t="s">
        <v>1433</v>
      </c>
      <c r="H47"/>
      <c r="I47" s="8"/>
    </row>
    <row r="48" spans="2:9" ht="15" thickBot="1" x14ac:dyDescent="0.35">
      <c r="B48" s="1879" t="s">
        <v>1436</v>
      </c>
      <c r="C48" s="1880"/>
      <c r="H48"/>
      <c r="I48" s="8"/>
    </row>
    <row r="49" spans="2:9" x14ac:dyDescent="0.3">
      <c r="B49" s="77" t="s">
        <v>1437</v>
      </c>
      <c r="C49" s="78" t="s">
        <v>1438</v>
      </c>
      <c r="H49"/>
      <c r="I49" s="8"/>
    </row>
    <row r="50" spans="2:9" x14ac:dyDescent="0.3">
      <c r="B50" s="60" t="s">
        <v>428</v>
      </c>
      <c r="C50" s="80">
        <v>0.35</v>
      </c>
      <c r="H50"/>
      <c r="I50" s="8"/>
    </row>
    <row r="51" spans="2:9" x14ac:dyDescent="0.3">
      <c r="B51" s="60" t="s">
        <v>413</v>
      </c>
      <c r="C51" s="81">
        <v>0.2</v>
      </c>
      <c r="H51"/>
      <c r="I51" s="8"/>
    </row>
    <row r="52" spans="2:9" x14ac:dyDescent="0.3">
      <c r="B52" s="60" t="s">
        <v>439</v>
      </c>
      <c r="C52" s="80">
        <v>0.3</v>
      </c>
      <c r="H52"/>
      <c r="I52" s="8"/>
    </row>
    <row r="53" spans="2:9" x14ac:dyDescent="0.3">
      <c r="B53" s="29" t="s">
        <v>458</v>
      </c>
      <c r="C53" s="80">
        <v>0.35</v>
      </c>
      <c r="H53"/>
      <c r="I53" s="8"/>
    </row>
    <row r="54" spans="2:9" ht="15" thickBot="1" x14ac:dyDescent="0.35">
      <c r="B54" s="24" t="s">
        <v>431</v>
      </c>
      <c r="C54" s="82">
        <v>0.3</v>
      </c>
      <c r="H54"/>
      <c r="I54" s="8"/>
    </row>
    <row r="55" spans="2:9" ht="15" thickBot="1" x14ac:dyDescent="0.35">
      <c r="B55" s="102" t="s">
        <v>1433</v>
      </c>
      <c r="D55" s="58"/>
      <c r="G55" s="58"/>
      <c r="H55" s="8"/>
      <c r="I55" s="8"/>
    </row>
    <row r="56" spans="2:9" ht="15" thickBot="1" x14ac:dyDescent="0.35">
      <c r="B56" s="1879" t="s">
        <v>1439</v>
      </c>
      <c r="C56" s="1880"/>
      <c r="D56" s="59"/>
      <c r="G56" s="59"/>
      <c r="H56" s="8"/>
      <c r="I56" s="8"/>
    </row>
    <row r="57" spans="2:9" x14ac:dyDescent="0.3">
      <c r="B57" s="79" t="s">
        <v>1440</v>
      </c>
      <c r="C57" s="36"/>
      <c r="H57" s="8"/>
      <c r="I57" s="8"/>
    </row>
    <row r="58" spans="2:9" x14ac:dyDescent="0.3">
      <c r="B58" s="37" t="s">
        <v>1441</v>
      </c>
      <c r="C58" s="38">
        <v>0</v>
      </c>
      <c r="H58" s="8"/>
      <c r="I58" s="8"/>
    </row>
    <row r="59" spans="2:9" x14ac:dyDescent="0.3">
      <c r="B59" s="37" t="s">
        <v>106</v>
      </c>
      <c r="C59" s="38">
        <v>3</v>
      </c>
      <c r="H59" s="8"/>
      <c r="I59" s="8"/>
    </row>
    <row r="60" spans="2:9" x14ac:dyDescent="0.3">
      <c r="B60" s="37" t="s">
        <v>104</v>
      </c>
      <c r="C60" s="38">
        <v>5.25</v>
      </c>
      <c r="H60" s="8"/>
      <c r="I60" s="8"/>
    </row>
    <row r="61" spans="2:9" x14ac:dyDescent="0.3">
      <c r="B61" s="37" t="s">
        <v>102</v>
      </c>
      <c r="C61" s="38">
        <v>10</v>
      </c>
      <c r="H61" s="8"/>
      <c r="I61" s="8"/>
    </row>
    <row r="62" spans="2:9" ht="15" thickBot="1" x14ac:dyDescent="0.35">
      <c r="B62" s="39" t="s">
        <v>97</v>
      </c>
      <c r="C62" s="40">
        <v>20</v>
      </c>
      <c r="H62" s="8"/>
      <c r="I62" s="8"/>
    </row>
    <row r="63" spans="2:9" ht="15" thickBot="1" x14ac:dyDescent="0.35">
      <c r="B63" s="102" t="s">
        <v>1433</v>
      </c>
      <c r="F63" s="15"/>
      <c r="G63" s="15"/>
      <c r="H63" s="15"/>
      <c r="I63" s="8"/>
    </row>
    <row r="64" spans="2:9" ht="15.6" thickBot="1" x14ac:dyDescent="0.35">
      <c r="B64" s="1884" t="s">
        <v>1442</v>
      </c>
      <c r="C64" s="1885"/>
      <c r="D64" s="1886"/>
      <c r="F64" s="15"/>
      <c r="G64" s="376"/>
      <c r="H64" s="15"/>
      <c r="I64" s="8"/>
    </row>
    <row r="65" spans="2:9" ht="27.6" x14ac:dyDescent="0.3">
      <c r="B65" s="74" t="s">
        <v>1443</v>
      </c>
      <c r="C65" s="75" t="s">
        <v>1444</v>
      </c>
      <c r="D65" s="76" t="s">
        <v>1445</v>
      </c>
      <c r="F65" s="15"/>
      <c r="G65" s="378"/>
      <c r="H65" s="15"/>
      <c r="I65" s="8"/>
    </row>
    <row r="66" spans="2:9" x14ac:dyDescent="0.3">
      <c r="B66" s="34">
        <v>1</v>
      </c>
      <c r="C66" s="25" t="s">
        <v>1446</v>
      </c>
      <c r="D66" s="80">
        <v>0.2</v>
      </c>
      <c r="F66" s="15"/>
      <c r="G66" s="368"/>
      <c r="H66" s="15"/>
      <c r="I66" s="8"/>
    </row>
    <row r="67" spans="2:9" ht="27.6" x14ac:dyDescent="0.3">
      <c r="B67" s="34">
        <v>2</v>
      </c>
      <c r="C67" s="25" t="s">
        <v>1447</v>
      </c>
      <c r="D67" s="80">
        <v>0.3</v>
      </c>
      <c r="G67" s="267"/>
      <c r="H67" s="8"/>
      <c r="I67" s="8"/>
    </row>
    <row r="68" spans="2:9" ht="27.6" x14ac:dyDescent="0.3">
      <c r="B68" s="34">
        <v>3</v>
      </c>
      <c r="C68" s="25" t="s">
        <v>1448</v>
      </c>
      <c r="D68" s="80">
        <v>0.4</v>
      </c>
      <c r="G68" s="267"/>
      <c r="H68" s="8"/>
      <c r="I68" s="8"/>
    </row>
    <row r="69" spans="2:9" ht="41.4" x14ac:dyDescent="0.3">
      <c r="B69" s="34">
        <v>4</v>
      </c>
      <c r="C69" s="25" t="s">
        <v>1449</v>
      </c>
      <c r="D69" s="80">
        <v>0.7</v>
      </c>
      <c r="G69" s="267"/>
      <c r="H69" s="8"/>
      <c r="I69" s="8"/>
    </row>
    <row r="70" spans="2:9" ht="42" thickBot="1" x14ac:dyDescent="0.35">
      <c r="B70" s="35">
        <v>5</v>
      </c>
      <c r="C70" s="26" t="s">
        <v>1450</v>
      </c>
      <c r="D70" s="82">
        <v>0.9</v>
      </c>
      <c r="G70" s="267"/>
      <c r="H70" s="8"/>
      <c r="I70" s="8"/>
    </row>
    <row r="71" spans="2:9" x14ac:dyDescent="0.3">
      <c r="B71" s="7"/>
      <c r="C71" s="7"/>
      <c r="H71" s="8"/>
      <c r="I71" s="8"/>
    </row>
    <row r="72" spans="2:9" ht="15" thickBot="1" x14ac:dyDescent="0.35">
      <c r="B72" s="7"/>
      <c r="C72" s="7"/>
      <c r="H72" s="8"/>
      <c r="I72" s="8"/>
    </row>
    <row r="73" spans="2:9" x14ac:dyDescent="0.3">
      <c r="B73" s="307" t="s">
        <v>1437</v>
      </c>
      <c r="C73" s="308" t="s">
        <v>428</v>
      </c>
      <c r="D73" s="309" t="s">
        <v>413</v>
      </c>
      <c r="E73" s="309" t="s">
        <v>439</v>
      </c>
      <c r="F73" s="310" t="s">
        <v>458</v>
      </c>
      <c r="G73" s="311" t="s">
        <v>431</v>
      </c>
      <c r="H73" s="8"/>
      <c r="I73" s="8"/>
    </row>
    <row r="74" spans="2:9" ht="15" thickBot="1" x14ac:dyDescent="0.35">
      <c r="B74" s="312" t="s">
        <v>1438</v>
      </c>
      <c r="C74" s="313">
        <v>0.35</v>
      </c>
      <c r="D74" s="313">
        <v>0.2</v>
      </c>
      <c r="E74" s="313">
        <v>0.3</v>
      </c>
      <c r="F74" s="313">
        <v>0.35</v>
      </c>
      <c r="G74" s="314">
        <v>0.3</v>
      </c>
      <c r="H74" s="8"/>
      <c r="I74" s="8"/>
    </row>
    <row r="75" spans="2:9" x14ac:dyDescent="0.3">
      <c r="B75" s="7"/>
      <c r="C75" s="7"/>
      <c r="D75" s="122"/>
      <c r="H75" s="8"/>
      <c r="I75" s="8"/>
    </row>
    <row r="76" spans="2:9" x14ac:dyDescent="0.3">
      <c r="B76" s="7"/>
      <c r="C76" s="7"/>
      <c r="D76" s="122"/>
      <c r="H76" s="8"/>
      <c r="I76" s="8"/>
    </row>
    <row r="77" spans="2:9" x14ac:dyDescent="0.3">
      <c r="B77" s="7"/>
      <c r="C77" s="7"/>
      <c r="H77" s="8"/>
      <c r="I77" s="8"/>
    </row>
    <row r="78" spans="2:9" x14ac:dyDescent="0.3">
      <c r="B78" s="7"/>
      <c r="C78" s="7"/>
      <c r="H78" s="8"/>
      <c r="I78" s="8"/>
    </row>
    <row r="79" spans="2:9" x14ac:dyDescent="0.3">
      <c r="B79" s="7"/>
      <c r="C79" s="7"/>
      <c r="H79" s="8"/>
      <c r="I79" s="8"/>
    </row>
    <row r="80" spans="2:9" x14ac:dyDescent="0.3">
      <c r="B80" s="7"/>
      <c r="C80" s="7"/>
      <c r="H80" s="8"/>
      <c r="I80" s="8"/>
    </row>
    <row r="81" spans="2:14" ht="13.8" x14ac:dyDescent="0.25">
      <c r="B81" s="7"/>
      <c r="C81" s="7"/>
      <c r="H81" s="8"/>
      <c r="I81" s="8"/>
      <c r="M81" s="8"/>
      <c r="N81" s="8"/>
    </row>
    <row r="82" spans="2:14" ht="13.8" x14ac:dyDescent="0.25">
      <c r="B82" s="7"/>
      <c r="C82" s="7"/>
      <c r="H82" s="8"/>
      <c r="I82" s="8"/>
      <c r="M82" s="8"/>
      <c r="N82" s="8"/>
    </row>
    <row r="83" spans="2:14" ht="13.8" x14ac:dyDescent="0.25">
      <c r="M83" s="8"/>
      <c r="N83" s="8"/>
    </row>
    <row r="84" spans="2:14" ht="13.8" x14ac:dyDescent="0.25">
      <c r="M84" s="8"/>
      <c r="N84" s="8"/>
    </row>
    <row r="85" spans="2:14" ht="13.8" x14ac:dyDescent="0.25">
      <c r="M85" s="8"/>
      <c r="N85" s="8"/>
    </row>
    <row r="86" spans="2:14" ht="13.8" x14ac:dyDescent="0.25">
      <c r="M86" s="8"/>
      <c r="N86" s="8"/>
    </row>
    <row r="87" spans="2:14" ht="13.8" x14ac:dyDescent="0.25">
      <c r="M87" s="8"/>
      <c r="N87" s="8"/>
    </row>
    <row r="88" spans="2:14" ht="13.8" x14ac:dyDescent="0.25">
      <c r="M88" s="8"/>
      <c r="N88" s="8"/>
    </row>
    <row r="89" spans="2:14" ht="13.8" x14ac:dyDescent="0.25">
      <c r="M89" s="8"/>
      <c r="N89" s="8"/>
    </row>
    <row r="90" spans="2:14" ht="13.8" x14ac:dyDescent="0.25">
      <c r="M90" s="8"/>
      <c r="N90" s="8"/>
    </row>
    <row r="91" spans="2:14" ht="13.8" x14ac:dyDescent="0.25">
      <c r="M91" s="8"/>
      <c r="N91" s="8"/>
    </row>
    <row r="92" spans="2:14" ht="13.8" x14ac:dyDescent="0.25">
      <c r="M92" s="8"/>
      <c r="N92" s="8"/>
    </row>
    <row r="93" spans="2:14" ht="13.8" x14ac:dyDescent="0.25">
      <c r="M93" s="8"/>
      <c r="N93" s="8"/>
    </row>
    <row r="94" spans="2:14" ht="13.8" x14ac:dyDescent="0.25">
      <c r="M94" s="8"/>
      <c r="N94" s="8"/>
    </row>
    <row r="95" spans="2:14" ht="13.8" x14ac:dyDescent="0.25">
      <c r="M95" s="8"/>
      <c r="N95" s="8"/>
    </row>
    <row r="96" spans="2:14" ht="13.8" x14ac:dyDescent="0.25">
      <c r="M96" s="8"/>
      <c r="N96" s="8"/>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sheetPr>
  <dimension ref="A1:AH690"/>
  <sheetViews>
    <sheetView showGridLines="0" workbookViewId="0">
      <selection activeCell="B694" sqref="B694"/>
    </sheetView>
  </sheetViews>
  <sheetFormatPr defaultColWidth="10.77734375" defaultRowHeight="14.4" x14ac:dyDescent="0.3"/>
  <cols>
    <col min="1" max="1" width="24.44140625" bestFit="1" customWidth="1"/>
    <col min="2" max="2" width="40.44140625" bestFit="1" customWidth="1"/>
    <col min="3" max="3" width="69.44140625" bestFit="1" customWidth="1"/>
    <col min="4" max="4" width="20.44140625" bestFit="1" customWidth="1"/>
    <col min="5" max="5" width="21.44140625" bestFit="1" customWidth="1"/>
    <col min="6" max="6" width="14.44140625" style="241" bestFit="1" customWidth="1"/>
    <col min="7" max="7" width="12.77734375" style="244" bestFit="1" customWidth="1"/>
    <col min="8" max="8" width="19.44140625" hidden="1" customWidth="1"/>
    <col min="9" max="9" width="23.44140625" hidden="1" customWidth="1"/>
    <col min="10" max="10" width="21.21875" hidden="1" customWidth="1"/>
    <col min="11" max="11" width="20" hidden="1" customWidth="1"/>
    <col min="15" max="15" width="27.44140625" bestFit="1" customWidth="1"/>
    <col min="22" max="22" width="61.21875" customWidth="1"/>
    <col min="23" max="23" width="33.77734375" bestFit="1" customWidth="1"/>
  </cols>
  <sheetData>
    <row r="1" spans="1:34" x14ac:dyDescent="0.3">
      <c r="A1" s="1876" t="s">
        <v>1451</v>
      </c>
      <c r="B1" s="1876"/>
      <c r="C1" s="1876"/>
      <c r="F1"/>
      <c r="G1"/>
      <c r="H1" s="1040"/>
      <c r="I1" s="1040"/>
      <c r="J1" s="1040"/>
      <c r="K1" s="1040"/>
      <c r="L1" s="1040"/>
      <c r="M1" s="1040"/>
    </row>
    <row r="2" spans="1:34" x14ac:dyDescent="0.3">
      <c r="A2" s="1876"/>
      <c r="B2" s="1876"/>
      <c r="C2" s="1876"/>
      <c r="E2" s="8"/>
      <c r="F2" s="8"/>
      <c r="G2" s="8"/>
      <c r="H2" s="1040"/>
      <c r="I2" s="1040"/>
      <c r="J2" s="1040"/>
      <c r="K2" s="1040"/>
      <c r="L2" s="1040"/>
      <c r="M2" s="1040"/>
    </row>
    <row r="3" spans="1:34" x14ac:dyDescent="0.3">
      <c r="A3" s="1888" t="s">
        <v>380</v>
      </c>
      <c r="B3" s="1889"/>
      <c r="C3" s="1889"/>
      <c r="D3" s="1889"/>
      <c r="E3" s="1889"/>
      <c r="F3" s="1889"/>
      <c r="G3" s="1889"/>
      <c r="H3" s="1040"/>
      <c r="I3" s="1040"/>
      <c r="J3" s="1040"/>
      <c r="K3" s="1040"/>
      <c r="L3" s="1040"/>
      <c r="M3" s="1040"/>
      <c r="V3" s="1041" t="s">
        <v>1452</v>
      </c>
    </row>
    <row r="4" spans="1:34" x14ac:dyDescent="0.3">
      <c r="B4" s="215"/>
      <c r="C4" s="215"/>
      <c r="D4" s="215"/>
      <c r="E4" s="215"/>
    </row>
    <row r="5" spans="1:34" x14ac:dyDescent="0.3">
      <c r="H5" s="240" t="s">
        <v>1453</v>
      </c>
      <c r="M5" s="240" t="s">
        <v>1454</v>
      </c>
      <c r="V5" s="240" t="s">
        <v>1455</v>
      </c>
    </row>
    <row r="6" spans="1:34" x14ac:dyDescent="0.3">
      <c r="C6" s="240"/>
    </row>
    <row r="7" spans="1:34" ht="15.6" x14ac:dyDescent="0.3">
      <c r="A7" s="240" t="s">
        <v>1456</v>
      </c>
      <c r="B7" s="240" t="s">
        <v>1457</v>
      </c>
      <c r="C7" s="240" t="s">
        <v>750</v>
      </c>
      <c r="D7" s="240" t="s">
        <v>751</v>
      </c>
      <c r="E7" s="240" t="s">
        <v>1458</v>
      </c>
      <c r="F7" s="243"/>
      <c r="G7" s="245"/>
      <c r="H7" s="255" t="s">
        <v>1459</v>
      </c>
      <c r="I7" s="255" t="s">
        <v>1460</v>
      </c>
      <c r="J7" s="255" t="s">
        <v>220</v>
      </c>
      <c r="K7" s="255" t="s">
        <v>219</v>
      </c>
      <c r="M7" s="576" t="s">
        <v>1461</v>
      </c>
      <c r="N7" s="576" t="s">
        <v>295</v>
      </c>
      <c r="O7" s="576" t="s">
        <v>1462</v>
      </c>
      <c r="P7" s="577" t="s">
        <v>1463</v>
      </c>
      <c r="Q7" s="577" t="s">
        <v>1464</v>
      </c>
      <c r="R7" s="577" t="s">
        <v>1465</v>
      </c>
      <c r="S7" s="577" t="s">
        <v>1466</v>
      </c>
      <c r="X7" s="1890" t="s">
        <v>1344</v>
      </c>
      <c r="Y7" s="1890"/>
      <c r="Z7" s="1887" t="s">
        <v>1467</v>
      </c>
      <c r="AA7" s="1887"/>
      <c r="AB7" s="1887" t="s">
        <v>1468</v>
      </c>
      <c r="AC7" s="1887"/>
      <c r="AD7" s="1887" t="s">
        <v>1469</v>
      </c>
      <c r="AE7" s="1887"/>
      <c r="AF7" s="1887" t="s">
        <v>1470</v>
      </c>
      <c r="AG7" s="1887"/>
      <c r="AH7" s="557"/>
    </row>
    <row r="8" spans="1:34" ht="15.6" x14ac:dyDescent="0.3">
      <c r="A8" t="s">
        <v>1471</v>
      </c>
      <c r="B8" t="s">
        <v>1472</v>
      </c>
      <c r="C8" t="s">
        <v>843</v>
      </c>
      <c r="D8" t="s">
        <v>799</v>
      </c>
      <c r="E8">
        <v>166</v>
      </c>
      <c r="M8" s="578" t="s">
        <v>341</v>
      </c>
      <c r="N8" s="578" t="s">
        <v>1473</v>
      </c>
      <c r="O8" s="578" t="s">
        <v>1474</v>
      </c>
      <c r="P8" s="579">
        <v>309.375</v>
      </c>
      <c r="Q8" s="579">
        <v>201.125</v>
      </c>
      <c r="R8" s="580">
        <v>405.16987499999999</v>
      </c>
      <c r="S8" s="580">
        <v>263.40134499999999</v>
      </c>
      <c r="U8" s="558" t="s">
        <v>295</v>
      </c>
      <c r="V8" s="558" t="s">
        <v>1475</v>
      </c>
      <c r="W8" s="559" t="s">
        <v>1476</v>
      </c>
      <c r="X8" s="560" t="s">
        <v>1458</v>
      </c>
      <c r="Y8" s="560" t="s">
        <v>220</v>
      </c>
      <c r="Z8" s="558" t="s">
        <v>1458</v>
      </c>
      <c r="AA8" s="558" t="s">
        <v>220</v>
      </c>
      <c r="AB8" s="558" t="s">
        <v>1458</v>
      </c>
      <c r="AC8" s="558" t="s">
        <v>220</v>
      </c>
      <c r="AD8" s="558" t="s">
        <v>1458</v>
      </c>
      <c r="AE8" s="558" t="s">
        <v>220</v>
      </c>
      <c r="AF8" s="558" t="s">
        <v>1458</v>
      </c>
      <c r="AG8" s="558" t="s">
        <v>220</v>
      </c>
      <c r="AH8" s="557"/>
    </row>
    <row r="9" spans="1:34" ht="15.6" x14ac:dyDescent="0.3">
      <c r="A9" t="s">
        <v>1471</v>
      </c>
      <c r="B9" t="s">
        <v>1472</v>
      </c>
      <c r="C9" t="s">
        <v>843</v>
      </c>
      <c r="D9" t="s">
        <v>800</v>
      </c>
      <c r="E9">
        <v>192</v>
      </c>
      <c r="G9" s="242"/>
      <c r="M9" s="578" t="s">
        <v>341</v>
      </c>
      <c r="N9" s="578" t="s">
        <v>1477</v>
      </c>
      <c r="O9" s="578" t="s">
        <v>1478</v>
      </c>
      <c r="P9" s="579">
        <v>281.25</v>
      </c>
      <c r="Q9" s="579">
        <v>174.75</v>
      </c>
      <c r="R9" s="580">
        <v>368.33624999999995</v>
      </c>
      <c r="S9" s="580">
        <v>228.85959</v>
      </c>
      <c r="U9" s="553" t="s">
        <v>227</v>
      </c>
      <c r="V9" s="561" t="s">
        <v>1479</v>
      </c>
      <c r="W9" s="562" t="s">
        <v>1480</v>
      </c>
      <c r="X9" s="552">
        <v>31.25</v>
      </c>
      <c r="Y9" s="552">
        <v>9.118493493493494</v>
      </c>
      <c r="Z9" s="552">
        <v>0</v>
      </c>
      <c r="AA9" s="552">
        <v>0</v>
      </c>
      <c r="AB9" s="552">
        <v>0</v>
      </c>
      <c r="AC9" s="563">
        <v>0</v>
      </c>
      <c r="AD9" s="563">
        <v>0</v>
      </c>
      <c r="AE9" s="552">
        <v>0</v>
      </c>
      <c r="AF9" s="563">
        <v>0</v>
      </c>
      <c r="AG9" s="552">
        <v>0</v>
      </c>
      <c r="AH9" s="557"/>
    </row>
    <row r="10" spans="1:34" ht="15.6" x14ac:dyDescent="0.3">
      <c r="A10" t="s">
        <v>1471</v>
      </c>
      <c r="B10" t="s">
        <v>1472</v>
      </c>
      <c r="C10" t="s">
        <v>843</v>
      </c>
      <c r="D10" t="s">
        <v>786</v>
      </c>
      <c r="E10">
        <v>240</v>
      </c>
      <c r="G10" s="242"/>
      <c r="M10" s="578" t="s">
        <v>341</v>
      </c>
      <c r="N10" s="578" t="s">
        <v>1481</v>
      </c>
      <c r="O10" s="578" t="s">
        <v>1478</v>
      </c>
      <c r="P10" s="579">
        <v>281.25</v>
      </c>
      <c r="Q10" s="579">
        <v>143.75</v>
      </c>
      <c r="R10" s="580">
        <v>368.33624999999995</v>
      </c>
      <c r="S10" s="580">
        <v>188.26075</v>
      </c>
      <c r="U10" s="553" t="s">
        <v>233</v>
      </c>
      <c r="V10" s="561" t="s">
        <v>1482</v>
      </c>
      <c r="W10" s="562" t="s">
        <v>1483</v>
      </c>
      <c r="X10" s="552">
        <v>28.14890625</v>
      </c>
      <c r="Y10" s="552">
        <v>4.1447697697697707</v>
      </c>
      <c r="Z10" s="552">
        <v>0</v>
      </c>
      <c r="AA10" s="552">
        <v>0</v>
      </c>
      <c r="AB10" s="552">
        <v>0</v>
      </c>
      <c r="AC10" s="563">
        <v>0</v>
      </c>
      <c r="AD10" s="563">
        <v>0</v>
      </c>
      <c r="AE10" s="552">
        <v>0</v>
      </c>
      <c r="AF10" s="563">
        <v>0</v>
      </c>
      <c r="AG10" s="552">
        <v>0</v>
      </c>
      <c r="AH10" s="557"/>
    </row>
    <row r="11" spans="1:34" ht="15.6" x14ac:dyDescent="0.3">
      <c r="A11" t="s">
        <v>1471</v>
      </c>
      <c r="B11" t="s">
        <v>1472</v>
      </c>
      <c r="C11" t="s">
        <v>843</v>
      </c>
      <c r="D11" t="s">
        <v>801</v>
      </c>
      <c r="E11">
        <v>240</v>
      </c>
      <c r="G11" s="242"/>
      <c r="M11" s="578" t="s">
        <v>341</v>
      </c>
      <c r="N11" s="578" t="s">
        <v>1484</v>
      </c>
      <c r="O11" s="578" t="s">
        <v>1485</v>
      </c>
      <c r="P11" s="579">
        <v>249.375</v>
      </c>
      <c r="Q11" s="579">
        <v>134.375</v>
      </c>
      <c r="R11" s="580">
        <v>326.591475</v>
      </c>
      <c r="S11" s="580">
        <v>175.98287499999998</v>
      </c>
      <c r="U11" s="553" t="s">
        <v>229</v>
      </c>
      <c r="V11" s="561" t="s">
        <v>1486</v>
      </c>
      <c r="W11" s="562" t="s">
        <v>1487</v>
      </c>
      <c r="X11" s="552">
        <v>43.75</v>
      </c>
      <c r="Y11" s="552">
        <v>25.075857107107108</v>
      </c>
      <c r="Z11" s="552">
        <v>131.25</v>
      </c>
      <c r="AA11" s="552">
        <v>87.801431217154658</v>
      </c>
      <c r="AB11" s="552">
        <v>155</v>
      </c>
      <c r="AC11" s="563">
        <v>80.102969665290303</v>
      </c>
      <c r="AD11" s="563">
        <v>134.375</v>
      </c>
      <c r="AE11" s="552">
        <v>87.702481619810655</v>
      </c>
      <c r="AF11" s="563">
        <v>150</v>
      </c>
      <c r="AG11" s="552">
        <v>74.18981481481481</v>
      </c>
      <c r="AH11" s="557"/>
    </row>
    <row r="12" spans="1:34" ht="15.6" x14ac:dyDescent="0.3">
      <c r="A12" t="s">
        <v>1471</v>
      </c>
      <c r="B12" t="s">
        <v>1472</v>
      </c>
      <c r="C12" t="s">
        <v>843</v>
      </c>
      <c r="D12" t="s">
        <v>787</v>
      </c>
      <c r="E12">
        <v>280</v>
      </c>
      <c r="G12" s="242"/>
      <c r="M12" s="578" t="s">
        <v>341</v>
      </c>
      <c r="N12" s="578" t="s">
        <v>1488</v>
      </c>
      <c r="O12" s="578" t="s">
        <v>1488</v>
      </c>
      <c r="P12" s="579">
        <v>231.25</v>
      </c>
      <c r="Q12" s="579">
        <v>100</v>
      </c>
      <c r="R12" s="580">
        <v>302.85424999999998</v>
      </c>
      <c r="S12" s="580">
        <v>130.964</v>
      </c>
      <c r="U12" s="553" t="s">
        <v>229</v>
      </c>
      <c r="V12" s="561" t="s">
        <v>1489</v>
      </c>
      <c r="W12" s="562" t="s">
        <v>1490</v>
      </c>
      <c r="X12" s="552">
        <v>53.75</v>
      </c>
      <c r="Y12" s="552">
        <v>25.697572572572575</v>
      </c>
      <c r="Z12" s="552">
        <v>188.125</v>
      </c>
      <c r="AA12" s="552">
        <v>115.77942735235237</v>
      </c>
      <c r="AB12" s="552">
        <v>180.625</v>
      </c>
      <c r="AC12" s="563">
        <v>116.12023421534268</v>
      </c>
      <c r="AD12" s="563">
        <v>192.5</v>
      </c>
      <c r="AE12" s="552">
        <v>115.65705483128183</v>
      </c>
      <c r="AF12" s="563">
        <v>197.5</v>
      </c>
      <c r="AG12" s="552">
        <v>104.86111111111111</v>
      </c>
      <c r="AH12" s="557"/>
    </row>
    <row r="13" spans="1:34" ht="15.6" x14ac:dyDescent="0.3">
      <c r="A13" t="s">
        <v>1471</v>
      </c>
      <c r="B13" t="s">
        <v>1472</v>
      </c>
      <c r="C13" t="s">
        <v>843</v>
      </c>
      <c r="D13" t="s">
        <v>802</v>
      </c>
      <c r="E13">
        <v>280</v>
      </c>
      <c r="G13" s="242"/>
      <c r="M13" s="578" t="s">
        <v>341</v>
      </c>
      <c r="N13" s="578" t="s">
        <v>1491</v>
      </c>
      <c r="O13" s="578" t="s">
        <v>1492</v>
      </c>
      <c r="P13" s="579">
        <v>215.625</v>
      </c>
      <c r="Q13" s="579">
        <v>81.25</v>
      </c>
      <c r="R13" s="580">
        <v>282.39112499999999</v>
      </c>
      <c r="S13" s="580">
        <v>106.40825</v>
      </c>
      <c r="U13" s="553" t="s">
        <v>229</v>
      </c>
      <c r="V13" s="561" t="s">
        <v>1493</v>
      </c>
      <c r="W13" s="562" t="s">
        <v>1494</v>
      </c>
      <c r="X13" s="552">
        <v>31.25</v>
      </c>
      <c r="Y13" s="552">
        <v>14.921171171171173</v>
      </c>
      <c r="Z13" s="552">
        <v>93.75</v>
      </c>
      <c r="AA13" s="552">
        <v>79.143454803240743</v>
      </c>
      <c r="AB13" s="552">
        <v>103.125</v>
      </c>
      <c r="AC13" s="563">
        <v>79.490770353101354</v>
      </c>
      <c r="AD13" s="563">
        <v>95.625</v>
      </c>
      <c r="AE13" s="552">
        <v>79.051753584951072</v>
      </c>
      <c r="AF13" s="563">
        <v>140</v>
      </c>
      <c r="AG13" s="552">
        <v>68.055555555555557</v>
      </c>
      <c r="AH13" s="557"/>
    </row>
    <row r="14" spans="1:34" ht="15.6" x14ac:dyDescent="0.3">
      <c r="A14" t="s">
        <v>1471</v>
      </c>
      <c r="B14" t="s">
        <v>1472</v>
      </c>
      <c r="C14" t="s">
        <v>843</v>
      </c>
      <c r="D14" t="s">
        <v>788</v>
      </c>
      <c r="E14">
        <v>300</v>
      </c>
      <c r="G14" s="242"/>
      <c r="M14" s="578" t="s">
        <v>341</v>
      </c>
      <c r="N14" s="578" t="s">
        <v>1495</v>
      </c>
      <c r="O14" s="578" t="s">
        <v>1496</v>
      </c>
      <c r="P14" s="579">
        <v>193.75</v>
      </c>
      <c r="Q14" s="579">
        <v>65.625</v>
      </c>
      <c r="R14" s="580">
        <v>253.74274999999997</v>
      </c>
      <c r="S14" s="580">
        <v>85.94512499999999</v>
      </c>
      <c r="U14" s="553" t="s">
        <v>231</v>
      </c>
      <c r="V14" s="561" t="s">
        <v>1497</v>
      </c>
      <c r="W14" s="562" t="s">
        <v>1498</v>
      </c>
      <c r="X14" s="552">
        <v>47.5</v>
      </c>
      <c r="Y14" s="552">
        <v>28.868321446446448</v>
      </c>
      <c r="Z14" s="552">
        <v>140.625</v>
      </c>
      <c r="AA14" s="552">
        <v>99.978365750594349</v>
      </c>
      <c r="AB14" s="552">
        <v>171.875</v>
      </c>
      <c r="AC14" s="563">
        <v>77.125601010072572</v>
      </c>
      <c r="AD14" s="563">
        <v>144.375</v>
      </c>
      <c r="AE14" s="552">
        <v>99.86922173448562</v>
      </c>
      <c r="AF14" s="563">
        <v>172.5</v>
      </c>
      <c r="AG14" s="552">
        <v>110.99537037037037</v>
      </c>
      <c r="AH14" s="557"/>
    </row>
    <row r="15" spans="1:34" ht="15.6" x14ac:dyDescent="0.3">
      <c r="A15" t="s">
        <v>1471</v>
      </c>
      <c r="B15" t="s">
        <v>1472</v>
      </c>
      <c r="C15" t="s">
        <v>843</v>
      </c>
      <c r="D15" t="s">
        <v>803</v>
      </c>
      <c r="E15">
        <v>300</v>
      </c>
      <c r="G15" s="242"/>
      <c r="M15" s="578" t="s">
        <v>341</v>
      </c>
      <c r="N15" s="578" t="s">
        <v>1499</v>
      </c>
      <c r="O15" s="578" t="s">
        <v>1500</v>
      </c>
      <c r="P15" s="579">
        <v>168.75</v>
      </c>
      <c r="Q15" s="579">
        <v>56.25</v>
      </c>
      <c r="R15" s="580">
        <v>221.00174999999999</v>
      </c>
      <c r="S15" s="580">
        <v>73.667249999999996</v>
      </c>
      <c r="U15" s="553" t="s">
        <v>233</v>
      </c>
      <c r="V15" s="561" t="s">
        <v>1489</v>
      </c>
      <c r="W15" s="562" t="s">
        <v>1501</v>
      </c>
      <c r="X15" s="552">
        <v>53.75</v>
      </c>
      <c r="Y15" s="552">
        <v>29.44237205955956</v>
      </c>
      <c r="Z15" s="552">
        <v>188.125</v>
      </c>
      <c r="AA15" s="552">
        <v>94.388623389952443</v>
      </c>
      <c r="AB15" s="552">
        <v>180.625</v>
      </c>
      <c r="AC15" s="563">
        <v>76.111963526026031</v>
      </c>
      <c r="AD15" s="563">
        <v>192.5</v>
      </c>
      <c r="AE15" s="552">
        <v>94.284159055273776</v>
      </c>
      <c r="AF15" s="563">
        <v>207.5</v>
      </c>
      <c r="AG15" s="552">
        <v>110.99537037037037</v>
      </c>
      <c r="AH15" s="557"/>
    </row>
    <row r="16" spans="1:34" ht="15.6" x14ac:dyDescent="0.3">
      <c r="A16" t="s">
        <v>1471</v>
      </c>
      <c r="B16" t="s">
        <v>1472</v>
      </c>
      <c r="C16" t="s">
        <v>846</v>
      </c>
      <c r="D16" t="s">
        <v>799</v>
      </c>
      <c r="E16">
        <v>166</v>
      </c>
      <c r="G16" s="242"/>
      <c r="M16" s="578" t="s">
        <v>341</v>
      </c>
      <c r="N16" s="578" t="s">
        <v>1502</v>
      </c>
      <c r="O16" s="578" t="s">
        <v>1503</v>
      </c>
      <c r="P16" s="579">
        <v>136.875</v>
      </c>
      <c r="Q16" s="579">
        <v>49.375</v>
      </c>
      <c r="R16" s="580">
        <v>179.25697499999998</v>
      </c>
      <c r="S16" s="580">
        <v>64.663474999999991</v>
      </c>
      <c r="U16" s="553" t="s">
        <v>233</v>
      </c>
      <c r="V16" s="561" t="s">
        <v>1504</v>
      </c>
      <c r="W16" s="562" t="s">
        <v>1504</v>
      </c>
      <c r="X16" s="552">
        <v>52.544625000000003</v>
      </c>
      <c r="Y16" s="552">
        <v>27.769957457457458</v>
      </c>
      <c r="Z16" s="552">
        <v>188.125</v>
      </c>
      <c r="AA16" s="552">
        <v>94.388623389952443</v>
      </c>
      <c r="AB16" s="552">
        <v>180.625</v>
      </c>
      <c r="AC16" s="563">
        <v>76.111963526026031</v>
      </c>
      <c r="AD16" s="563">
        <v>192.5</v>
      </c>
      <c r="AE16" s="552">
        <v>94.284159055273776</v>
      </c>
      <c r="AF16" s="563">
        <v>172.5</v>
      </c>
      <c r="AG16" s="552">
        <v>92.592592592592595</v>
      </c>
      <c r="AH16" s="557"/>
    </row>
    <row r="17" spans="1:34" ht="15.6" x14ac:dyDescent="0.3">
      <c r="A17" t="s">
        <v>1471</v>
      </c>
      <c r="B17" t="s">
        <v>1472</v>
      </c>
      <c r="C17" t="s">
        <v>846</v>
      </c>
      <c r="D17" t="s">
        <v>800</v>
      </c>
      <c r="E17">
        <v>192</v>
      </c>
      <c r="G17" s="242"/>
      <c r="M17" s="578" t="s">
        <v>341</v>
      </c>
      <c r="N17" s="578" t="s">
        <v>1505</v>
      </c>
      <c r="O17" s="578" t="s">
        <v>1506</v>
      </c>
      <c r="P17" s="579">
        <v>106.25</v>
      </c>
      <c r="Q17" s="579">
        <v>40.625</v>
      </c>
      <c r="R17" s="580">
        <v>139.14924999999999</v>
      </c>
      <c r="S17" s="580">
        <v>53.204124999999998</v>
      </c>
      <c r="U17" s="553" t="s">
        <v>233</v>
      </c>
      <c r="V17" s="561" t="s">
        <v>1507</v>
      </c>
      <c r="W17" s="562" t="s">
        <v>1508</v>
      </c>
      <c r="X17" s="552">
        <v>56.25</v>
      </c>
      <c r="Y17" s="552">
        <v>0</v>
      </c>
      <c r="Z17" s="552">
        <v>206.875</v>
      </c>
      <c r="AA17" s="552">
        <v>118.84536958833834</v>
      </c>
      <c r="AB17" s="552">
        <v>206.25</v>
      </c>
      <c r="AC17" s="563">
        <v>0</v>
      </c>
      <c r="AD17" s="563">
        <v>211.25</v>
      </c>
      <c r="AE17" s="552">
        <v>118.7204302883321</v>
      </c>
      <c r="AF17" s="563">
        <v>232.5</v>
      </c>
      <c r="AG17" s="552">
        <v>123.26388888888889</v>
      </c>
      <c r="AH17" s="557"/>
    </row>
    <row r="18" spans="1:34" ht="15.6" x14ac:dyDescent="0.3">
      <c r="A18" t="s">
        <v>1471</v>
      </c>
      <c r="B18" t="s">
        <v>1472</v>
      </c>
      <c r="C18" t="s">
        <v>846</v>
      </c>
      <c r="D18" t="s">
        <v>786</v>
      </c>
      <c r="E18">
        <v>240</v>
      </c>
      <c r="G18" s="242"/>
      <c r="M18" s="578" t="s">
        <v>341</v>
      </c>
      <c r="N18" s="578" t="s">
        <v>1509</v>
      </c>
      <c r="O18" s="578" t="s">
        <v>1510</v>
      </c>
      <c r="P18" s="579">
        <v>62.5</v>
      </c>
      <c r="Q18" s="579">
        <v>31.25</v>
      </c>
      <c r="R18" s="580">
        <v>81.852499999999992</v>
      </c>
      <c r="S18" s="580">
        <v>40.926249999999996</v>
      </c>
      <c r="U18" s="553" t="s">
        <v>233</v>
      </c>
      <c r="V18" s="561" t="s">
        <v>1511</v>
      </c>
      <c r="W18" s="562" t="s">
        <v>1512</v>
      </c>
      <c r="X18" s="552">
        <v>56.25</v>
      </c>
      <c r="Y18" s="552">
        <v>0</v>
      </c>
      <c r="Z18" s="552">
        <v>281.875</v>
      </c>
      <c r="AA18" s="552">
        <v>198.4223586868118</v>
      </c>
      <c r="AB18" s="552">
        <v>0</v>
      </c>
      <c r="AC18" s="563">
        <v>0</v>
      </c>
      <c r="AD18" s="563">
        <v>288.125</v>
      </c>
      <c r="AE18" s="552">
        <v>0</v>
      </c>
      <c r="AF18" s="563">
        <v>232.5</v>
      </c>
      <c r="AG18" s="552">
        <v>123.26388888888889</v>
      </c>
      <c r="AH18" s="557"/>
    </row>
    <row r="19" spans="1:34" ht="15.6" x14ac:dyDescent="0.3">
      <c r="A19" t="s">
        <v>1471</v>
      </c>
      <c r="B19" t="s">
        <v>1472</v>
      </c>
      <c r="C19" t="s">
        <v>846</v>
      </c>
      <c r="D19" t="s">
        <v>801</v>
      </c>
      <c r="E19">
        <v>240</v>
      </c>
      <c r="G19" s="242"/>
      <c r="M19" s="578" t="s">
        <v>341</v>
      </c>
      <c r="N19" s="578" t="s">
        <v>1513</v>
      </c>
      <c r="O19" s="578" t="s">
        <v>1514</v>
      </c>
      <c r="P19" s="579">
        <v>218.75</v>
      </c>
      <c r="Q19" s="579">
        <v>121.875</v>
      </c>
      <c r="R19" s="580">
        <v>286.48374999999999</v>
      </c>
      <c r="S19" s="580">
        <v>159.61237499999999</v>
      </c>
      <c r="U19" s="553" t="s">
        <v>231</v>
      </c>
      <c r="V19" s="561" t="s">
        <v>1515</v>
      </c>
      <c r="W19" s="562" t="s">
        <v>1516</v>
      </c>
      <c r="X19" s="552">
        <v>43.75</v>
      </c>
      <c r="Y19" s="552">
        <v>23.625187687687689</v>
      </c>
      <c r="Z19" s="552">
        <v>188.125</v>
      </c>
      <c r="AA19" s="552">
        <v>100.24599908033032</v>
      </c>
      <c r="AB19" s="552">
        <v>155</v>
      </c>
      <c r="AC19" s="563">
        <v>89.340474038726228</v>
      </c>
      <c r="AD19" s="563">
        <v>192.5</v>
      </c>
      <c r="AE19" s="552">
        <v>83.533573742492507</v>
      </c>
      <c r="AF19" s="563">
        <v>150</v>
      </c>
      <c r="AG19" s="552">
        <v>80.324074074074076</v>
      </c>
      <c r="AH19" s="557"/>
    </row>
    <row r="20" spans="1:34" ht="15.6" x14ac:dyDescent="0.3">
      <c r="A20" t="s">
        <v>1471</v>
      </c>
      <c r="B20" t="s">
        <v>1472</v>
      </c>
      <c r="C20" t="s">
        <v>846</v>
      </c>
      <c r="D20" t="s">
        <v>787</v>
      </c>
      <c r="E20">
        <v>280</v>
      </c>
      <c r="G20" s="242"/>
      <c r="M20" s="578" t="s">
        <v>341</v>
      </c>
      <c r="N20" s="578" t="s">
        <v>1517</v>
      </c>
      <c r="O20" s="578" t="s">
        <v>1518</v>
      </c>
      <c r="P20" s="579">
        <v>178.125</v>
      </c>
      <c r="Q20" s="579">
        <v>93.75</v>
      </c>
      <c r="R20" s="580">
        <v>233.27962499999998</v>
      </c>
      <c r="S20" s="580">
        <v>122.77874999999999</v>
      </c>
      <c r="U20" s="553" t="s">
        <v>233</v>
      </c>
      <c r="V20" s="561" t="s">
        <v>1519</v>
      </c>
      <c r="W20" s="562" t="s">
        <v>1520</v>
      </c>
      <c r="X20" s="552">
        <v>75</v>
      </c>
      <c r="Y20" s="552">
        <v>37.385823323323329</v>
      </c>
      <c r="Z20" s="552">
        <v>168.75</v>
      </c>
      <c r="AA20" s="552">
        <v>134.62223978541041</v>
      </c>
      <c r="AB20" s="552">
        <v>189.375</v>
      </c>
      <c r="AC20" s="563">
        <v>88.137184059059052</v>
      </c>
      <c r="AD20" s="563">
        <v>173.125</v>
      </c>
      <c r="AE20" s="552">
        <v>134.48409223326618</v>
      </c>
      <c r="AF20" s="563">
        <v>232.5</v>
      </c>
      <c r="AG20" s="552">
        <v>123.26388888888889</v>
      </c>
      <c r="AH20" s="557"/>
    </row>
    <row r="21" spans="1:34" ht="15.6" x14ac:dyDescent="0.3">
      <c r="A21" t="s">
        <v>1471</v>
      </c>
      <c r="B21" t="s">
        <v>1472</v>
      </c>
      <c r="C21" t="s">
        <v>846</v>
      </c>
      <c r="D21" t="s">
        <v>802</v>
      </c>
      <c r="E21">
        <v>280</v>
      </c>
      <c r="G21" s="242"/>
      <c r="M21" s="578" t="s">
        <v>341</v>
      </c>
      <c r="N21" s="578" t="s">
        <v>1521</v>
      </c>
      <c r="O21" s="578" t="s">
        <v>1522</v>
      </c>
      <c r="P21" s="579">
        <v>156.25</v>
      </c>
      <c r="Q21" s="579">
        <v>75</v>
      </c>
      <c r="R21" s="580">
        <v>204.63124999999999</v>
      </c>
      <c r="S21" s="580">
        <v>98.222999999999999</v>
      </c>
      <c r="U21" s="553" t="s">
        <v>233</v>
      </c>
      <c r="V21" s="561" t="s">
        <v>1507</v>
      </c>
      <c r="W21" s="562" t="s">
        <v>1523</v>
      </c>
      <c r="X21" s="552">
        <v>53.75</v>
      </c>
      <c r="Y21" s="552">
        <v>43.93455955955956</v>
      </c>
      <c r="Z21" s="552">
        <v>206.875</v>
      </c>
      <c r="AA21" s="552">
        <v>0</v>
      </c>
      <c r="AB21" s="552">
        <v>206.25</v>
      </c>
      <c r="AC21" s="563">
        <v>0</v>
      </c>
      <c r="AD21" s="563">
        <v>211.25</v>
      </c>
      <c r="AE21" s="552">
        <v>0</v>
      </c>
      <c r="AF21" s="563">
        <v>232.5</v>
      </c>
      <c r="AG21" s="552">
        <v>123.26388888888889</v>
      </c>
      <c r="AH21" s="557"/>
    </row>
    <row r="22" spans="1:34" ht="15.6" x14ac:dyDescent="0.3">
      <c r="A22" t="s">
        <v>1471</v>
      </c>
      <c r="B22" t="s">
        <v>1472</v>
      </c>
      <c r="C22" t="s">
        <v>846</v>
      </c>
      <c r="D22" t="s">
        <v>788</v>
      </c>
      <c r="E22">
        <v>300</v>
      </c>
      <c r="G22" s="242"/>
      <c r="M22" s="578" t="s">
        <v>341</v>
      </c>
      <c r="N22" s="578" t="s">
        <v>1524</v>
      </c>
      <c r="O22" s="578" t="s">
        <v>1525</v>
      </c>
      <c r="P22" s="579">
        <v>111.875</v>
      </c>
      <c r="Q22" s="579">
        <v>59.375</v>
      </c>
      <c r="R22" s="580">
        <v>146.515975</v>
      </c>
      <c r="S22" s="580">
        <v>77.759874999999994</v>
      </c>
      <c r="U22" s="553" t="s">
        <v>231</v>
      </c>
      <c r="V22" s="561" t="s">
        <v>1526</v>
      </c>
      <c r="W22" s="562" t="s">
        <v>1527</v>
      </c>
      <c r="X22" s="552">
        <v>23.125</v>
      </c>
      <c r="Y22" s="552">
        <v>3.7302927927927931</v>
      </c>
      <c r="Z22" s="552">
        <v>65.625</v>
      </c>
      <c r="AA22" s="552">
        <v>32.513338338338336</v>
      </c>
      <c r="AB22" s="552">
        <v>68.75</v>
      </c>
      <c r="AC22" s="563">
        <v>0</v>
      </c>
      <c r="AD22" s="563">
        <v>67.5</v>
      </c>
      <c r="AE22" s="552">
        <v>0</v>
      </c>
      <c r="AF22" s="563">
        <v>0</v>
      </c>
      <c r="AG22" s="552">
        <v>55.787037037037038</v>
      </c>
      <c r="AH22" s="557"/>
    </row>
    <row r="23" spans="1:34" ht="15.6" x14ac:dyDescent="0.3">
      <c r="A23" t="s">
        <v>1471</v>
      </c>
      <c r="B23" t="s">
        <v>1472</v>
      </c>
      <c r="C23" t="s">
        <v>846</v>
      </c>
      <c r="D23" t="s">
        <v>803</v>
      </c>
      <c r="E23">
        <v>300</v>
      </c>
      <c r="G23" s="242"/>
      <c r="M23" s="578" t="s">
        <v>341</v>
      </c>
      <c r="N23" s="578" t="s">
        <v>1528</v>
      </c>
      <c r="O23" s="578" t="s">
        <v>1529</v>
      </c>
      <c r="P23" s="579">
        <v>90.625</v>
      </c>
      <c r="Q23" s="579">
        <v>43.75</v>
      </c>
      <c r="R23" s="580">
        <v>118.68612499999999</v>
      </c>
      <c r="S23" s="580">
        <v>57.296749999999996</v>
      </c>
      <c r="U23" s="553" t="s">
        <v>228</v>
      </c>
      <c r="V23" s="561" t="s">
        <v>1530</v>
      </c>
      <c r="W23" s="562" t="s">
        <v>1531</v>
      </c>
      <c r="X23" s="552">
        <v>28.75</v>
      </c>
      <c r="Y23" s="552">
        <v>17.568186936936939</v>
      </c>
      <c r="Z23" s="552">
        <v>89.375</v>
      </c>
      <c r="AA23" s="552">
        <v>0</v>
      </c>
      <c r="AB23" s="552">
        <v>0</v>
      </c>
      <c r="AC23" s="563">
        <v>0</v>
      </c>
      <c r="AD23" s="563">
        <v>91.25</v>
      </c>
      <c r="AE23" s="552">
        <v>0</v>
      </c>
      <c r="AF23" s="563">
        <v>140</v>
      </c>
      <c r="AG23" s="552">
        <v>74.18981481481481</v>
      </c>
      <c r="AH23" s="557"/>
    </row>
    <row r="24" spans="1:34" ht="15.6" x14ac:dyDescent="0.3">
      <c r="A24" t="s">
        <v>1471</v>
      </c>
      <c r="B24" t="s">
        <v>1472</v>
      </c>
      <c r="C24" t="s">
        <v>847</v>
      </c>
      <c r="D24" t="s">
        <v>848</v>
      </c>
      <c r="E24">
        <v>375</v>
      </c>
      <c r="G24" s="242"/>
      <c r="M24" s="578" t="s">
        <v>341</v>
      </c>
      <c r="N24" s="578" t="s">
        <v>1532</v>
      </c>
      <c r="O24" s="578" t="s">
        <v>1533</v>
      </c>
      <c r="P24" s="579">
        <v>62.5</v>
      </c>
      <c r="Q24" s="579">
        <v>31.25</v>
      </c>
      <c r="R24" s="580">
        <v>81.852499999999992</v>
      </c>
      <c r="S24" s="580">
        <v>40.926249999999996</v>
      </c>
      <c r="U24" s="553" t="s">
        <v>228</v>
      </c>
      <c r="V24" s="561" t="s">
        <v>1534</v>
      </c>
      <c r="W24" s="562" t="s">
        <v>1535</v>
      </c>
      <c r="X24" s="552">
        <v>26.25</v>
      </c>
      <c r="Y24" s="552">
        <v>5.6783345845845847</v>
      </c>
      <c r="Z24" s="552">
        <v>84.375</v>
      </c>
      <c r="AA24" s="552">
        <v>41.241125880411666</v>
      </c>
      <c r="AB24" s="552">
        <v>86.25</v>
      </c>
      <c r="AC24" s="563">
        <v>41.595175095941521</v>
      </c>
      <c r="AD24" s="563">
        <v>86.875</v>
      </c>
      <c r="AE24" s="552">
        <v>41.181156146933368</v>
      </c>
      <c r="AF24" s="563">
        <v>115</v>
      </c>
      <c r="AG24" s="552">
        <v>61.921296296296298</v>
      </c>
      <c r="AH24" s="557"/>
    </row>
    <row r="25" spans="1:34" ht="15.6" x14ac:dyDescent="0.3">
      <c r="A25" t="s">
        <v>1471</v>
      </c>
      <c r="B25" t="s">
        <v>1472</v>
      </c>
      <c r="C25" t="s">
        <v>847</v>
      </c>
      <c r="D25" t="s">
        <v>849</v>
      </c>
      <c r="E25">
        <v>375</v>
      </c>
      <c r="G25" s="242"/>
      <c r="M25" s="578" t="s">
        <v>340</v>
      </c>
      <c r="N25" s="578" t="s">
        <v>1536</v>
      </c>
      <c r="O25" s="578" t="s">
        <v>400</v>
      </c>
      <c r="P25" s="581">
        <v>0</v>
      </c>
      <c r="Q25" s="582"/>
      <c r="R25" s="579">
        <v>0</v>
      </c>
      <c r="S25" s="582"/>
      <c r="U25" s="553" t="s">
        <v>228</v>
      </c>
      <c r="V25" s="561" t="s">
        <v>1537</v>
      </c>
      <c r="W25" s="562" t="s">
        <v>1538</v>
      </c>
      <c r="X25" s="552">
        <v>35</v>
      </c>
      <c r="Y25" s="552">
        <v>14.112941066066067</v>
      </c>
      <c r="Z25" s="552">
        <v>117.5</v>
      </c>
      <c r="AA25" s="552">
        <v>78.360162584146636</v>
      </c>
      <c r="AB25" s="552">
        <v>137.5</v>
      </c>
      <c r="AC25" s="563">
        <v>78.707617292419798</v>
      </c>
      <c r="AD25" s="563">
        <v>120</v>
      </c>
      <c r="AE25" s="552">
        <v>68.570273473473492</v>
      </c>
      <c r="AF25" s="563">
        <v>127.5</v>
      </c>
      <c r="AG25" s="552">
        <v>68.055555555555557</v>
      </c>
      <c r="AH25" s="557"/>
    </row>
    <row r="26" spans="1:34" ht="15.6" x14ac:dyDescent="0.3">
      <c r="A26" t="s">
        <v>1471</v>
      </c>
      <c r="B26" t="s">
        <v>1472</v>
      </c>
      <c r="C26" t="s">
        <v>847</v>
      </c>
      <c r="D26" t="s">
        <v>850</v>
      </c>
      <c r="E26">
        <v>375</v>
      </c>
      <c r="G26" s="242"/>
      <c r="M26" s="578" t="s">
        <v>340</v>
      </c>
      <c r="N26" s="578" t="s">
        <v>1539</v>
      </c>
      <c r="O26" s="578" t="s">
        <v>1506</v>
      </c>
      <c r="P26" s="580">
        <v>121.875</v>
      </c>
      <c r="Q26" s="582"/>
      <c r="R26" s="579">
        <v>159.61237499999999</v>
      </c>
      <c r="S26" s="582"/>
      <c r="U26" s="553" t="s">
        <v>228</v>
      </c>
      <c r="V26" s="561" t="s">
        <v>1540</v>
      </c>
      <c r="W26" s="562" t="s">
        <v>1540</v>
      </c>
      <c r="X26" s="552">
        <v>56.25</v>
      </c>
      <c r="Y26" s="552">
        <v>19.894894894894897</v>
      </c>
      <c r="Z26" s="552">
        <v>121.875</v>
      </c>
      <c r="AA26" s="552">
        <v>88.403415224286789</v>
      </c>
      <c r="AB26" s="552">
        <v>146.25</v>
      </c>
      <c r="AC26" s="563">
        <v>88.749085664747611</v>
      </c>
      <c r="AD26" s="563">
        <v>125</v>
      </c>
      <c r="AE26" s="552">
        <v>88.303961651410887</v>
      </c>
      <c r="AF26" s="563">
        <v>150</v>
      </c>
      <c r="AG26" s="552">
        <v>80.324074074074076</v>
      </c>
      <c r="AH26" s="557"/>
    </row>
    <row r="27" spans="1:34" ht="15.6" x14ac:dyDescent="0.3">
      <c r="A27" t="s">
        <v>1471</v>
      </c>
      <c r="B27" t="s">
        <v>1472</v>
      </c>
      <c r="C27" t="s">
        <v>847</v>
      </c>
      <c r="D27" t="s">
        <v>852</v>
      </c>
      <c r="E27">
        <v>375</v>
      </c>
      <c r="G27" s="242"/>
      <c r="M27" s="578" t="s">
        <v>340</v>
      </c>
      <c r="N27" s="578" t="s">
        <v>1541</v>
      </c>
      <c r="O27" s="578" t="s">
        <v>1542</v>
      </c>
      <c r="P27" s="580">
        <v>121.875</v>
      </c>
      <c r="Q27" s="582"/>
      <c r="R27" s="579">
        <v>159.61237499999999</v>
      </c>
      <c r="S27" s="582"/>
      <c r="U27" s="553" t="s">
        <v>228</v>
      </c>
      <c r="V27" s="561" t="s">
        <v>1543</v>
      </c>
      <c r="W27" s="562" t="s">
        <v>1544</v>
      </c>
      <c r="X27" s="552">
        <v>26.25</v>
      </c>
      <c r="Y27" s="552">
        <v>10.776401401401403</v>
      </c>
      <c r="Z27" s="552">
        <v>84.375</v>
      </c>
      <c r="AA27" s="552">
        <v>45.780961277683929</v>
      </c>
      <c r="AB27" s="552">
        <v>86.25</v>
      </c>
      <c r="AC27" s="563">
        <v>46.134203953493738</v>
      </c>
      <c r="AD27" s="563">
        <v>86.875</v>
      </c>
      <c r="AE27" s="552">
        <v>45.717190835329724</v>
      </c>
      <c r="AF27" s="563">
        <v>115</v>
      </c>
      <c r="AG27" s="552">
        <v>61.921296296296298</v>
      </c>
      <c r="AH27" s="557"/>
    </row>
    <row r="28" spans="1:34" ht="15.6" x14ac:dyDescent="0.3">
      <c r="A28" t="s">
        <v>1471</v>
      </c>
      <c r="B28" t="s">
        <v>1472</v>
      </c>
      <c r="C28" t="s">
        <v>847</v>
      </c>
      <c r="D28" t="s">
        <v>853</v>
      </c>
      <c r="E28">
        <v>375</v>
      </c>
      <c r="G28" s="242"/>
      <c r="M28" s="578" t="s">
        <v>340</v>
      </c>
      <c r="N28" s="578" t="s">
        <v>1545</v>
      </c>
      <c r="O28" s="578" t="s">
        <v>1542</v>
      </c>
      <c r="P28" s="580">
        <v>121.875</v>
      </c>
      <c r="Q28" s="582"/>
      <c r="R28" s="579">
        <v>159.61237499999999</v>
      </c>
      <c r="S28" s="582"/>
      <c r="U28" s="553" t="s">
        <v>228</v>
      </c>
      <c r="V28" s="561" t="s">
        <v>1542</v>
      </c>
      <c r="W28" s="562" t="s">
        <v>1546</v>
      </c>
      <c r="X28" s="552">
        <v>30</v>
      </c>
      <c r="Y28" s="552">
        <v>14.921171171171173</v>
      </c>
      <c r="Z28" s="552">
        <v>108.125</v>
      </c>
      <c r="AA28" s="552">
        <v>67.765600563532288</v>
      </c>
      <c r="AB28" s="552">
        <v>128.75</v>
      </c>
      <c r="AC28" s="563">
        <v>56.691949659034044</v>
      </c>
      <c r="AD28" s="563">
        <v>110.625</v>
      </c>
      <c r="AE28" s="552">
        <v>71.859554920858358</v>
      </c>
      <c r="AF28" s="563">
        <v>140</v>
      </c>
      <c r="AG28" s="552">
        <v>74.18981481481481</v>
      </c>
      <c r="AH28" s="557"/>
    </row>
    <row r="29" spans="1:34" ht="15.6" x14ac:dyDescent="0.3">
      <c r="A29" t="s">
        <v>1471</v>
      </c>
      <c r="B29" t="s">
        <v>1472</v>
      </c>
      <c r="C29" t="s">
        <v>847</v>
      </c>
      <c r="D29" t="s">
        <v>854</v>
      </c>
      <c r="E29">
        <v>375</v>
      </c>
      <c r="G29" s="242"/>
      <c r="M29" s="578" t="s">
        <v>340</v>
      </c>
      <c r="N29" s="578" t="s">
        <v>1547</v>
      </c>
      <c r="O29" s="578" t="s">
        <v>1548</v>
      </c>
      <c r="P29" s="580">
        <v>125</v>
      </c>
      <c r="Q29" s="582"/>
      <c r="R29" s="579">
        <v>163.70499999999998</v>
      </c>
      <c r="S29" s="582"/>
      <c r="U29" s="553" t="s">
        <v>231</v>
      </c>
      <c r="V29" s="561" t="s">
        <v>1549</v>
      </c>
      <c r="W29" s="562" t="s">
        <v>1550</v>
      </c>
      <c r="X29" s="552">
        <v>38.125</v>
      </c>
      <c r="Y29" s="552">
        <v>17.609336211211211</v>
      </c>
      <c r="Z29" s="552">
        <v>121.875</v>
      </c>
      <c r="AA29" s="552">
        <v>0</v>
      </c>
      <c r="AB29" s="552">
        <v>146.25</v>
      </c>
      <c r="AC29" s="563">
        <v>0</v>
      </c>
      <c r="AD29" s="563">
        <v>125</v>
      </c>
      <c r="AE29" s="552">
        <v>0</v>
      </c>
      <c r="AF29" s="563">
        <v>150</v>
      </c>
      <c r="AG29" s="552">
        <v>80.324074074074076</v>
      </c>
      <c r="AH29" s="557"/>
    </row>
    <row r="30" spans="1:34" ht="15.6" x14ac:dyDescent="0.3">
      <c r="A30" t="s">
        <v>1471</v>
      </c>
      <c r="B30" t="s">
        <v>1472</v>
      </c>
      <c r="C30" t="s">
        <v>847</v>
      </c>
      <c r="D30" t="s">
        <v>857</v>
      </c>
      <c r="E30">
        <v>375</v>
      </c>
      <c r="G30" s="242"/>
      <c r="M30" s="578" t="s">
        <v>340</v>
      </c>
      <c r="N30" s="578" t="s">
        <v>1551</v>
      </c>
      <c r="O30" s="578" t="s">
        <v>1552</v>
      </c>
      <c r="P30" s="580">
        <v>125</v>
      </c>
      <c r="Q30" s="582"/>
      <c r="R30" s="579">
        <v>163.70499999999998</v>
      </c>
      <c r="S30" s="582"/>
      <c r="U30" s="553" t="s">
        <v>229</v>
      </c>
      <c r="V30" s="561" t="s">
        <v>1553</v>
      </c>
      <c r="W30" s="562" t="s">
        <v>688</v>
      </c>
      <c r="X30" s="552">
        <v>42.5</v>
      </c>
      <c r="Y30" s="552">
        <v>22.852602602602605</v>
      </c>
      <c r="Z30" s="552">
        <v>103.125</v>
      </c>
      <c r="AA30" s="552">
        <v>76.135062645770773</v>
      </c>
      <c r="AB30" s="552">
        <v>137.5</v>
      </c>
      <c r="AC30" s="563">
        <v>67.251274712212208</v>
      </c>
      <c r="AD30" s="563">
        <v>119.375</v>
      </c>
      <c r="AE30" s="552">
        <v>79.198144563313321</v>
      </c>
      <c r="AF30" s="563">
        <v>162.5</v>
      </c>
      <c r="AG30" s="552">
        <v>86.458333333333329</v>
      </c>
      <c r="AH30" s="557"/>
    </row>
    <row r="31" spans="1:34" ht="15.6" x14ac:dyDescent="0.3">
      <c r="A31" t="s">
        <v>1554</v>
      </c>
      <c r="B31" t="s">
        <v>1555</v>
      </c>
      <c r="C31" t="s">
        <v>755</v>
      </c>
      <c r="D31" t="s">
        <v>756</v>
      </c>
      <c r="E31">
        <v>80</v>
      </c>
      <c r="G31" s="242"/>
      <c r="M31" s="578" t="s">
        <v>340</v>
      </c>
      <c r="N31" s="578" t="s">
        <v>1556</v>
      </c>
      <c r="O31" s="578" t="s">
        <v>1488</v>
      </c>
      <c r="P31" s="580">
        <v>156.25</v>
      </c>
      <c r="Q31" s="582"/>
      <c r="R31" s="579">
        <v>204.63124999999999</v>
      </c>
      <c r="S31" s="582"/>
      <c r="U31" s="553" t="s">
        <v>229</v>
      </c>
      <c r="V31" s="561" t="s">
        <v>1557</v>
      </c>
      <c r="W31" s="562" t="s">
        <v>1558</v>
      </c>
      <c r="X31" s="552">
        <v>72.5</v>
      </c>
      <c r="Y31" s="552">
        <v>23.625187687687689</v>
      </c>
      <c r="Z31" s="552">
        <v>131.25</v>
      </c>
      <c r="AA31" s="552">
        <v>0</v>
      </c>
      <c r="AB31" s="552">
        <v>155</v>
      </c>
      <c r="AC31" s="563">
        <v>56.618448135635632</v>
      </c>
      <c r="AD31" s="563">
        <v>134.375</v>
      </c>
      <c r="AE31" s="552">
        <v>0</v>
      </c>
      <c r="AF31" s="563">
        <v>172.5</v>
      </c>
      <c r="AG31" s="552">
        <v>92.592592592592595</v>
      </c>
      <c r="AH31" s="557"/>
    </row>
    <row r="32" spans="1:34" ht="15.6" x14ac:dyDescent="0.3">
      <c r="A32" t="s">
        <v>1554</v>
      </c>
      <c r="B32" t="s">
        <v>1555</v>
      </c>
      <c r="C32" t="s">
        <v>755</v>
      </c>
      <c r="D32" t="s">
        <v>757</v>
      </c>
      <c r="E32">
        <v>170</v>
      </c>
      <c r="G32" s="242"/>
      <c r="M32" s="578" t="s">
        <v>340</v>
      </c>
      <c r="N32" s="578" t="s">
        <v>1559</v>
      </c>
      <c r="O32" s="578" t="s">
        <v>1560</v>
      </c>
      <c r="P32" s="580">
        <v>168.75</v>
      </c>
      <c r="Q32" s="582"/>
      <c r="R32" s="579">
        <v>221.00174999999999</v>
      </c>
      <c r="S32" s="582"/>
      <c r="U32" s="553" t="s">
        <v>231</v>
      </c>
      <c r="V32" s="561" t="s">
        <v>1561</v>
      </c>
      <c r="W32" s="562" t="s">
        <v>1562</v>
      </c>
      <c r="X32" s="552">
        <v>37.5</v>
      </c>
      <c r="Y32" s="552">
        <v>14.921171171171173</v>
      </c>
      <c r="Z32" s="552">
        <v>112.5</v>
      </c>
      <c r="AA32" s="552">
        <v>80.97402571258759</v>
      </c>
      <c r="AB32" s="552">
        <v>137.5</v>
      </c>
      <c r="AC32" s="563">
        <v>80.958291237941552</v>
      </c>
      <c r="AD32" s="563">
        <v>115.625</v>
      </c>
      <c r="AE32" s="552">
        <v>60.108166030092612</v>
      </c>
      <c r="AF32" s="563">
        <v>140</v>
      </c>
      <c r="AG32" s="552">
        <v>86.458333333333329</v>
      </c>
      <c r="AH32" s="557"/>
    </row>
    <row r="33" spans="1:34" ht="15.6" x14ac:dyDescent="0.3">
      <c r="A33" t="s">
        <v>1554</v>
      </c>
      <c r="B33" t="s">
        <v>1555</v>
      </c>
      <c r="C33" t="s">
        <v>755</v>
      </c>
      <c r="D33" t="s">
        <v>758</v>
      </c>
      <c r="E33">
        <v>200</v>
      </c>
      <c r="G33" s="242"/>
      <c r="M33" s="578" t="s">
        <v>340</v>
      </c>
      <c r="N33" s="578" t="s">
        <v>1563</v>
      </c>
      <c r="O33" s="578" t="s">
        <v>1564</v>
      </c>
      <c r="P33" s="580">
        <v>168.75</v>
      </c>
      <c r="Q33" s="582"/>
      <c r="R33" s="579">
        <v>221.00174999999999</v>
      </c>
      <c r="S33" s="582"/>
      <c r="U33" s="553" t="s">
        <v>231</v>
      </c>
      <c r="V33" s="564" t="s">
        <v>1565</v>
      </c>
      <c r="W33" s="562" t="s">
        <v>1566</v>
      </c>
      <c r="X33" s="552">
        <v>37.5</v>
      </c>
      <c r="Y33" s="552">
        <v>14.921171171171173</v>
      </c>
      <c r="Z33" s="552">
        <v>0</v>
      </c>
      <c r="AA33" s="552">
        <v>0</v>
      </c>
      <c r="AB33" s="552">
        <v>0</v>
      </c>
      <c r="AC33" s="563">
        <v>0</v>
      </c>
      <c r="AD33" s="563">
        <v>0</v>
      </c>
      <c r="AE33" s="552">
        <v>0</v>
      </c>
      <c r="AF33" s="563">
        <v>0</v>
      </c>
      <c r="AG33" s="552">
        <v>0</v>
      </c>
      <c r="AH33" s="557"/>
    </row>
    <row r="34" spans="1:34" ht="15.6" x14ac:dyDescent="0.3">
      <c r="A34" t="s">
        <v>1554</v>
      </c>
      <c r="B34" t="s">
        <v>1555</v>
      </c>
      <c r="C34" t="s">
        <v>755</v>
      </c>
      <c r="D34" t="s">
        <v>759</v>
      </c>
      <c r="E34">
        <v>225</v>
      </c>
      <c r="G34" s="242"/>
      <c r="M34" s="578" t="s">
        <v>340</v>
      </c>
      <c r="N34" s="578" t="s">
        <v>1567</v>
      </c>
      <c r="O34" s="578" t="s">
        <v>1568</v>
      </c>
      <c r="P34" s="580">
        <v>168.75</v>
      </c>
      <c r="Q34" s="582"/>
      <c r="R34" s="579">
        <v>221.00174999999999</v>
      </c>
      <c r="S34" s="582"/>
      <c r="U34" s="553" t="s">
        <v>231</v>
      </c>
      <c r="V34" s="564" t="s">
        <v>1569</v>
      </c>
      <c r="W34" s="562" t="s">
        <v>1570</v>
      </c>
      <c r="X34" s="552">
        <v>32.5</v>
      </c>
      <c r="Y34" s="552">
        <v>10.361924424424425</v>
      </c>
      <c r="Z34" s="552">
        <v>0</v>
      </c>
      <c r="AA34" s="552">
        <v>0</v>
      </c>
      <c r="AB34" s="552">
        <v>0</v>
      </c>
      <c r="AC34" s="563">
        <v>0</v>
      </c>
      <c r="AD34" s="563">
        <v>0</v>
      </c>
      <c r="AE34" s="552">
        <v>0</v>
      </c>
      <c r="AF34" s="563">
        <v>0</v>
      </c>
      <c r="AG34" s="552">
        <v>0</v>
      </c>
      <c r="AH34" s="557"/>
    </row>
    <row r="35" spans="1:34" x14ac:dyDescent="0.3">
      <c r="A35" t="s">
        <v>1554</v>
      </c>
      <c r="B35" t="s">
        <v>1555</v>
      </c>
      <c r="C35" t="s">
        <v>755</v>
      </c>
      <c r="D35" t="s">
        <v>760</v>
      </c>
      <c r="E35">
        <v>240</v>
      </c>
      <c r="G35" s="242"/>
      <c r="M35" s="578" t="s">
        <v>465</v>
      </c>
      <c r="N35" s="582" t="s">
        <v>1571</v>
      </c>
      <c r="O35" s="554" t="s">
        <v>1572</v>
      </c>
      <c r="P35" s="580">
        <v>143.47585940625004</v>
      </c>
      <c r="Q35" s="582"/>
      <c r="R35" s="583">
        <v>600</v>
      </c>
      <c r="S35" s="582"/>
    </row>
    <row r="36" spans="1:34" x14ac:dyDescent="0.3">
      <c r="A36" t="s">
        <v>1554</v>
      </c>
      <c r="B36" t="s">
        <v>1555</v>
      </c>
      <c r="C36" t="s">
        <v>755</v>
      </c>
      <c r="D36" t="s">
        <v>761</v>
      </c>
      <c r="E36">
        <v>255</v>
      </c>
      <c r="G36" s="242"/>
      <c r="M36" s="578" t="s">
        <v>465</v>
      </c>
      <c r="N36" s="553" t="s">
        <v>1573</v>
      </c>
      <c r="O36" s="554" t="s">
        <v>1506</v>
      </c>
      <c r="P36" s="551">
        <v>207.93602812499998</v>
      </c>
      <c r="Q36" s="553"/>
      <c r="R36" s="555">
        <v>1000</v>
      </c>
      <c r="S36" s="553"/>
    </row>
    <row r="37" spans="1:34" x14ac:dyDescent="0.3">
      <c r="A37" t="s">
        <v>1554</v>
      </c>
      <c r="B37" t="s">
        <v>1555</v>
      </c>
      <c r="C37" t="s">
        <v>755</v>
      </c>
      <c r="D37" t="s">
        <v>762</v>
      </c>
      <c r="E37">
        <v>270</v>
      </c>
      <c r="G37" s="242"/>
      <c r="M37" s="578" t="s">
        <v>465</v>
      </c>
      <c r="N37" s="553" t="s">
        <v>233</v>
      </c>
      <c r="O37" s="554" t="s">
        <v>1503</v>
      </c>
      <c r="P37" s="551">
        <v>228.72963093749999</v>
      </c>
      <c r="Q37" s="553"/>
      <c r="R37" s="555">
        <v>1264</v>
      </c>
      <c r="S37" s="553"/>
    </row>
    <row r="38" spans="1:34" x14ac:dyDescent="0.3">
      <c r="A38" t="s">
        <v>1554</v>
      </c>
      <c r="B38" t="s">
        <v>1555</v>
      </c>
      <c r="C38" t="s">
        <v>755</v>
      </c>
      <c r="D38" t="s">
        <v>763</v>
      </c>
      <c r="E38">
        <v>280</v>
      </c>
      <c r="G38" s="242"/>
      <c r="M38" s="578" t="s">
        <v>465</v>
      </c>
      <c r="N38" s="553" t="s">
        <v>231</v>
      </c>
      <c r="O38" s="554" t="s">
        <v>1548</v>
      </c>
      <c r="P38" s="551">
        <v>259.92003515624998</v>
      </c>
      <c r="Q38" s="553"/>
      <c r="R38" s="555">
        <v>1250</v>
      </c>
      <c r="S38" s="553"/>
    </row>
    <row r="39" spans="1:34" x14ac:dyDescent="0.3">
      <c r="A39" t="s">
        <v>1554</v>
      </c>
      <c r="B39" t="s">
        <v>1555</v>
      </c>
      <c r="C39" t="s">
        <v>755</v>
      </c>
      <c r="D39" t="s">
        <v>764</v>
      </c>
      <c r="E39">
        <v>330</v>
      </c>
      <c r="G39" s="242"/>
      <c r="M39" s="578" t="s">
        <v>465</v>
      </c>
      <c r="N39" s="553" t="s">
        <v>229</v>
      </c>
      <c r="O39" s="554" t="s">
        <v>1574</v>
      </c>
      <c r="P39" s="551">
        <v>311.90404218750001</v>
      </c>
      <c r="Q39" s="553"/>
      <c r="R39" s="555">
        <v>1500</v>
      </c>
      <c r="S39" s="553"/>
    </row>
    <row r="40" spans="1:34" x14ac:dyDescent="0.3">
      <c r="A40" t="s">
        <v>1554</v>
      </c>
      <c r="B40" t="s">
        <v>1555</v>
      </c>
      <c r="C40" t="s">
        <v>755</v>
      </c>
      <c r="D40" t="s">
        <v>765</v>
      </c>
      <c r="E40">
        <v>350</v>
      </c>
      <c r="G40" s="242"/>
      <c r="M40" s="578" t="s">
        <v>465</v>
      </c>
      <c r="N40" s="553" t="s">
        <v>228</v>
      </c>
      <c r="O40" s="554" t="s">
        <v>1488</v>
      </c>
      <c r="P40" s="551">
        <v>353.49124781250003</v>
      </c>
      <c r="Q40" s="553"/>
      <c r="R40" s="555">
        <v>1700</v>
      </c>
      <c r="S40" s="553"/>
    </row>
    <row r="41" spans="1:34" x14ac:dyDescent="0.3">
      <c r="A41" t="s">
        <v>1554</v>
      </c>
      <c r="B41" t="s">
        <v>1575</v>
      </c>
      <c r="C41" t="s">
        <v>755</v>
      </c>
      <c r="D41" t="s">
        <v>756</v>
      </c>
      <c r="E41">
        <v>110</v>
      </c>
      <c r="G41" s="242"/>
      <c r="M41" s="578" t="s">
        <v>465</v>
      </c>
      <c r="N41" s="553" t="s">
        <v>227</v>
      </c>
      <c r="O41" s="554" t="s">
        <v>1576</v>
      </c>
      <c r="P41" s="551">
        <v>415.87205624999996</v>
      </c>
      <c r="Q41" s="553"/>
      <c r="R41" s="555">
        <v>2000</v>
      </c>
      <c r="S41" s="553"/>
    </row>
    <row r="42" spans="1:34" x14ac:dyDescent="0.3">
      <c r="A42" t="s">
        <v>1554</v>
      </c>
      <c r="B42" t="s">
        <v>1575</v>
      </c>
      <c r="C42" t="s">
        <v>755</v>
      </c>
      <c r="D42" t="s">
        <v>757</v>
      </c>
      <c r="E42">
        <v>200</v>
      </c>
      <c r="G42" s="242"/>
      <c r="O42" s="556"/>
    </row>
    <row r="43" spans="1:34" x14ac:dyDescent="0.3">
      <c r="A43" t="s">
        <v>1554</v>
      </c>
      <c r="B43" t="s">
        <v>1575</v>
      </c>
      <c r="C43" t="s">
        <v>755</v>
      </c>
      <c r="D43" t="s">
        <v>758</v>
      </c>
      <c r="E43">
        <v>280</v>
      </c>
      <c r="G43" s="242"/>
      <c r="O43" s="556"/>
    </row>
    <row r="44" spans="1:34" x14ac:dyDescent="0.3">
      <c r="A44" t="s">
        <v>1554</v>
      </c>
      <c r="B44" t="s">
        <v>1575</v>
      </c>
      <c r="C44" t="s">
        <v>755</v>
      </c>
      <c r="D44" t="s">
        <v>759</v>
      </c>
      <c r="E44">
        <v>350</v>
      </c>
      <c r="G44" s="242"/>
      <c r="O44" s="556"/>
    </row>
    <row r="45" spans="1:34" x14ac:dyDescent="0.3">
      <c r="A45" t="s">
        <v>1554</v>
      </c>
      <c r="B45" t="s">
        <v>1575</v>
      </c>
      <c r="C45" t="s">
        <v>755</v>
      </c>
      <c r="D45" t="s">
        <v>760</v>
      </c>
      <c r="E45">
        <v>495</v>
      </c>
      <c r="G45" s="242"/>
      <c r="O45" s="556"/>
    </row>
    <row r="46" spans="1:34" x14ac:dyDescent="0.3">
      <c r="A46" t="s">
        <v>1577</v>
      </c>
      <c r="B46" t="s">
        <v>1578</v>
      </c>
      <c r="C46" t="s">
        <v>755</v>
      </c>
      <c r="D46" t="s">
        <v>756</v>
      </c>
      <c r="E46">
        <v>78</v>
      </c>
      <c r="G46" s="242"/>
      <c r="O46" s="556"/>
    </row>
    <row r="47" spans="1:34" x14ac:dyDescent="0.3">
      <c r="A47" t="s">
        <v>1577</v>
      </c>
      <c r="B47" t="s">
        <v>1578</v>
      </c>
      <c r="C47" t="s">
        <v>755</v>
      </c>
      <c r="D47" t="s">
        <v>757</v>
      </c>
      <c r="E47">
        <v>115</v>
      </c>
      <c r="G47" s="242"/>
      <c r="O47" s="556"/>
    </row>
    <row r="48" spans="1:34" x14ac:dyDescent="0.3">
      <c r="A48" t="s">
        <v>1577</v>
      </c>
      <c r="B48" t="s">
        <v>1578</v>
      </c>
      <c r="C48" t="s">
        <v>755</v>
      </c>
      <c r="D48" t="s">
        <v>758</v>
      </c>
      <c r="E48">
        <v>149</v>
      </c>
      <c r="G48" s="242"/>
    </row>
    <row r="49" spans="1:7" x14ac:dyDescent="0.3">
      <c r="A49" t="s">
        <v>1577</v>
      </c>
      <c r="B49" t="s">
        <v>1578</v>
      </c>
      <c r="C49" t="s">
        <v>755</v>
      </c>
      <c r="D49" t="s">
        <v>759</v>
      </c>
      <c r="E49">
        <v>170</v>
      </c>
      <c r="G49" s="242"/>
    </row>
    <row r="50" spans="1:7" x14ac:dyDescent="0.3">
      <c r="A50" t="s">
        <v>1577</v>
      </c>
      <c r="B50" t="s">
        <v>1578</v>
      </c>
      <c r="C50" t="s">
        <v>755</v>
      </c>
      <c r="D50" t="s">
        <v>760</v>
      </c>
      <c r="E50">
        <v>213</v>
      </c>
      <c r="G50" s="242"/>
    </row>
    <row r="51" spans="1:7" x14ac:dyDescent="0.3">
      <c r="A51" t="s">
        <v>1577</v>
      </c>
      <c r="B51" t="s">
        <v>1578</v>
      </c>
      <c r="C51" t="s">
        <v>755</v>
      </c>
      <c r="D51" t="s">
        <v>761</v>
      </c>
      <c r="E51">
        <v>250</v>
      </c>
      <c r="G51" s="242"/>
    </row>
    <row r="52" spans="1:7" x14ac:dyDescent="0.3">
      <c r="A52" t="s">
        <v>1577</v>
      </c>
      <c r="B52" t="s">
        <v>1578</v>
      </c>
      <c r="C52" t="s">
        <v>755</v>
      </c>
      <c r="D52" t="s">
        <v>762</v>
      </c>
      <c r="E52">
        <v>268</v>
      </c>
      <c r="G52" s="242"/>
    </row>
    <row r="53" spans="1:7" x14ac:dyDescent="0.3">
      <c r="A53" t="s">
        <v>1577</v>
      </c>
      <c r="B53" t="s">
        <v>1578</v>
      </c>
      <c r="C53" t="s">
        <v>755</v>
      </c>
      <c r="D53" t="s">
        <v>763</v>
      </c>
      <c r="E53">
        <v>287</v>
      </c>
      <c r="G53" s="242"/>
    </row>
    <row r="54" spans="1:7" x14ac:dyDescent="0.3">
      <c r="A54" t="s">
        <v>1577</v>
      </c>
      <c r="B54" t="s">
        <v>1578</v>
      </c>
      <c r="C54" t="s">
        <v>755</v>
      </c>
      <c r="D54" t="s">
        <v>764</v>
      </c>
      <c r="E54">
        <v>313</v>
      </c>
      <c r="G54" s="242"/>
    </row>
    <row r="55" spans="1:7" x14ac:dyDescent="0.3">
      <c r="A55" t="s">
        <v>1577</v>
      </c>
      <c r="B55" t="s">
        <v>1578</v>
      </c>
      <c r="C55" t="s">
        <v>755</v>
      </c>
      <c r="D55" t="s">
        <v>765</v>
      </c>
      <c r="E55">
        <v>344</v>
      </c>
      <c r="G55" s="242"/>
    </row>
    <row r="56" spans="1:7" x14ac:dyDescent="0.3">
      <c r="A56" t="s">
        <v>1577</v>
      </c>
      <c r="B56" t="s">
        <v>1578</v>
      </c>
      <c r="C56" t="s">
        <v>755</v>
      </c>
      <c r="D56" t="s">
        <v>766</v>
      </c>
      <c r="E56">
        <v>370</v>
      </c>
      <c r="G56" s="242"/>
    </row>
    <row r="57" spans="1:7" x14ac:dyDescent="0.3">
      <c r="A57" t="s">
        <v>1579</v>
      </c>
      <c r="B57" t="s">
        <v>1580</v>
      </c>
      <c r="C57" t="s">
        <v>843</v>
      </c>
      <c r="D57" t="s">
        <v>844</v>
      </c>
      <c r="E57">
        <v>83</v>
      </c>
      <c r="G57" s="242"/>
    </row>
    <row r="58" spans="1:7" x14ac:dyDescent="0.3">
      <c r="A58" t="s">
        <v>1579</v>
      </c>
      <c r="B58" t="s">
        <v>1580</v>
      </c>
      <c r="C58" t="s">
        <v>843</v>
      </c>
      <c r="D58" t="s">
        <v>845</v>
      </c>
      <c r="E58">
        <v>50</v>
      </c>
      <c r="G58" s="242"/>
    </row>
    <row r="59" spans="1:7" x14ac:dyDescent="0.3">
      <c r="A59" t="s">
        <v>1579</v>
      </c>
      <c r="B59" t="s">
        <v>1580</v>
      </c>
      <c r="C59" t="s">
        <v>843</v>
      </c>
      <c r="D59" t="s">
        <v>799</v>
      </c>
      <c r="E59">
        <v>176</v>
      </c>
      <c r="G59" s="242"/>
    </row>
    <row r="60" spans="1:7" x14ac:dyDescent="0.3">
      <c r="A60" t="s">
        <v>1579</v>
      </c>
      <c r="B60" t="s">
        <v>1580</v>
      </c>
      <c r="C60" t="s">
        <v>843</v>
      </c>
      <c r="D60" t="s">
        <v>800</v>
      </c>
      <c r="E60">
        <v>209</v>
      </c>
      <c r="G60" s="242"/>
    </row>
    <row r="61" spans="1:7" x14ac:dyDescent="0.3">
      <c r="A61" t="s">
        <v>1579</v>
      </c>
      <c r="B61" t="s">
        <v>1580</v>
      </c>
      <c r="C61" t="s">
        <v>843</v>
      </c>
      <c r="D61" t="s">
        <v>786</v>
      </c>
      <c r="E61">
        <v>262</v>
      </c>
      <c r="G61" s="242"/>
    </row>
    <row r="62" spans="1:7" x14ac:dyDescent="0.3">
      <c r="A62" t="s">
        <v>1579</v>
      </c>
      <c r="B62" t="s">
        <v>1580</v>
      </c>
      <c r="C62" t="s">
        <v>843</v>
      </c>
      <c r="D62" t="s">
        <v>801</v>
      </c>
      <c r="E62">
        <v>262</v>
      </c>
      <c r="G62" s="242"/>
    </row>
    <row r="63" spans="1:7" x14ac:dyDescent="0.3">
      <c r="A63" t="s">
        <v>1579</v>
      </c>
      <c r="B63" t="s">
        <v>1580</v>
      </c>
      <c r="C63" t="s">
        <v>843</v>
      </c>
      <c r="D63" t="s">
        <v>787</v>
      </c>
      <c r="E63">
        <v>306</v>
      </c>
      <c r="G63" s="242"/>
    </row>
    <row r="64" spans="1:7" x14ac:dyDescent="0.3">
      <c r="A64" t="s">
        <v>1579</v>
      </c>
      <c r="B64" t="s">
        <v>1580</v>
      </c>
      <c r="C64" t="s">
        <v>843</v>
      </c>
      <c r="D64" t="s">
        <v>802</v>
      </c>
      <c r="E64">
        <v>306</v>
      </c>
      <c r="G64" s="242"/>
    </row>
    <row r="65" spans="1:7" x14ac:dyDescent="0.3">
      <c r="A65" t="s">
        <v>1579</v>
      </c>
      <c r="B65" t="s">
        <v>1580</v>
      </c>
      <c r="C65" t="s">
        <v>843</v>
      </c>
      <c r="D65" t="s">
        <v>788</v>
      </c>
      <c r="E65">
        <v>339</v>
      </c>
      <c r="G65" s="242"/>
    </row>
    <row r="66" spans="1:7" x14ac:dyDescent="0.3">
      <c r="A66" t="s">
        <v>1579</v>
      </c>
      <c r="B66" t="s">
        <v>1580</v>
      </c>
      <c r="C66" t="s">
        <v>843</v>
      </c>
      <c r="D66" t="s">
        <v>803</v>
      </c>
      <c r="E66">
        <v>339</v>
      </c>
      <c r="G66" s="242"/>
    </row>
    <row r="67" spans="1:7" x14ac:dyDescent="0.3">
      <c r="A67" t="s">
        <v>1579</v>
      </c>
      <c r="B67" t="s">
        <v>1580</v>
      </c>
      <c r="C67" t="s">
        <v>846</v>
      </c>
      <c r="D67" t="s">
        <v>844</v>
      </c>
      <c r="E67">
        <v>83</v>
      </c>
      <c r="G67" s="242"/>
    </row>
    <row r="68" spans="1:7" x14ac:dyDescent="0.3">
      <c r="A68" t="s">
        <v>1579</v>
      </c>
      <c r="B68" t="s">
        <v>1580</v>
      </c>
      <c r="C68" t="s">
        <v>846</v>
      </c>
      <c r="D68" t="s">
        <v>845</v>
      </c>
      <c r="E68">
        <v>50</v>
      </c>
      <c r="G68" s="242"/>
    </row>
    <row r="69" spans="1:7" x14ac:dyDescent="0.3">
      <c r="A69" t="s">
        <v>1579</v>
      </c>
      <c r="B69" t="s">
        <v>1580</v>
      </c>
      <c r="C69" t="s">
        <v>846</v>
      </c>
      <c r="D69" t="s">
        <v>799</v>
      </c>
      <c r="E69">
        <v>176</v>
      </c>
      <c r="G69" s="242"/>
    </row>
    <row r="70" spans="1:7" x14ac:dyDescent="0.3">
      <c r="A70" t="s">
        <v>1579</v>
      </c>
      <c r="B70" t="s">
        <v>1580</v>
      </c>
      <c r="C70" t="s">
        <v>846</v>
      </c>
      <c r="D70" t="s">
        <v>800</v>
      </c>
      <c r="E70">
        <v>209</v>
      </c>
      <c r="G70" s="242"/>
    </row>
    <row r="71" spans="1:7" x14ac:dyDescent="0.3">
      <c r="A71" t="s">
        <v>1579</v>
      </c>
      <c r="B71" t="s">
        <v>1580</v>
      </c>
      <c r="C71" t="s">
        <v>846</v>
      </c>
      <c r="D71" t="s">
        <v>786</v>
      </c>
      <c r="E71">
        <v>262</v>
      </c>
      <c r="G71" s="242"/>
    </row>
    <row r="72" spans="1:7" x14ac:dyDescent="0.3">
      <c r="A72" t="s">
        <v>1579</v>
      </c>
      <c r="B72" t="s">
        <v>1580</v>
      </c>
      <c r="C72" t="s">
        <v>846</v>
      </c>
      <c r="D72" t="s">
        <v>801</v>
      </c>
      <c r="E72">
        <v>262</v>
      </c>
      <c r="G72" s="242"/>
    </row>
    <row r="73" spans="1:7" x14ac:dyDescent="0.3">
      <c r="A73" t="s">
        <v>1579</v>
      </c>
      <c r="B73" t="s">
        <v>1580</v>
      </c>
      <c r="C73" t="s">
        <v>846</v>
      </c>
      <c r="D73" t="s">
        <v>787</v>
      </c>
      <c r="E73">
        <v>306</v>
      </c>
      <c r="G73" s="242"/>
    </row>
    <row r="74" spans="1:7" x14ac:dyDescent="0.3">
      <c r="A74" t="s">
        <v>1579</v>
      </c>
      <c r="B74" t="s">
        <v>1580</v>
      </c>
      <c r="C74" t="s">
        <v>846</v>
      </c>
      <c r="D74" t="s">
        <v>802</v>
      </c>
      <c r="E74">
        <v>306</v>
      </c>
      <c r="G74" s="242"/>
    </row>
    <row r="75" spans="1:7" x14ac:dyDescent="0.3">
      <c r="A75" t="s">
        <v>1579</v>
      </c>
      <c r="B75" t="s">
        <v>1580</v>
      </c>
      <c r="C75" t="s">
        <v>846</v>
      </c>
      <c r="D75" t="s">
        <v>788</v>
      </c>
      <c r="E75">
        <v>339</v>
      </c>
      <c r="G75" s="242"/>
    </row>
    <row r="76" spans="1:7" x14ac:dyDescent="0.3">
      <c r="A76" t="s">
        <v>1579</v>
      </c>
      <c r="B76" t="s">
        <v>1580</v>
      </c>
      <c r="C76" t="s">
        <v>846</v>
      </c>
      <c r="D76" t="s">
        <v>803</v>
      </c>
      <c r="E76">
        <v>339</v>
      </c>
      <c r="G76" s="242"/>
    </row>
    <row r="77" spans="1:7" x14ac:dyDescent="0.3">
      <c r="A77" t="s">
        <v>1579</v>
      </c>
      <c r="B77" t="s">
        <v>1580</v>
      </c>
      <c r="C77" t="s">
        <v>847</v>
      </c>
      <c r="D77" t="s">
        <v>848</v>
      </c>
      <c r="E77">
        <v>410</v>
      </c>
      <c r="G77" s="242"/>
    </row>
    <row r="78" spans="1:7" x14ac:dyDescent="0.3">
      <c r="A78" t="s">
        <v>1579</v>
      </c>
      <c r="B78" t="s">
        <v>1580</v>
      </c>
      <c r="C78" t="s">
        <v>847</v>
      </c>
      <c r="D78" t="s">
        <v>849</v>
      </c>
      <c r="E78">
        <v>410</v>
      </c>
      <c r="G78" s="242"/>
    </row>
    <row r="79" spans="1:7" x14ac:dyDescent="0.3">
      <c r="A79" t="s">
        <v>1579</v>
      </c>
      <c r="B79" t="s">
        <v>1580</v>
      </c>
      <c r="C79" t="s">
        <v>847</v>
      </c>
      <c r="D79" t="s">
        <v>850</v>
      </c>
      <c r="E79">
        <v>410</v>
      </c>
      <c r="G79" s="242"/>
    </row>
    <row r="80" spans="1:7" x14ac:dyDescent="0.3">
      <c r="A80" t="s">
        <v>1579</v>
      </c>
      <c r="B80" t="s">
        <v>1580</v>
      </c>
      <c r="C80" t="s">
        <v>847</v>
      </c>
      <c r="D80" t="s">
        <v>851</v>
      </c>
      <c r="E80">
        <v>410</v>
      </c>
      <c r="G80" s="242"/>
    </row>
    <row r="81" spans="1:7" x14ac:dyDescent="0.3">
      <c r="A81" t="s">
        <v>1579</v>
      </c>
      <c r="B81" t="s">
        <v>1580</v>
      </c>
      <c r="C81" t="s">
        <v>847</v>
      </c>
      <c r="D81" t="s">
        <v>852</v>
      </c>
      <c r="E81">
        <v>410</v>
      </c>
      <c r="G81" s="242"/>
    </row>
    <row r="82" spans="1:7" x14ac:dyDescent="0.3">
      <c r="A82" t="s">
        <v>1579</v>
      </c>
      <c r="B82" t="s">
        <v>1580</v>
      </c>
      <c r="C82" t="s">
        <v>847</v>
      </c>
      <c r="D82" t="s">
        <v>853</v>
      </c>
      <c r="E82">
        <v>410</v>
      </c>
      <c r="G82" s="242"/>
    </row>
    <row r="83" spans="1:7" x14ac:dyDescent="0.3">
      <c r="A83" t="s">
        <v>1579</v>
      </c>
      <c r="B83" t="s">
        <v>1580</v>
      </c>
      <c r="C83" t="s">
        <v>847</v>
      </c>
      <c r="D83" t="s">
        <v>854</v>
      </c>
      <c r="E83">
        <v>410</v>
      </c>
      <c r="G83" s="242"/>
    </row>
    <row r="84" spans="1:7" x14ac:dyDescent="0.3">
      <c r="A84" t="s">
        <v>1579</v>
      </c>
      <c r="B84" t="s">
        <v>1580</v>
      </c>
      <c r="C84" t="s">
        <v>847</v>
      </c>
      <c r="D84" t="s">
        <v>855</v>
      </c>
      <c r="E84">
        <v>410</v>
      </c>
      <c r="G84" s="242"/>
    </row>
    <row r="85" spans="1:7" x14ac:dyDescent="0.3">
      <c r="A85" t="s">
        <v>1579</v>
      </c>
      <c r="B85" t="s">
        <v>1580</v>
      </c>
      <c r="C85" t="s">
        <v>847</v>
      </c>
      <c r="D85" t="s">
        <v>856</v>
      </c>
      <c r="E85">
        <v>410</v>
      </c>
      <c r="G85" s="242"/>
    </row>
    <row r="86" spans="1:7" x14ac:dyDescent="0.3">
      <c r="A86" t="s">
        <v>1579</v>
      </c>
      <c r="B86" t="s">
        <v>1580</v>
      </c>
      <c r="C86" t="s">
        <v>847</v>
      </c>
      <c r="D86" t="s">
        <v>857</v>
      </c>
      <c r="E86">
        <v>410</v>
      </c>
      <c r="G86" s="242"/>
    </row>
    <row r="87" spans="1:7" x14ac:dyDescent="0.3">
      <c r="A87" t="s">
        <v>1579</v>
      </c>
      <c r="B87" t="s">
        <v>1580</v>
      </c>
      <c r="C87" t="s">
        <v>919</v>
      </c>
      <c r="D87" t="s">
        <v>925</v>
      </c>
      <c r="E87">
        <v>90</v>
      </c>
      <c r="G87" s="242"/>
    </row>
    <row r="88" spans="1:7" x14ac:dyDescent="0.3">
      <c r="A88" t="s">
        <v>1581</v>
      </c>
      <c r="B88" t="s">
        <v>1582</v>
      </c>
      <c r="C88" t="s">
        <v>755</v>
      </c>
      <c r="D88" t="s">
        <v>756</v>
      </c>
      <c r="E88">
        <v>100</v>
      </c>
      <c r="G88" s="242"/>
    </row>
    <row r="89" spans="1:7" x14ac:dyDescent="0.3">
      <c r="A89" t="s">
        <v>1581</v>
      </c>
      <c r="B89" t="s">
        <v>1582</v>
      </c>
      <c r="C89" t="s">
        <v>815</v>
      </c>
      <c r="D89" t="s">
        <v>782</v>
      </c>
      <c r="E89">
        <v>81</v>
      </c>
      <c r="G89" s="242"/>
    </row>
    <row r="90" spans="1:7" x14ac:dyDescent="0.3">
      <c r="A90" t="s">
        <v>1581</v>
      </c>
      <c r="B90" t="s">
        <v>1582</v>
      </c>
      <c r="C90" t="s">
        <v>815</v>
      </c>
      <c r="D90" t="s">
        <v>783</v>
      </c>
      <c r="E90">
        <v>100</v>
      </c>
      <c r="G90" s="242"/>
    </row>
    <row r="91" spans="1:7" x14ac:dyDescent="0.3">
      <c r="A91" t="s">
        <v>1581</v>
      </c>
      <c r="B91" t="s">
        <v>1582</v>
      </c>
      <c r="C91" t="s">
        <v>815</v>
      </c>
      <c r="D91" t="s">
        <v>784</v>
      </c>
      <c r="E91">
        <v>110</v>
      </c>
      <c r="G91" s="242"/>
    </row>
    <row r="92" spans="1:7" x14ac:dyDescent="0.3">
      <c r="A92" t="s">
        <v>1581</v>
      </c>
      <c r="B92" t="s">
        <v>1582</v>
      </c>
      <c r="C92" t="s">
        <v>815</v>
      </c>
      <c r="D92" t="s">
        <v>785</v>
      </c>
      <c r="E92">
        <v>110</v>
      </c>
      <c r="G92" s="242"/>
    </row>
    <row r="93" spans="1:7" x14ac:dyDescent="0.3">
      <c r="A93" t="s">
        <v>1581</v>
      </c>
      <c r="B93" t="s">
        <v>1582</v>
      </c>
      <c r="C93" t="s">
        <v>815</v>
      </c>
      <c r="D93" t="s">
        <v>786</v>
      </c>
      <c r="E93">
        <v>120</v>
      </c>
      <c r="G93" s="242"/>
    </row>
    <row r="94" spans="1:7" x14ac:dyDescent="0.3">
      <c r="A94" t="s">
        <v>1581</v>
      </c>
      <c r="B94" t="s">
        <v>1582</v>
      </c>
      <c r="C94" t="s">
        <v>815</v>
      </c>
      <c r="D94" t="s">
        <v>787</v>
      </c>
      <c r="E94">
        <v>135</v>
      </c>
      <c r="G94" s="242"/>
    </row>
    <row r="95" spans="1:7" x14ac:dyDescent="0.3">
      <c r="A95" t="s">
        <v>1581</v>
      </c>
      <c r="B95" t="s">
        <v>1582</v>
      </c>
      <c r="C95" t="s">
        <v>815</v>
      </c>
      <c r="D95" t="s">
        <v>788</v>
      </c>
      <c r="E95">
        <v>155</v>
      </c>
      <c r="G95" s="242"/>
    </row>
    <row r="96" spans="1:7" x14ac:dyDescent="0.3">
      <c r="A96" t="s">
        <v>1581</v>
      </c>
      <c r="B96" t="s">
        <v>1582</v>
      </c>
      <c r="C96" t="s">
        <v>816</v>
      </c>
      <c r="D96" t="s">
        <v>782</v>
      </c>
      <c r="E96">
        <v>81</v>
      </c>
      <c r="G96" s="242"/>
    </row>
    <row r="97" spans="1:7" x14ac:dyDescent="0.3">
      <c r="A97" t="s">
        <v>1581</v>
      </c>
      <c r="B97" t="s">
        <v>1582</v>
      </c>
      <c r="C97" t="s">
        <v>816</v>
      </c>
      <c r="D97" t="s">
        <v>783</v>
      </c>
      <c r="E97">
        <v>100</v>
      </c>
      <c r="G97" s="242"/>
    </row>
    <row r="98" spans="1:7" x14ac:dyDescent="0.3">
      <c r="A98" t="s">
        <v>1581</v>
      </c>
      <c r="B98" t="s">
        <v>1582</v>
      </c>
      <c r="C98" t="s">
        <v>816</v>
      </c>
      <c r="D98" t="s">
        <v>784</v>
      </c>
      <c r="E98">
        <v>110</v>
      </c>
      <c r="G98" s="242"/>
    </row>
    <row r="99" spans="1:7" x14ac:dyDescent="0.3">
      <c r="A99" t="s">
        <v>1581</v>
      </c>
      <c r="B99" t="s">
        <v>1582</v>
      </c>
      <c r="C99" t="s">
        <v>816</v>
      </c>
      <c r="D99" t="s">
        <v>785</v>
      </c>
      <c r="E99">
        <v>110</v>
      </c>
      <c r="G99" s="242"/>
    </row>
    <row r="100" spans="1:7" x14ac:dyDescent="0.3">
      <c r="A100" t="s">
        <v>1581</v>
      </c>
      <c r="B100" t="s">
        <v>1582</v>
      </c>
      <c r="C100" t="s">
        <v>816</v>
      </c>
      <c r="D100" t="s">
        <v>786</v>
      </c>
      <c r="E100">
        <v>120</v>
      </c>
      <c r="G100" s="242"/>
    </row>
    <row r="101" spans="1:7" x14ac:dyDescent="0.3">
      <c r="A101" t="s">
        <v>1581</v>
      </c>
      <c r="B101" t="s">
        <v>1582</v>
      </c>
      <c r="C101" t="s">
        <v>816</v>
      </c>
      <c r="D101" t="s">
        <v>787</v>
      </c>
      <c r="E101">
        <v>135</v>
      </c>
      <c r="G101" s="242"/>
    </row>
    <row r="102" spans="1:7" x14ac:dyDescent="0.3">
      <c r="A102" t="s">
        <v>1581</v>
      </c>
      <c r="B102" t="s">
        <v>1582</v>
      </c>
      <c r="C102" t="s">
        <v>816</v>
      </c>
      <c r="D102" t="s">
        <v>788</v>
      </c>
      <c r="E102">
        <v>155</v>
      </c>
      <c r="G102" s="242"/>
    </row>
    <row r="103" spans="1:7" x14ac:dyDescent="0.3">
      <c r="A103" t="s">
        <v>1581</v>
      </c>
      <c r="B103" t="s">
        <v>1582</v>
      </c>
      <c r="C103" t="s">
        <v>817</v>
      </c>
      <c r="D103" t="s">
        <v>818</v>
      </c>
      <c r="E103">
        <v>110</v>
      </c>
      <c r="G103" s="242"/>
    </row>
    <row r="104" spans="1:7" x14ac:dyDescent="0.3">
      <c r="A104" t="s">
        <v>1581</v>
      </c>
      <c r="B104" t="s">
        <v>1582</v>
      </c>
      <c r="C104" t="s">
        <v>817</v>
      </c>
      <c r="D104" t="s">
        <v>819</v>
      </c>
      <c r="E104">
        <v>120</v>
      </c>
      <c r="G104" s="242"/>
    </row>
    <row r="105" spans="1:7" x14ac:dyDescent="0.3">
      <c r="A105" t="s">
        <v>1581</v>
      </c>
      <c r="B105" t="s">
        <v>1582</v>
      </c>
      <c r="C105" t="s">
        <v>817</v>
      </c>
      <c r="D105" t="s">
        <v>798</v>
      </c>
      <c r="E105">
        <v>120</v>
      </c>
      <c r="G105" s="242"/>
    </row>
    <row r="106" spans="1:7" x14ac:dyDescent="0.3">
      <c r="A106" t="s">
        <v>1581</v>
      </c>
      <c r="B106" t="s">
        <v>1582</v>
      </c>
      <c r="C106" t="s">
        <v>817</v>
      </c>
      <c r="D106" t="s">
        <v>820</v>
      </c>
      <c r="E106">
        <v>135</v>
      </c>
      <c r="G106" s="242"/>
    </row>
    <row r="107" spans="1:7" x14ac:dyDescent="0.3">
      <c r="A107" t="s">
        <v>1581</v>
      </c>
      <c r="B107" t="s">
        <v>1582</v>
      </c>
      <c r="C107" t="s">
        <v>817</v>
      </c>
      <c r="D107" t="s">
        <v>821</v>
      </c>
      <c r="E107">
        <v>110</v>
      </c>
      <c r="G107" s="242"/>
    </row>
    <row r="108" spans="1:7" x14ac:dyDescent="0.3">
      <c r="A108" t="s">
        <v>1581</v>
      </c>
      <c r="B108" t="s">
        <v>1582</v>
      </c>
      <c r="C108" t="s">
        <v>817</v>
      </c>
      <c r="D108" t="s">
        <v>822</v>
      </c>
      <c r="E108">
        <v>120</v>
      </c>
      <c r="G108" s="242"/>
    </row>
    <row r="109" spans="1:7" x14ac:dyDescent="0.3">
      <c r="A109" t="s">
        <v>1581</v>
      </c>
      <c r="B109" t="s">
        <v>1582</v>
      </c>
      <c r="C109" t="s">
        <v>823</v>
      </c>
      <c r="D109" t="s">
        <v>805</v>
      </c>
      <c r="E109">
        <v>81</v>
      </c>
      <c r="G109" s="242"/>
    </row>
    <row r="110" spans="1:7" x14ac:dyDescent="0.3">
      <c r="A110" t="s">
        <v>1581</v>
      </c>
      <c r="B110" t="s">
        <v>1582</v>
      </c>
      <c r="C110" t="s">
        <v>823</v>
      </c>
      <c r="D110" t="s">
        <v>806</v>
      </c>
      <c r="E110">
        <v>100</v>
      </c>
      <c r="G110" s="242"/>
    </row>
    <row r="111" spans="1:7" x14ac:dyDescent="0.3">
      <c r="A111" t="s">
        <v>1581</v>
      </c>
      <c r="B111" t="s">
        <v>1582</v>
      </c>
      <c r="C111" t="s">
        <v>823</v>
      </c>
      <c r="D111" t="s">
        <v>807</v>
      </c>
      <c r="E111">
        <v>110</v>
      </c>
      <c r="G111" s="242"/>
    </row>
    <row r="112" spans="1:7" x14ac:dyDescent="0.3">
      <c r="A112" t="s">
        <v>1581</v>
      </c>
      <c r="B112" t="s">
        <v>1582</v>
      </c>
      <c r="C112" t="s">
        <v>823</v>
      </c>
      <c r="D112" t="s">
        <v>808</v>
      </c>
      <c r="E112">
        <v>110</v>
      </c>
      <c r="G112" s="242"/>
    </row>
    <row r="113" spans="1:7" x14ac:dyDescent="0.3">
      <c r="A113" t="s">
        <v>1581</v>
      </c>
      <c r="B113" t="s">
        <v>1582</v>
      </c>
      <c r="C113" t="s">
        <v>823</v>
      </c>
      <c r="D113" t="s">
        <v>809</v>
      </c>
      <c r="E113">
        <v>120</v>
      </c>
      <c r="G113" s="242"/>
    </row>
    <row r="114" spans="1:7" x14ac:dyDescent="0.3">
      <c r="A114" t="s">
        <v>1581</v>
      </c>
      <c r="B114" t="s">
        <v>1582</v>
      </c>
      <c r="C114" t="s">
        <v>823</v>
      </c>
      <c r="D114" t="s">
        <v>810</v>
      </c>
      <c r="E114">
        <v>135</v>
      </c>
      <c r="G114" s="242"/>
    </row>
    <row r="115" spans="1:7" x14ac:dyDescent="0.3">
      <c r="A115" t="s">
        <v>1581</v>
      </c>
      <c r="B115" t="s">
        <v>1582</v>
      </c>
      <c r="C115" t="s">
        <v>823</v>
      </c>
      <c r="D115" t="s">
        <v>811</v>
      </c>
      <c r="E115">
        <v>155</v>
      </c>
      <c r="G115" s="242"/>
    </row>
    <row r="116" spans="1:7" x14ac:dyDescent="0.3">
      <c r="A116" t="s">
        <v>1581</v>
      </c>
      <c r="B116" t="s">
        <v>1582</v>
      </c>
      <c r="C116" t="s">
        <v>843</v>
      </c>
      <c r="D116" t="s">
        <v>799</v>
      </c>
      <c r="E116">
        <v>167</v>
      </c>
      <c r="G116" s="242"/>
    </row>
    <row r="117" spans="1:7" x14ac:dyDescent="0.3">
      <c r="A117" t="s">
        <v>1581</v>
      </c>
      <c r="B117" t="s">
        <v>1582</v>
      </c>
      <c r="C117" t="s">
        <v>843</v>
      </c>
      <c r="D117" t="s">
        <v>800</v>
      </c>
      <c r="E117">
        <v>194</v>
      </c>
      <c r="G117" s="242"/>
    </row>
    <row r="118" spans="1:7" x14ac:dyDescent="0.3">
      <c r="A118" t="s">
        <v>1581</v>
      </c>
      <c r="B118" t="s">
        <v>1582</v>
      </c>
      <c r="C118" t="s">
        <v>843</v>
      </c>
      <c r="D118" t="s">
        <v>786</v>
      </c>
      <c r="E118">
        <v>242</v>
      </c>
      <c r="G118" s="242"/>
    </row>
    <row r="119" spans="1:7" x14ac:dyDescent="0.3">
      <c r="A119" t="s">
        <v>1581</v>
      </c>
      <c r="B119" t="s">
        <v>1582</v>
      </c>
      <c r="C119" t="s">
        <v>843</v>
      </c>
      <c r="D119" t="s">
        <v>801</v>
      </c>
      <c r="E119">
        <v>242</v>
      </c>
      <c r="G119" s="242"/>
    </row>
    <row r="120" spans="1:7" x14ac:dyDescent="0.3">
      <c r="A120" t="s">
        <v>1581</v>
      </c>
      <c r="B120" t="s">
        <v>1582</v>
      </c>
      <c r="C120" t="s">
        <v>843</v>
      </c>
      <c r="D120" t="s">
        <v>787</v>
      </c>
      <c r="E120">
        <v>282</v>
      </c>
      <c r="G120" s="242"/>
    </row>
    <row r="121" spans="1:7" x14ac:dyDescent="0.3">
      <c r="A121" t="s">
        <v>1581</v>
      </c>
      <c r="B121" t="s">
        <v>1582</v>
      </c>
      <c r="C121" t="s">
        <v>843</v>
      </c>
      <c r="D121" t="s">
        <v>802</v>
      </c>
      <c r="E121">
        <v>282</v>
      </c>
      <c r="G121" s="242"/>
    </row>
    <row r="122" spans="1:7" x14ac:dyDescent="0.3">
      <c r="A122" t="s">
        <v>1581</v>
      </c>
      <c r="B122" t="s">
        <v>1582</v>
      </c>
      <c r="C122" t="s">
        <v>843</v>
      </c>
      <c r="D122" t="s">
        <v>788</v>
      </c>
      <c r="E122">
        <v>304</v>
      </c>
      <c r="G122" s="242"/>
    </row>
    <row r="123" spans="1:7" x14ac:dyDescent="0.3">
      <c r="A123" t="s">
        <v>1581</v>
      </c>
      <c r="B123" t="s">
        <v>1582</v>
      </c>
      <c r="C123" t="s">
        <v>843</v>
      </c>
      <c r="D123" t="s">
        <v>803</v>
      </c>
      <c r="E123">
        <v>304</v>
      </c>
      <c r="G123" s="242"/>
    </row>
    <row r="124" spans="1:7" x14ac:dyDescent="0.3">
      <c r="A124" t="s">
        <v>1581</v>
      </c>
      <c r="B124" t="s">
        <v>1582</v>
      </c>
      <c r="C124" t="s">
        <v>846</v>
      </c>
      <c r="D124" t="s">
        <v>799</v>
      </c>
      <c r="E124">
        <v>167</v>
      </c>
      <c r="G124" s="242"/>
    </row>
    <row r="125" spans="1:7" x14ac:dyDescent="0.3">
      <c r="A125" t="s">
        <v>1581</v>
      </c>
      <c r="B125" t="s">
        <v>1582</v>
      </c>
      <c r="C125" t="s">
        <v>846</v>
      </c>
      <c r="D125" t="s">
        <v>800</v>
      </c>
      <c r="E125">
        <v>194</v>
      </c>
      <c r="G125" s="242"/>
    </row>
    <row r="126" spans="1:7" x14ac:dyDescent="0.3">
      <c r="A126" t="s">
        <v>1581</v>
      </c>
      <c r="B126" t="s">
        <v>1582</v>
      </c>
      <c r="C126" t="s">
        <v>846</v>
      </c>
      <c r="D126" t="s">
        <v>786</v>
      </c>
      <c r="E126">
        <v>242</v>
      </c>
      <c r="G126" s="242"/>
    </row>
    <row r="127" spans="1:7" x14ac:dyDescent="0.3">
      <c r="A127" t="s">
        <v>1581</v>
      </c>
      <c r="B127" t="s">
        <v>1582</v>
      </c>
      <c r="C127" t="s">
        <v>846</v>
      </c>
      <c r="D127" t="s">
        <v>801</v>
      </c>
      <c r="E127">
        <v>242</v>
      </c>
      <c r="G127" s="242"/>
    </row>
    <row r="128" spans="1:7" x14ac:dyDescent="0.3">
      <c r="A128" t="s">
        <v>1581</v>
      </c>
      <c r="B128" t="s">
        <v>1582</v>
      </c>
      <c r="C128" t="s">
        <v>846</v>
      </c>
      <c r="D128" t="s">
        <v>787</v>
      </c>
      <c r="E128">
        <v>282</v>
      </c>
      <c r="G128" s="242"/>
    </row>
    <row r="129" spans="1:7" x14ac:dyDescent="0.3">
      <c r="A129" t="s">
        <v>1581</v>
      </c>
      <c r="B129" t="s">
        <v>1582</v>
      </c>
      <c r="C129" t="s">
        <v>846</v>
      </c>
      <c r="D129" t="s">
        <v>802</v>
      </c>
      <c r="E129">
        <v>282</v>
      </c>
      <c r="G129" s="242"/>
    </row>
    <row r="130" spans="1:7" x14ac:dyDescent="0.3">
      <c r="A130" t="s">
        <v>1581</v>
      </c>
      <c r="B130" t="s">
        <v>1582</v>
      </c>
      <c r="C130" t="s">
        <v>846</v>
      </c>
      <c r="D130" t="s">
        <v>788</v>
      </c>
      <c r="E130">
        <v>304</v>
      </c>
      <c r="G130" s="242"/>
    </row>
    <row r="131" spans="1:7" x14ac:dyDescent="0.3">
      <c r="A131" t="s">
        <v>1581</v>
      </c>
      <c r="B131" t="s">
        <v>1582</v>
      </c>
      <c r="C131" t="s">
        <v>846</v>
      </c>
      <c r="D131" t="s">
        <v>803</v>
      </c>
      <c r="E131">
        <v>304</v>
      </c>
      <c r="G131" s="242"/>
    </row>
    <row r="132" spans="1:7" x14ac:dyDescent="0.3">
      <c r="A132" t="s">
        <v>1581</v>
      </c>
      <c r="B132" t="s">
        <v>1582</v>
      </c>
      <c r="C132" t="s">
        <v>847</v>
      </c>
      <c r="D132" t="s">
        <v>848</v>
      </c>
      <c r="E132">
        <v>374</v>
      </c>
      <c r="G132" s="242"/>
    </row>
    <row r="133" spans="1:7" x14ac:dyDescent="0.3">
      <c r="A133" t="s">
        <v>1581</v>
      </c>
      <c r="B133" t="s">
        <v>1582</v>
      </c>
      <c r="C133" t="s">
        <v>847</v>
      </c>
      <c r="D133" t="s">
        <v>849</v>
      </c>
      <c r="E133">
        <v>374</v>
      </c>
      <c r="G133" s="242"/>
    </row>
    <row r="134" spans="1:7" x14ac:dyDescent="0.3">
      <c r="A134" t="s">
        <v>1581</v>
      </c>
      <c r="B134" t="s">
        <v>1582</v>
      </c>
      <c r="C134" t="s">
        <v>847</v>
      </c>
      <c r="D134" t="s">
        <v>850</v>
      </c>
      <c r="E134">
        <v>374</v>
      </c>
      <c r="G134" s="242"/>
    </row>
    <row r="135" spans="1:7" x14ac:dyDescent="0.3">
      <c r="A135" t="s">
        <v>1581</v>
      </c>
      <c r="B135" t="s">
        <v>1582</v>
      </c>
      <c r="C135" t="s">
        <v>847</v>
      </c>
      <c r="D135" t="s">
        <v>851</v>
      </c>
      <c r="E135">
        <v>374</v>
      </c>
      <c r="G135" s="242"/>
    </row>
    <row r="136" spans="1:7" x14ac:dyDescent="0.3">
      <c r="A136" t="s">
        <v>1581</v>
      </c>
      <c r="B136" t="s">
        <v>1582</v>
      </c>
      <c r="C136" t="s">
        <v>847</v>
      </c>
      <c r="D136" t="s">
        <v>852</v>
      </c>
      <c r="E136">
        <v>374</v>
      </c>
      <c r="G136" s="242"/>
    </row>
    <row r="137" spans="1:7" x14ac:dyDescent="0.3">
      <c r="A137" t="s">
        <v>1581</v>
      </c>
      <c r="B137" t="s">
        <v>1582</v>
      </c>
      <c r="C137" t="s">
        <v>847</v>
      </c>
      <c r="D137" t="s">
        <v>853</v>
      </c>
      <c r="E137">
        <v>374</v>
      </c>
      <c r="G137" s="242"/>
    </row>
    <row r="138" spans="1:7" x14ac:dyDescent="0.3">
      <c r="A138" t="s">
        <v>1581</v>
      </c>
      <c r="B138" t="s">
        <v>1582</v>
      </c>
      <c r="C138" t="s">
        <v>847</v>
      </c>
      <c r="D138" t="s">
        <v>854</v>
      </c>
      <c r="E138">
        <v>374</v>
      </c>
      <c r="G138" s="242"/>
    </row>
    <row r="139" spans="1:7" x14ac:dyDescent="0.3">
      <c r="A139" t="s">
        <v>1581</v>
      </c>
      <c r="B139" t="s">
        <v>1582</v>
      </c>
      <c r="C139" t="s">
        <v>847</v>
      </c>
      <c r="D139" t="s">
        <v>855</v>
      </c>
      <c r="E139">
        <v>374</v>
      </c>
      <c r="G139" s="242"/>
    </row>
    <row r="140" spans="1:7" x14ac:dyDescent="0.3">
      <c r="A140" t="s">
        <v>1581</v>
      </c>
      <c r="B140" t="s">
        <v>1582</v>
      </c>
      <c r="C140" t="s">
        <v>847</v>
      </c>
      <c r="D140" t="s">
        <v>856</v>
      </c>
      <c r="E140">
        <v>374</v>
      </c>
      <c r="G140" s="242"/>
    </row>
    <row r="141" spans="1:7" x14ac:dyDescent="0.3">
      <c r="A141" t="s">
        <v>1581</v>
      </c>
      <c r="B141" t="s">
        <v>1582</v>
      </c>
      <c r="C141" t="s">
        <v>847</v>
      </c>
      <c r="D141" t="s">
        <v>857</v>
      </c>
      <c r="E141">
        <v>374</v>
      </c>
      <c r="G141" s="242"/>
    </row>
    <row r="142" spans="1:7" x14ac:dyDescent="0.3">
      <c r="A142" t="s">
        <v>1583</v>
      </c>
      <c r="B142" t="s">
        <v>1584</v>
      </c>
      <c r="C142" t="s">
        <v>755</v>
      </c>
      <c r="D142" t="s">
        <v>756</v>
      </c>
      <c r="E142">
        <v>60</v>
      </c>
      <c r="G142" s="242"/>
    </row>
    <row r="143" spans="1:7" x14ac:dyDescent="0.3">
      <c r="A143" t="s">
        <v>1583</v>
      </c>
      <c r="B143" t="s">
        <v>1584</v>
      </c>
      <c r="C143" t="s">
        <v>755</v>
      </c>
      <c r="D143" t="s">
        <v>757</v>
      </c>
      <c r="E143">
        <v>72</v>
      </c>
      <c r="G143" s="242"/>
    </row>
    <row r="144" spans="1:7" x14ac:dyDescent="0.3">
      <c r="A144" t="s">
        <v>1583</v>
      </c>
      <c r="B144" t="s">
        <v>1584</v>
      </c>
      <c r="C144" t="s">
        <v>755</v>
      </c>
      <c r="D144" t="s">
        <v>758</v>
      </c>
      <c r="E144">
        <v>152</v>
      </c>
      <c r="G144" s="242"/>
    </row>
    <row r="145" spans="1:7" x14ac:dyDescent="0.3">
      <c r="A145" t="s">
        <v>1583</v>
      </c>
      <c r="B145" t="s">
        <v>1584</v>
      </c>
      <c r="C145" t="s">
        <v>755</v>
      </c>
      <c r="D145" t="s">
        <v>759</v>
      </c>
      <c r="E145">
        <v>172</v>
      </c>
      <c r="G145" s="242"/>
    </row>
    <row r="146" spans="1:7" x14ac:dyDescent="0.3">
      <c r="A146" t="s">
        <v>1583</v>
      </c>
      <c r="B146" t="s">
        <v>1584</v>
      </c>
      <c r="C146" t="s">
        <v>755</v>
      </c>
      <c r="D146" t="s">
        <v>760</v>
      </c>
      <c r="E146">
        <v>196</v>
      </c>
      <c r="G146" s="242"/>
    </row>
    <row r="147" spans="1:7" x14ac:dyDescent="0.3">
      <c r="A147" t="s">
        <v>1583</v>
      </c>
      <c r="B147" t="s">
        <v>1584</v>
      </c>
      <c r="C147" t="s">
        <v>755</v>
      </c>
      <c r="D147" t="s">
        <v>761</v>
      </c>
      <c r="E147">
        <v>224</v>
      </c>
      <c r="G147" s="242"/>
    </row>
    <row r="148" spans="1:7" x14ac:dyDescent="0.3">
      <c r="A148" t="s">
        <v>1583</v>
      </c>
      <c r="B148" t="s">
        <v>1584</v>
      </c>
      <c r="C148" t="s">
        <v>755</v>
      </c>
      <c r="D148" t="s">
        <v>762</v>
      </c>
      <c r="E148">
        <v>248</v>
      </c>
      <c r="G148" s="242"/>
    </row>
    <row r="149" spans="1:7" x14ac:dyDescent="0.3">
      <c r="A149" t="s">
        <v>1583</v>
      </c>
      <c r="B149" t="s">
        <v>1584</v>
      </c>
      <c r="C149" t="s">
        <v>755</v>
      </c>
      <c r="D149" t="s">
        <v>763</v>
      </c>
      <c r="E149">
        <v>276</v>
      </c>
      <c r="G149" s="242"/>
    </row>
    <row r="150" spans="1:7" x14ac:dyDescent="0.3">
      <c r="A150" t="s">
        <v>1583</v>
      </c>
      <c r="B150" t="s">
        <v>1584</v>
      </c>
      <c r="C150" t="s">
        <v>755</v>
      </c>
      <c r="D150" t="s">
        <v>764</v>
      </c>
      <c r="E150">
        <v>300</v>
      </c>
      <c r="G150" s="242"/>
    </row>
    <row r="151" spans="1:7" x14ac:dyDescent="0.3">
      <c r="A151" t="s">
        <v>1583</v>
      </c>
      <c r="B151" t="s">
        <v>1584</v>
      </c>
      <c r="C151" t="s">
        <v>755</v>
      </c>
      <c r="D151" t="s">
        <v>765</v>
      </c>
      <c r="E151">
        <v>316</v>
      </c>
      <c r="G151" s="242"/>
    </row>
    <row r="152" spans="1:7" x14ac:dyDescent="0.3">
      <c r="A152" t="s">
        <v>1583</v>
      </c>
      <c r="B152" t="s">
        <v>1584</v>
      </c>
      <c r="C152" t="s">
        <v>755</v>
      </c>
      <c r="D152" t="s">
        <v>766</v>
      </c>
      <c r="E152">
        <v>356</v>
      </c>
      <c r="G152" s="242"/>
    </row>
    <row r="153" spans="1:7" x14ac:dyDescent="0.3">
      <c r="A153" t="s">
        <v>1585</v>
      </c>
      <c r="B153" t="s">
        <v>1586</v>
      </c>
      <c r="C153" t="s">
        <v>755</v>
      </c>
      <c r="D153" t="s">
        <v>756</v>
      </c>
      <c r="E153">
        <v>85</v>
      </c>
      <c r="G153" s="242"/>
    </row>
    <row r="154" spans="1:7" x14ac:dyDescent="0.3">
      <c r="A154" t="s">
        <v>1585</v>
      </c>
      <c r="B154" t="s">
        <v>1586</v>
      </c>
      <c r="C154" t="s">
        <v>755</v>
      </c>
      <c r="D154" t="s">
        <v>757</v>
      </c>
      <c r="E154">
        <v>132</v>
      </c>
      <c r="G154" s="242"/>
    </row>
    <row r="155" spans="1:7" x14ac:dyDescent="0.3">
      <c r="A155" t="s">
        <v>1585</v>
      </c>
      <c r="B155" t="s">
        <v>1586</v>
      </c>
      <c r="C155" t="s">
        <v>755</v>
      </c>
      <c r="D155" t="s">
        <v>758</v>
      </c>
      <c r="E155">
        <v>157</v>
      </c>
      <c r="G155" s="242"/>
    </row>
    <row r="156" spans="1:7" x14ac:dyDescent="0.3">
      <c r="A156" t="s">
        <v>1585</v>
      </c>
      <c r="B156" t="s">
        <v>1586</v>
      </c>
      <c r="C156" t="s">
        <v>755</v>
      </c>
      <c r="D156" t="s">
        <v>759</v>
      </c>
      <c r="E156">
        <v>179</v>
      </c>
      <c r="G156" s="242"/>
    </row>
    <row r="157" spans="1:7" x14ac:dyDescent="0.3">
      <c r="A157" t="s">
        <v>1585</v>
      </c>
      <c r="B157" t="s">
        <v>1586</v>
      </c>
      <c r="C157" t="s">
        <v>755</v>
      </c>
      <c r="D157" t="s">
        <v>760</v>
      </c>
      <c r="E157">
        <v>212</v>
      </c>
      <c r="G157" s="242"/>
    </row>
    <row r="158" spans="1:7" x14ac:dyDescent="0.3">
      <c r="A158" t="s">
        <v>1585</v>
      </c>
      <c r="B158" t="s">
        <v>1586</v>
      </c>
      <c r="C158" t="s">
        <v>755</v>
      </c>
      <c r="D158" t="s">
        <v>761</v>
      </c>
      <c r="E158">
        <v>233</v>
      </c>
      <c r="G158" s="242"/>
    </row>
    <row r="159" spans="1:7" x14ac:dyDescent="0.3">
      <c r="A159" t="s">
        <v>1585</v>
      </c>
      <c r="B159" t="s">
        <v>1586</v>
      </c>
      <c r="C159" t="s">
        <v>755</v>
      </c>
      <c r="D159" t="s">
        <v>762</v>
      </c>
      <c r="E159">
        <v>240</v>
      </c>
      <c r="G159" s="242"/>
    </row>
    <row r="160" spans="1:7" x14ac:dyDescent="0.3">
      <c r="A160" t="s">
        <v>1585</v>
      </c>
      <c r="B160" t="s">
        <v>1586</v>
      </c>
      <c r="C160" t="s">
        <v>755</v>
      </c>
      <c r="D160" t="s">
        <v>763</v>
      </c>
      <c r="E160">
        <v>260</v>
      </c>
      <c r="G160" s="242"/>
    </row>
    <row r="161" spans="1:7" x14ac:dyDescent="0.3">
      <c r="A161" t="s">
        <v>1585</v>
      </c>
      <c r="B161" t="s">
        <v>1586</v>
      </c>
      <c r="C161" t="s">
        <v>755</v>
      </c>
      <c r="D161" t="s">
        <v>764</v>
      </c>
      <c r="E161">
        <v>276</v>
      </c>
      <c r="G161" s="242"/>
    </row>
    <row r="162" spans="1:7" x14ac:dyDescent="0.3">
      <c r="A162" t="s">
        <v>1585</v>
      </c>
      <c r="B162" t="s">
        <v>1586</v>
      </c>
      <c r="C162" t="s">
        <v>779</v>
      </c>
      <c r="D162" t="s">
        <v>780</v>
      </c>
      <c r="E162">
        <v>85</v>
      </c>
      <c r="G162" s="242"/>
    </row>
    <row r="163" spans="1:7" x14ac:dyDescent="0.3">
      <c r="A163" t="s">
        <v>1585</v>
      </c>
      <c r="B163" t="s">
        <v>1586</v>
      </c>
      <c r="C163" t="s">
        <v>843</v>
      </c>
      <c r="D163" t="s">
        <v>845</v>
      </c>
      <c r="E163">
        <v>50</v>
      </c>
      <c r="G163" s="242"/>
    </row>
    <row r="164" spans="1:7" x14ac:dyDescent="0.3">
      <c r="A164" t="s">
        <v>1585</v>
      </c>
      <c r="B164" t="s">
        <v>1586</v>
      </c>
      <c r="C164" t="s">
        <v>843</v>
      </c>
      <c r="D164" t="s">
        <v>799</v>
      </c>
      <c r="E164">
        <v>157</v>
      </c>
      <c r="G164" s="242"/>
    </row>
    <row r="165" spans="1:7" x14ac:dyDescent="0.3">
      <c r="A165" t="s">
        <v>1585</v>
      </c>
      <c r="B165" t="s">
        <v>1586</v>
      </c>
      <c r="C165" t="s">
        <v>843</v>
      </c>
      <c r="D165" t="s">
        <v>800</v>
      </c>
      <c r="E165">
        <v>179</v>
      </c>
      <c r="G165" s="242"/>
    </row>
    <row r="166" spans="1:7" x14ac:dyDescent="0.3">
      <c r="A166" t="s">
        <v>1585</v>
      </c>
      <c r="B166" t="s">
        <v>1586</v>
      </c>
      <c r="C166" t="s">
        <v>843</v>
      </c>
      <c r="D166" t="s">
        <v>786</v>
      </c>
      <c r="E166">
        <v>212</v>
      </c>
      <c r="G166" s="242"/>
    </row>
    <row r="167" spans="1:7" x14ac:dyDescent="0.3">
      <c r="A167" t="s">
        <v>1585</v>
      </c>
      <c r="B167" t="s">
        <v>1586</v>
      </c>
      <c r="C167" t="s">
        <v>843</v>
      </c>
      <c r="D167" t="s">
        <v>801</v>
      </c>
      <c r="E167">
        <v>212</v>
      </c>
      <c r="G167" s="242"/>
    </row>
    <row r="168" spans="1:7" x14ac:dyDescent="0.3">
      <c r="A168" t="s">
        <v>1585</v>
      </c>
      <c r="B168" t="s">
        <v>1586</v>
      </c>
      <c r="C168" t="s">
        <v>843</v>
      </c>
      <c r="D168" t="s">
        <v>787</v>
      </c>
      <c r="E168">
        <v>233</v>
      </c>
      <c r="G168" s="242"/>
    </row>
    <row r="169" spans="1:7" x14ac:dyDescent="0.3">
      <c r="A169" t="s">
        <v>1585</v>
      </c>
      <c r="B169" t="s">
        <v>1586</v>
      </c>
      <c r="C169" t="s">
        <v>843</v>
      </c>
      <c r="D169" t="s">
        <v>802</v>
      </c>
      <c r="E169">
        <v>233</v>
      </c>
      <c r="G169" s="242"/>
    </row>
    <row r="170" spans="1:7" x14ac:dyDescent="0.3">
      <c r="A170" t="s">
        <v>1585</v>
      </c>
      <c r="B170" t="s">
        <v>1586</v>
      </c>
      <c r="C170" t="s">
        <v>843</v>
      </c>
      <c r="D170" t="s">
        <v>788</v>
      </c>
      <c r="E170">
        <v>240</v>
      </c>
      <c r="G170" s="242"/>
    </row>
    <row r="171" spans="1:7" x14ac:dyDescent="0.3">
      <c r="A171" t="s">
        <v>1585</v>
      </c>
      <c r="B171" t="s">
        <v>1586</v>
      </c>
      <c r="C171" t="s">
        <v>843</v>
      </c>
      <c r="D171" t="s">
        <v>803</v>
      </c>
      <c r="E171">
        <v>240</v>
      </c>
      <c r="G171" s="242"/>
    </row>
    <row r="172" spans="1:7" x14ac:dyDescent="0.3">
      <c r="A172" t="s">
        <v>1585</v>
      </c>
      <c r="B172" t="s">
        <v>1586</v>
      </c>
      <c r="C172" t="s">
        <v>846</v>
      </c>
      <c r="D172" t="s">
        <v>845</v>
      </c>
      <c r="E172">
        <v>50</v>
      </c>
      <c r="G172" s="242"/>
    </row>
    <row r="173" spans="1:7" x14ac:dyDescent="0.3">
      <c r="A173" t="s">
        <v>1585</v>
      </c>
      <c r="B173" t="s">
        <v>1586</v>
      </c>
      <c r="C173" t="s">
        <v>846</v>
      </c>
      <c r="D173" t="s">
        <v>799</v>
      </c>
      <c r="E173">
        <v>157</v>
      </c>
      <c r="G173" s="242"/>
    </row>
    <row r="174" spans="1:7" x14ac:dyDescent="0.3">
      <c r="A174" t="s">
        <v>1585</v>
      </c>
      <c r="B174" t="s">
        <v>1586</v>
      </c>
      <c r="C174" t="s">
        <v>846</v>
      </c>
      <c r="D174" t="s">
        <v>800</v>
      </c>
      <c r="E174">
        <v>179</v>
      </c>
    </row>
    <row r="175" spans="1:7" x14ac:dyDescent="0.3">
      <c r="A175" t="s">
        <v>1585</v>
      </c>
      <c r="B175" t="s">
        <v>1586</v>
      </c>
      <c r="C175" t="s">
        <v>846</v>
      </c>
      <c r="D175" t="s">
        <v>786</v>
      </c>
      <c r="E175">
        <v>212</v>
      </c>
    </row>
    <row r="176" spans="1:7" x14ac:dyDescent="0.3">
      <c r="A176" t="s">
        <v>1585</v>
      </c>
      <c r="B176" t="s">
        <v>1586</v>
      </c>
      <c r="C176" t="s">
        <v>846</v>
      </c>
      <c r="D176" t="s">
        <v>801</v>
      </c>
      <c r="E176">
        <v>212</v>
      </c>
    </row>
    <row r="177" spans="1:5" x14ac:dyDescent="0.3">
      <c r="A177" t="s">
        <v>1585</v>
      </c>
      <c r="B177" t="s">
        <v>1586</v>
      </c>
      <c r="C177" t="s">
        <v>846</v>
      </c>
      <c r="D177" t="s">
        <v>787</v>
      </c>
      <c r="E177">
        <v>233</v>
      </c>
    </row>
    <row r="178" spans="1:5" x14ac:dyDescent="0.3">
      <c r="A178" t="s">
        <v>1585</v>
      </c>
      <c r="B178" t="s">
        <v>1586</v>
      </c>
      <c r="C178" t="s">
        <v>846</v>
      </c>
      <c r="D178" t="s">
        <v>802</v>
      </c>
      <c r="E178">
        <v>233</v>
      </c>
    </row>
    <row r="179" spans="1:5" x14ac:dyDescent="0.3">
      <c r="A179" t="s">
        <v>1585</v>
      </c>
      <c r="B179" t="s">
        <v>1586</v>
      </c>
      <c r="C179" t="s">
        <v>846</v>
      </c>
      <c r="D179" t="s">
        <v>788</v>
      </c>
      <c r="E179">
        <v>240</v>
      </c>
    </row>
    <row r="180" spans="1:5" x14ac:dyDescent="0.3">
      <c r="A180" t="s">
        <v>1585</v>
      </c>
      <c r="B180" t="s">
        <v>1586</v>
      </c>
      <c r="C180" t="s">
        <v>846</v>
      </c>
      <c r="D180" t="s">
        <v>803</v>
      </c>
      <c r="E180">
        <v>240</v>
      </c>
    </row>
    <row r="181" spans="1:5" x14ac:dyDescent="0.3">
      <c r="A181" t="s">
        <v>1585</v>
      </c>
      <c r="B181" t="s">
        <v>1586</v>
      </c>
      <c r="C181" t="s">
        <v>847</v>
      </c>
      <c r="D181" t="s">
        <v>848</v>
      </c>
      <c r="E181">
        <v>260</v>
      </c>
    </row>
    <row r="182" spans="1:5" x14ac:dyDescent="0.3">
      <c r="A182" t="s">
        <v>1585</v>
      </c>
      <c r="B182" t="s">
        <v>1586</v>
      </c>
      <c r="C182" t="s">
        <v>847</v>
      </c>
      <c r="D182" t="s">
        <v>849</v>
      </c>
      <c r="E182">
        <v>276</v>
      </c>
    </row>
    <row r="183" spans="1:5" x14ac:dyDescent="0.3">
      <c r="A183" t="s">
        <v>1585</v>
      </c>
      <c r="B183" t="s">
        <v>1586</v>
      </c>
      <c r="C183" t="s">
        <v>847</v>
      </c>
      <c r="D183" t="s">
        <v>850</v>
      </c>
      <c r="E183">
        <v>276</v>
      </c>
    </row>
    <row r="184" spans="1:5" x14ac:dyDescent="0.3">
      <c r="A184" t="s">
        <v>1585</v>
      </c>
      <c r="B184" t="s">
        <v>1586</v>
      </c>
      <c r="C184" t="s">
        <v>847</v>
      </c>
      <c r="D184" t="s">
        <v>851</v>
      </c>
      <c r="E184">
        <v>276</v>
      </c>
    </row>
    <row r="185" spans="1:5" x14ac:dyDescent="0.3">
      <c r="A185" t="s">
        <v>1585</v>
      </c>
      <c r="B185" t="s">
        <v>1586</v>
      </c>
      <c r="C185" t="s">
        <v>847</v>
      </c>
      <c r="D185" t="s">
        <v>852</v>
      </c>
      <c r="E185">
        <v>276</v>
      </c>
    </row>
    <row r="186" spans="1:5" x14ac:dyDescent="0.3">
      <c r="A186" t="s">
        <v>1585</v>
      </c>
      <c r="B186" t="s">
        <v>1586</v>
      </c>
      <c r="C186" t="s">
        <v>847</v>
      </c>
      <c r="D186" t="s">
        <v>853</v>
      </c>
      <c r="E186">
        <v>276</v>
      </c>
    </row>
    <row r="187" spans="1:5" x14ac:dyDescent="0.3">
      <c r="A187" t="s">
        <v>1585</v>
      </c>
      <c r="B187" t="s">
        <v>1586</v>
      </c>
      <c r="C187" t="s">
        <v>847</v>
      </c>
      <c r="D187" t="s">
        <v>854</v>
      </c>
      <c r="E187">
        <v>276</v>
      </c>
    </row>
    <row r="188" spans="1:5" x14ac:dyDescent="0.3">
      <c r="A188" t="s">
        <v>1585</v>
      </c>
      <c r="B188" t="s">
        <v>1586</v>
      </c>
      <c r="C188" t="s">
        <v>847</v>
      </c>
      <c r="D188" t="s">
        <v>855</v>
      </c>
      <c r="E188">
        <v>276</v>
      </c>
    </row>
    <row r="189" spans="1:5" x14ac:dyDescent="0.3">
      <c r="A189" t="s">
        <v>1585</v>
      </c>
      <c r="B189" t="s">
        <v>1586</v>
      </c>
      <c r="C189" t="s">
        <v>847</v>
      </c>
      <c r="D189" t="s">
        <v>856</v>
      </c>
      <c r="E189">
        <v>276</v>
      </c>
    </row>
    <row r="190" spans="1:5" x14ac:dyDescent="0.3">
      <c r="A190" t="s">
        <v>1585</v>
      </c>
      <c r="B190" t="s">
        <v>1586</v>
      </c>
      <c r="C190" t="s">
        <v>847</v>
      </c>
      <c r="D190" t="s">
        <v>857</v>
      </c>
      <c r="E190">
        <v>276</v>
      </c>
    </row>
    <row r="191" spans="1:5" x14ac:dyDescent="0.3">
      <c r="A191" t="s">
        <v>1585</v>
      </c>
      <c r="B191" t="s">
        <v>1586</v>
      </c>
      <c r="C191" t="s">
        <v>919</v>
      </c>
      <c r="D191" t="s">
        <v>920</v>
      </c>
      <c r="E191">
        <v>85</v>
      </c>
    </row>
    <row r="192" spans="1:5" x14ac:dyDescent="0.3">
      <c r="A192" t="s">
        <v>1585</v>
      </c>
      <c r="B192" t="s">
        <v>1586</v>
      </c>
      <c r="C192" t="s">
        <v>919</v>
      </c>
      <c r="D192" t="s">
        <v>921</v>
      </c>
      <c r="E192">
        <v>85</v>
      </c>
    </row>
    <row r="193" spans="1:5" x14ac:dyDescent="0.3">
      <c r="A193" t="s">
        <v>1585</v>
      </c>
      <c r="B193" t="s">
        <v>1586</v>
      </c>
      <c r="C193" t="s">
        <v>919</v>
      </c>
      <c r="D193" t="s">
        <v>922</v>
      </c>
      <c r="E193">
        <v>85</v>
      </c>
    </row>
    <row r="194" spans="1:5" x14ac:dyDescent="0.3">
      <c r="A194" t="s">
        <v>1585</v>
      </c>
      <c r="B194" t="s">
        <v>1586</v>
      </c>
      <c r="C194" t="s">
        <v>919</v>
      </c>
      <c r="D194" t="s">
        <v>923</v>
      </c>
      <c r="E194">
        <v>85</v>
      </c>
    </row>
    <row r="195" spans="1:5" x14ac:dyDescent="0.3">
      <c r="A195" t="s">
        <v>1585</v>
      </c>
      <c r="B195" t="s">
        <v>1586</v>
      </c>
      <c r="C195" t="s">
        <v>919</v>
      </c>
      <c r="D195" t="s">
        <v>924</v>
      </c>
      <c r="E195">
        <v>85</v>
      </c>
    </row>
    <row r="196" spans="1:5" x14ac:dyDescent="0.3">
      <c r="A196" t="s">
        <v>1585</v>
      </c>
      <c r="B196" t="s">
        <v>1586</v>
      </c>
      <c r="C196" t="s">
        <v>919</v>
      </c>
      <c r="D196" t="s">
        <v>925</v>
      </c>
      <c r="E196">
        <v>85</v>
      </c>
    </row>
    <row r="197" spans="1:5" x14ac:dyDescent="0.3">
      <c r="A197" t="s">
        <v>1585</v>
      </c>
      <c r="B197" t="s">
        <v>1586</v>
      </c>
      <c r="C197" t="s">
        <v>919</v>
      </c>
      <c r="D197" t="s">
        <v>926</v>
      </c>
      <c r="E197">
        <v>85</v>
      </c>
    </row>
    <row r="198" spans="1:5" x14ac:dyDescent="0.3">
      <c r="A198" t="s">
        <v>1585</v>
      </c>
      <c r="B198" t="s">
        <v>1586</v>
      </c>
      <c r="C198" t="s">
        <v>919</v>
      </c>
      <c r="D198" t="s">
        <v>927</v>
      </c>
      <c r="E198">
        <v>85</v>
      </c>
    </row>
    <row r="199" spans="1:5" x14ac:dyDescent="0.3">
      <c r="A199" t="s">
        <v>1585</v>
      </c>
      <c r="B199" t="s">
        <v>1586</v>
      </c>
      <c r="C199" t="s">
        <v>919</v>
      </c>
      <c r="D199" t="s">
        <v>928</v>
      </c>
      <c r="E199">
        <v>85</v>
      </c>
    </row>
    <row r="200" spans="1:5" x14ac:dyDescent="0.3">
      <c r="A200" t="s">
        <v>1585</v>
      </c>
      <c r="B200" t="s">
        <v>1586</v>
      </c>
      <c r="C200" t="s">
        <v>919</v>
      </c>
      <c r="D200" t="s">
        <v>929</v>
      </c>
      <c r="E200">
        <v>85</v>
      </c>
    </row>
    <row r="201" spans="1:5" x14ac:dyDescent="0.3">
      <c r="A201" t="s">
        <v>1585</v>
      </c>
      <c r="B201" t="s">
        <v>1586</v>
      </c>
      <c r="C201" t="s">
        <v>919</v>
      </c>
      <c r="D201" t="s">
        <v>930</v>
      </c>
      <c r="E201">
        <v>85</v>
      </c>
    </row>
    <row r="202" spans="1:5" x14ac:dyDescent="0.3">
      <c r="A202" t="s">
        <v>1585</v>
      </c>
      <c r="B202" t="s">
        <v>1586</v>
      </c>
      <c r="C202" t="s">
        <v>919</v>
      </c>
      <c r="D202" t="s">
        <v>931</v>
      </c>
      <c r="E202">
        <v>85</v>
      </c>
    </row>
    <row r="203" spans="1:5" x14ac:dyDescent="0.3">
      <c r="A203" t="s">
        <v>1585</v>
      </c>
      <c r="B203" t="s">
        <v>1586</v>
      </c>
      <c r="C203" t="s">
        <v>919</v>
      </c>
      <c r="D203" t="s">
        <v>932</v>
      </c>
      <c r="E203">
        <v>85</v>
      </c>
    </row>
    <row r="204" spans="1:5" x14ac:dyDescent="0.3">
      <c r="A204" t="s">
        <v>1585</v>
      </c>
      <c r="B204" t="s">
        <v>1586</v>
      </c>
      <c r="C204" t="s">
        <v>919</v>
      </c>
      <c r="D204" t="s">
        <v>933</v>
      </c>
      <c r="E204">
        <v>85</v>
      </c>
    </row>
    <row r="205" spans="1:5" x14ac:dyDescent="0.3">
      <c r="A205" t="s">
        <v>1585</v>
      </c>
      <c r="B205" t="s">
        <v>1586</v>
      </c>
      <c r="C205" t="s">
        <v>919</v>
      </c>
      <c r="D205" t="s">
        <v>934</v>
      </c>
      <c r="E205">
        <v>85</v>
      </c>
    </row>
    <row r="206" spans="1:5" x14ac:dyDescent="0.3">
      <c r="A206" t="s">
        <v>1585</v>
      </c>
      <c r="B206" t="s">
        <v>1586</v>
      </c>
      <c r="C206" t="s">
        <v>919</v>
      </c>
      <c r="D206" t="s">
        <v>935</v>
      </c>
      <c r="E206">
        <v>85</v>
      </c>
    </row>
    <row r="207" spans="1:5" x14ac:dyDescent="0.3">
      <c r="A207" t="s">
        <v>1585</v>
      </c>
      <c r="B207" t="s">
        <v>1586</v>
      </c>
      <c r="C207" t="s">
        <v>919</v>
      </c>
      <c r="D207" t="s">
        <v>936</v>
      </c>
      <c r="E207">
        <v>85</v>
      </c>
    </row>
    <row r="208" spans="1:5" x14ac:dyDescent="0.3">
      <c r="A208" t="s">
        <v>1585</v>
      </c>
      <c r="B208" t="s">
        <v>1586</v>
      </c>
      <c r="C208" t="s">
        <v>919</v>
      </c>
      <c r="D208" t="s">
        <v>937</v>
      </c>
      <c r="E208">
        <v>85</v>
      </c>
    </row>
    <row r="209" spans="1:5" x14ac:dyDescent="0.3">
      <c r="A209" t="s">
        <v>1585</v>
      </c>
      <c r="B209" t="s">
        <v>1586</v>
      </c>
      <c r="C209" t="s">
        <v>919</v>
      </c>
      <c r="D209" t="s">
        <v>938</v>
      </c>
      <c r="E209">
        <v>85</v>
      </c>
    </row>
    <row r="210" spans="1:5" x14ac:dyDescent="0.3">
      <c r="A210" t="s">
        <v>1585</v>
      </c>
      <c r="B210" t="s">
        <v>1586</v>
      </c>
      <c r="C210" t="s">
        <v>919</v>
      </c>
      <c r="D210" t="s">
        <v>939</v>
      </c>
      <c r="E210">
        <v>85</v>
      </c>
    </row>
    <row r="211" spans="1:5" x14ac:dyDescent="0.3">
      <c r="A211" t="s">
        <v>1585</v>
      </c>
      <c r="B211" t="s">
        <v>1586</v>
      </c>
      <c r="C211" t="s">
        <v>919</v>
      </c>
      <c r="D211" t="s">
        <v>940</v>
      </c>
      <c r="E211">
        <v>85</v>
      </c>
    </row>
    <row r="212" spans="1:5" x14ac:dyDescent="0.3">
      <c r="A212" t="s">
        <v>1585</v>
      </c>
      <c r="B212" t="s">
        <v>1586</v>
      </c>
      <c r="C212" t="s">
        <v>919</v>
      </c>
      <c r="D212" t="s">
        <v>941</v>
      </c>
      <c r="E212">
        <v>85</v>
      </c>
    </row>
    <row r="213" spans="1:5" x14ac:dyDescent="0.3">
      <c r="A213" t="s">
        <v>1585</v>
      </c>
      <c r="B213" t="s">
        <v>1586</v>
      </c>
      <c r="C213" t="s">
        <v>919</v>
      </c>
      <c r="D213" t="s">
        <v>942</v>
      </c>
      <c r="E213">
        <v>85</v>
      </c>
    </row>
    <row r="214" spans="1:5" x14ac:dyDescent="0.3">
      <c r="A214" t="s">
        <v>1585</v>
      </c>
      <c r="B214" t="s">
        <v>1586</v>
      </c>
      <c r="C214" t="s">
        <v>919</v>
      </c>
      <c r="D214" t="s">
        <v>943</v>
      </c>
      <c r="E214">
        <v>85</v>
      </c>
    </row>
    <row r="215" spans="1:5" x14ac:dyDescent="0.3">
      <c r="A215" t="s">
        <v>1585</v>
      </c>
      <c r="B215" t="s">
        <v>1586</v>
      </c>
      <c r="C215" t="s">
        <v>919</v>
      </c>
      <c r="D215" t="s">
        <v>944</v>
      </c>
      <c r="E215">
        <v>85</v>
      </c>
    </row>
    <row r="216" spans="1:5" x14ac:dyDescent="0.3">
      <c r="A216" t="s">
        <v>1585</v>
      </c>
      <c r="B216" t="s">
        <v>1586</v>
      </c>
      <c r="C216" t="s">
        <v>919</v>
      </c>
      <c r="D216" t="s">
        <v>945</v>
      </c>
      <c r="E216">
        <v>85</v>
      </c>
    </row>
    <row r="217" spans="1:5" x14ac:dyDescent="0.3">
      <c r="A217" t="s">
        <v>1585</v>
      </c>
      <c r="B217" t="s">
        <v>1586</v>
      </c>
      <c r="C217" t="s">
        <v>919</v>
      </c>
      <c r="D217" t="s">
        <v>946</v>
      </c>
      <c r="E217">
        <v>85</v>
      </c>
    </row>
    <row r="218" spans="1:5" x14ac:dyDescent="0.3">
      <c r="A218" t="s">
        <v>1585</v>
      </c>
      <c r="B218" t="s">
        <v>1586</v>
      </c>
      <c r="C218" t="s">
        <v>919</v>
      </c>
      <c r="D218" t="s">
        <v>947</v>
      </c>
      <c r="E218">
        <v>85</v>
      </c>
    </row>
    <row r="219" spans="1:5" x14ac:dyDescent="0.3">
      <c r="A219" t="s">
        <v>1585</v>
      </c>
      <c r="B219" t="s">
        <v>1586</v>
      </c>
      <c r="C219" t="s">
        <v>919</v>
      </c>
      <c r="D219" t="s">
        <v>948</v>
      </c>
      <c r="E219">
        <v>85</v>
      </c>
    </row>
    <row r="220" spans="1:5" x14ac:dyDescent="0.3">
      <c r="A220" t="s">
        <v>1585</v>
      </c>
      <c r="B220" t="s">
        <v>1586</v>
      </c>
      <c r="C220" t="s">
        <v>919</v>
      </c>
      <c r="D220" t="s">
        <v>949</v>
      </c>
      <c r="E220">
        <v>85</v>
      </c>
    </row>
    <row r="221" spans="1:5" x14ac:dyDescent="0.3">
      <c r="A221" t="s">
        <v>1585</v>
      </c>
      <c r="B221" t="s">
        <v>1586</v>
      </c>
      <c r="C221" t="s">
        <v>919</v>
      </c>
      <c r="D221" t="s">
        <v>950</v>
      </c>
      <c r="E221">
        <v>85</v>
      </c>
    </row>
    <row r="222" spans="1:5" x14ac:dyDescent="0.3">
      <c r="A222" t="s">
        <v>1585</v>
      </c>
      <c r="B222" t="s">
        <v>1586</v>
      </c>
      <c r="C222" t="s">
        <v>919</v>
      </c>
      <c r="D222" t="s">
        <v>951</v>
      </c>
      <c r="E222">
        <v>85</v>
      </c>
    </row>
    <row r="223" spans="1:5" x14ac:dyDescent="0.3">
      <c r="A223" t="s">
        <v>1585</v>
      </c>
      <c r="B223" t="s">
        <v>1586</v>
      </c>
      <c r="C223" t="s">
        <v>919</v>
      </c>
      <c r="D223" t="s">
        <v>952</v>
      </c>
      <c r="E223">
        <v>85</v>
      </c>
    </row>
    <row r="224" spans="1:5" x14ac:dyDescent="0.3">
      <c r="A224" t="s">
        <v>1585</v>
      </c>
      <c r="B224" t="s">
        <v>1586</v>
      </c>
      <c r="C224" t="s">
        <v>919</v>
      </c>
      <c r="D224" t="s">
        <v>953</v>
      </c>
      <c r="E224">
        <v>85</v>
      </c>
    </row>
    <row r="225" spans="1:5" x14ac:dyDescent="0.3">
      <c r="A225" t="s">
        <v>1585</v>
      </c>
      <c r="B225" t="s">
        <v>1586</v>
      </c>
      <c r="C225" t="s">
        <v>919</v>
      </c>
      <c r="D225" t="s">
        <v>954</v>
      </c>
      <c r="E225">
        <v>85</v>
      </c>
    </row>
    <row r="226" spans="1:5" x14ac:dyDescent="0.3">
      <c r="A226" t="s">
        <v>1585</v>
      </c>
      <c r="B226" t="s">
        <v>1586</v>
      </c>
      <c r="C226" t="s">
        <v>919</v>
      </c>
      <c r="D226" t="s">
        <v>955</v>
      </c>
      <c r="E226">
        <v>85</v>
      </c>
    </row>
    <row r="227" spans="1:5" x14ac:dyDescent="0.3">
      <c r="A227" t="s">
        <v>1585</v>
      </c>
      <c r="B227" t="s">
        <v>1586</v>
      </c>
      <c r="C227" t="s">
        <v>919</v>
      </c>
      <c r="D227" t="s">
        <v>956</v>
      </c>
      <c r="E227">
        <v>85</v>
      </c>
    </row>
    <row r="228" spans="1:5" x14ac:dyDescent="0.3">
      <c r="A228" t="s">
        <v>1585</v>
      </c>
      <c r="B228" t="s">
        <v>1586</v>
      </c>
      <c r="C228" t="s">
        <v>919</v>
      </c>
      <c r="D228" t="s">
        <v>957</v>
      </c>
      <c r="E228">
        <v>85</v>
      </c>
    </row>
    <row r="229" spans="1:5" x14ac:dyDescent="0.3">
      <c r="A229" t="s">
        <v>1585</v>
      </c>
      <c r="B229" t="s">
        <v>1586</v>
      </c>
      <c r="C229" t="s">
        <v>919</v>
      </c>
      <c r="D229" t="s">
        <v>958</v>
      </c>
      <c r="E229">
        <v>85</v>
      </c>
    </row>
    <row r="230" spans="1:5" x14ac:dyDescent="0.3">
      <c r="A230" t="s">
        <v>1585</v>
      </c>
      <c r="B230" t="s">
        <v>1586</v>
      </c>
      <c r="C230" t="s">
        <v>919</v>
      </c>
      <c r="D230" t="s">
        <v>959</v>
      </c>
      <c r="E230">
        <v>85</v>
      </c>
    </row>
    <row r="231" spans="1:5" x14ac:dyDescent="0.3">
      <c r="A231" t="s">
        <v>1585</v>
      </c>
      <c r="B231" t="s">
        <v>1586</v>
      </c>
      <c r="C231" t="s">
        <v>919</v>
      </c>
      <c r="D231" t="s">
        <v>960</v>
      </c>
      <c r="E231">
        <v>85</v>
      </c>
    </row>
    <row r="232" spans="1:5" x14ac:dyDescent="0.3">
      <c r="A232" t="s">
        <v>1585</v>
      </c>
      <c r="B232" t="s">
        <v>1586</v>
      </c>
      <c r="C232" t="s">
        <v>919</v>
      </c>
      <c r="D232" t="s">
        <v>961</v>
      </c>
      <c r="E232">
        <v>85</v>
      </c>
    </row>
    <row r="233" spans="1:5" x14ac:dyDescent="0.3">
      <c r="A233" t="s">
        <v>1585</v>
      </c>
      <c r="B233" t="s">
        <v>1586</v>
      </c>
      <c r="C233" t="s">
        <v>919</v>
      </c>
      <c r="D233" t="s">
        <v>962</v>
      </c>
      <c r="E233">
        <v>85</v>
      </c>
    </row>
    <row r="234" spans="1:5" x14ac:dyDescent="0.3">
      <c r="A234" t="s">
        <v>1585</v>
      </c>
      <c r="B234" t="s">
        <v>1586</v>
      </c>
      <c r="C234" t="s">
        <v>919</v>
      </c>
      <c r="D234" t="s">
        <v>963</v>
      </c>
      <c r="E234">
        <v>85</v>
      </c>
    </row>
    <row r="235" spans="1:5" x14ac:dyDescent="0.3">
      <c r="A235" t="s">
        <v>1585</v>
      </c>
      <c r="B235" t="s">
        <v>1586</v>
      </c>
      <c r="C235" t="s">
        <v>919</v>
      </c>
      <c r="D235" t="s">
        <v>964</v>
      </c>
      <c r="E235">
        <v>85</v>
      </c>
    </row>
    <row r="236" spans="1:5" x14ac:dyDescent="0.3">
      <c r="A236" t="s">
        <v>1585</v>
      </c>
      <c r="B236" t="s">
        <v>1586</v>
      </c>
      <c r="C236" t="s">
        <v>919</v>
      </c>
      <c r="D236" t="s">
        <v>965</v>
      </c>
      <c r="E236">
        <v>85</v>
      </c>
    </row>
    <row r="237" spans="1:5" x14ac:dyDescent="0.3">
      <c r="A237" t="s">
        <v>1585</v>
      </c>
      <c r="B237" t="s">
        <v>1586</v>
      </c>
      <c r="C237" t="s">
        <v>919</v>
      </c>
      <c r="D237" t="s">
        <v>966</v>
      </c>
      <c r="E237">
        <v>85</v>
      </c>
    </row>
    <row r="238" spans="1:5" x14ac:dyDescent="0.3">
      <c r="A238" t="s">
        <v>1585</v>
      </c>
      <c r="B238" t="s">
        <v>1586</v>
      </c>
      <c r="C238" t="s">
        <v>919</v>
      </c>
      <c r="D238" t="s">
        <v>967</v>
      </c>
      <c r="E238">
        <v>85</v>
      </c>
    </row>
    <row r="239" spans="1:5" x14ac:dyDescent="0.3">
      <c r="A239" t="s">
        <v>1585</v>
      </c>
      <c r="B239" t="s">
        <v>1586</v>
      </c>
      <c r="C239" t="s">
        <v>919</v>
      </c>
      <c r="D239" t="s">
        <v>968</v>
      </c>
      <c r="E239">
        <v>85</v>
      </c>
    </row>
    <row r="240" spans="1:5" x14ac:dyDescent="0.3">
      <c r="A240" t="s">
        <v>1585</v>
      </c>
      <c r="B240" t="s">
        <v>1586</v>
      </c>
      <c r="C240" t="s">
        <v>919</v>
      </c>
      <c r="D240" t="s">
        <v>969</v>
      </c>
      <c r="E240">
        <v>85</v>
      </c>
    </row>
    <row r="241" spans="1:5" x14ac:dyDescent="0.3">
      <c r="A241" t="s">
        <v>1585</v>
      </c>
      <c r="B241" t="s">
        <v>1586</v>
      </c>
      <c r="C241" t="s">
        <v>919</v>
      </c>
      <c r="D241" t="s">
        <v>970</v>
      </c>
      <c r="E241">
        <v>85</v>
      </c>
    </row>
    <row r="242" spans="1:5" x14ac:dyDescent="0.3">
      <c r="A242" t="s">
        <v>1585</v>
      </c>
      <c r="B242" t="s">
        <v>1586</v>
      </c>
      <c r="C242" t="s">
        <v>919</v>
      </c>
      <c r="D242" t="s">
        <v>971</v>
      </c>
      <c r="E242">
        <v>85</v>
      </c>
    </row>
    <row r="243" spans="1:5" x14ac:dyDescent="0.3">
      <c r="A243" t="s">
        <v>1585</v>
      </c>
      <c r="B243" t="s">
        <v>1586</v>
      </c>
      <c r="C243" t="s">
        <v>919</v>
      </c>
      <c r="D243" t="s">
        <v>972</v>
      </c>
      <c r="E243">
        <v>85</v>
      </c>
    </row>
    <row r="244" spans="1:5" x14ac:dyDescent="0.3">
      <c r="A244" t="s">
        <v>1585</v>
      </c>
      <c r="B244" t="s">
        <v>1586</v>
      </c>
      <c r="C244" t="s">
        <v>919</v>
      </c>
      <c r="D244" t="s">
        <v>973</v>
      </c>
      <c r="E244">
        <v>85</v>
      </c>
    </row>
    <row r="245" spans="1:5" x14ac:dyDescent="0.3">
      <c r="A245" t="s">
        <v>1585</v>
      </c>
      <c r="B245" t="s">
        <v>1586</v>
      </c>
      <c r="C245" t="s">
        <v>919</v>
      </c>
      <c r="D245" t="s">
        <v>974</v>
      </c>
      <c r="E245">
        <v>85</v>
      </c>
    </row>
    <row r="246" spans="1:5" x14ac:dyDescent="0.3">
      <c r="A246" t="s">
        <v>1585</v>
      </c>
      <c r="B246" t="s">
        <v>1586</v>
      </c>
      <c r="C246" t="s">
        <v>919</v>
      </c>
      <c r="D246" t="s">
        <v>975</v>
      </c>
      <c r="E246">
        <v>85</v>
      </c>
    </row>
    <row r="247" spans="1:5" x14ac:dyDescent="0.3">
      <c r="A247" t="s">
        <v>1585</v>
      </c>
      <c r="B247" t="s">
        <v>1586</v>
      </c>
      <c r="C247" t="s">
        <v>919</v>
      </c>
      <c r="D247" t="s">
        <v>976</v>
      </c>
      <c r="E247">
        <v>85</v>
      </c>
    </row>
    <row r="248" spans="1:5" x14ac:dyDescent="0.3">
      <c r="A248" t="s">
        <v>1585</v>
      </c>
      <c r="B248" t="s">
        <v>1586</v>
      </c>
      <c r="C248" t="s">
        <v>1034</v>
      </c>
      <c r="D248" t="s">
        <v>1035</v>
      </c>
      <c r="E248">
        <v>85</v>
      </c>
    </row>
    <row r="249" spans="1:5" x14ac:dyDescent="0.3">
      <c r="A249" t="s">
        <v>1585</v>
      </c>
      <c r="B249" t="s">
        <v>1586</v>
      </c>
      <c r="C249" t="s">
        <v>1034</v>
      </c>
      <c r="D249" t="s">
        <v>1036</v>
      </c>
      <c r="E249">
        <v>85</v>
      </c>
    </row>
    <row r="250" spans="1:5" x14ac:dyDescent="0.3">
      <c r="A250" t="s">
        <v>1585</v>
      </c>
      <c r="B250" t="s">
        <v>1586</v>
      </c>
      <c r="C250" t="s">
        <v>1034</v>
      </c>
      <c r="D250" t="s">
        <v>1037</v>
      </c>
      <c r="E250">
        <v>85</v>
      </c>
    </row>
    <row r="251" spans="1:5" x14ac:dyDescent="0.3">
      <c r="A251" t="s">
        <v>1585</v>
      </c>
      <c r="B251" t="s">
        <v>1586</v>
      </c>
      <c r="C251" t="s">
        <v>1034</v>
      </c>
      <c r="D251" t="s">
        <v>1038</v>
      </c>
      <c r="E251">
        <v>85</v>
      </c>
    </row>
    <row r="252" spans="1:5" x14ac:dyDescent="0.3">
      <c r="A252" t="s">
        <v>1585</v>
      </c>
      <c r="B252" t="s">
        <v>1586</v>
      </c>
      <c r="C252" t="s">
        <v>1034</v>
      </c>
      <c r="D252" t="s">
        <v>1039</v>
      </c>
      <c r="E252">
        <v>85</v>
      </c>
    </row>
    <row r="253" spans="1:5" x14ac:dyDescent="0.3">
      <c r="A253" t="s">
        <v>1585</v>
      </c>
      <c r="B253" t="s">
        <v>1586</v>
      </c>
      <c r="C253" t="s">
        <v>1034</v>
      </c>
      <c r="D253" t="s">
        <v>1040</v>
      </c>
      <c r="E253">
        <v>85</v>
      </c>
    </row>
    <row r="254" spans="1:5" x14ac:dyDescent="0.3">
      <c r="A254" t="s">
        <v>1585</v>
      </c>
      <c r="B254" t="s">
        <v>1586</v>
      </c>
      <c r="C254" t="s">
        <v>1034</v>
      </c>
      <c r="D254" t="s">
        <v>1041</v>
      </c>
      <c r="E254">
        <v>85</v>
      </c>
    </row>
    <row r="255" spans="1:5" x14ac:dyDescent="0.3">
      <c r="A255" t="s">
        <v>1585</v>
      </c>
      <c r="B255" t="s">
        <v>1586</v>
      </c>
      <c r="C255" t="s">
        <v>1034</v>
      </c>
      <c r="D255" t="s">
        <v>1043</v>
      </c>
      <c r="E255">
        <v>85</v>
      </c>
    </row>
    <row r="256" spans="1:5" x14ac:dyDescent="0.3">
      <c r="A256" t="s">
        <v>1585</v>
      </c>
      <c r="B256" t="s">
        <v>1586</v>
      </c>
      <c r="C256" t="s">
        <v>1034</v>
      </c>
      <c r="D256" t="s">
        <v>1044</v>
      </c>
      <c r="E256">
        <v>85</v>
      </c>
    </row>
    <row r="257" spans="1:5" x14ac:dyDescent="0.3">
      <c r="A257" t="s">
        <v>1585</v>
      </c>
      <c r="B257" t="s">
        <v>1586</v>
      </c>
      <c r="C257" t="s">
        <v>1034</v>
      </c>
      <c r="D257" t="s">
        <v>1045</v>
      </c>
      <c r="E257">
        <v>85</v>
      </c>
    </row>
    <row r="258" spans="1:5" x14ac:dyDescent="0.3">
      <c r="A258" t="s">
        <v>1585</v>
      </c>
      <c r="B258" t="s">
        <v>1586</v>
      </c>
      <c r="C258" t="s">
        <v>1034</v>
      </c>
      <c r="D258" t="s">
        <v>1046</v>
      </c>
      <c r="E258">
        <v>85</v>
      </c>
    </row>
    <row r="259" spans="1:5" x14ac:dyDescent="0.3">
      <c r="A259" t="s">
        <v>1585</v>
      </c>
      <c r="B259" t="s">
        <v>1586</v>
      </c>
      <c r="C259" t="s">
        <v>1034</v>
      </c>
      <c r="D259" t="s">
        <v>1047</v>
      </c>
      <c r="E259">
        <v>85</v>
      </c>
    </row>
    <row r="260" spans="1:5" x14ac:dyDescent="0.3">
      <c r="A260" t="s">
        <v>1585</v>
      </c>
      <c r="B260" t="s">
        <v>1586</v>
      </c>
      <c r="C260" t="s">
        <v>1034</v>
      </c>
      <c r="D260" t="s">
        <v>1048</v>
      </c>
      <c r="E260">
        <v>85</v>
      </c>
    </row>
    <row r="261" spans="1:5" x14ac:dyDescent="0.3">
      <c r="A261" t="s">
        <v>1585</v>
      </c>
      <c r="B261" t="s">
        <v>1586</v>
      </c>
      <c r="C261" t="s">
        <v>1034</v>
      </c>
      <c r="D261" t="s">
        <v>1049</v>
      </c>
      <c r="E261">
        <v>85</v>
      </c>
    </row>
    <row r="262" spans="1:5" x14ac:dyDescent="0.3">
      <c r="A262" t="s">
        <v>1585</v>
      </c>
      <c r="B262" t="s">
        <v>1586</v>
      </c>
      <c r="C262" t="s">
        <v>1034</v>
      </c>
      <c r="D262" t="s">
        <v>1050</v>
      </c>
      <c r="E262">
        <v>85</v>
      </c>
    </row>
    <row r="263" spans="1:5" x14ac:dyDescent="0.3">
      <c r="A263" t="s">
        <v>1585</v>
      </c>
      <c r="B263" t="s">
        <v>1586</v>
      </c>
      <c r="C263" t="s">
        <v>1034</v>
      </c>
      <c r="D263" t="s">
        <v>1051</v>
      </c>
      <c r="E263">
        <v>85</v>
      </c>
    </row>
    <row r="264" spans="1:5" x14ac:dyDescent="0.3">
      <c r="A264" t="s">
        <v>1585</v>
      </c>
      <c r="B264" t="s">
        <v>1586</v>
      </c>
      <c r="C264" t="s">
        <v>1034</v>
      </c>
      <c r="D264" t="s">
        <v>1052</v>
      </c>
      <c r="E264">
        <v>85</v>
      </c>
    </row>
    <row r="265" spans="1:5" x14ac:dyDescent="0.3">
      <c r="A265" t="s">
        <v>1585</v>
      </c>
      <c r="B265" t="s">
        <v>1586</v>
      </c>
      <c r="C265" t="s">
        <v>1034</v>
      </c>
      <c r="D265" t="s">
        <v>1053</v>
      </c>
      <c r="E265">
        <v>85</v>
      </c>
    </row>
    <row r="266" spans="1:5" x14ac:dyDescent="0.3">
      <c r="A266" t="s">
        <v>1585</v>
      </c>
      <c r="B266" t="s">
        <v>1586</v>
      </c>
      <c r="C266" t="s">
        <v>1034</v>
      </c>
      <c r="D266" t="s">
        <v>1054</v>
      </c>
      <c r="E266">
        <v>85</v>
      </c>
    </row>
    <row r="267" spans="1:5" x14ac:dyDescent="0.3">
      <c r="A267" t="s">
        <v>1585</v>
      </c>
      <c r="B267" t="s">
        <v>1586</v>
      </c>
      <c r="C267" t="s">
        <v>1034</v>
      </c>
      <c r="D267" t="s">
        <v>1055</v>
      </c>
      <c r="E267">
        <v>85</v>
      </c>
    </row>
    <row r="268" spans="1:5" x14ac:dyDescent="0.3">
      <c r="A268" t="s">
        <v>1585</v>
      </c>
      <c r="B268" t="s">
        <v>1586</v>
      </c>
      <c r="C268" t="s">
        <v>1034</v>
      </c>
      <c r="D268" t="s">
        <v>1056</v>
      </c>
      <c r="E268">
        <v>85</v>
      </c>
    </row>
    <row r="269" spans="1:5" x14ac:dyDescent="0.3">
      <c r="A269" t="s">
        <v>1587</v>
      </c>
      <c r="B269" t="s">
        <v>1588</v>
      </c>
      <c r="C269" t="s">
        <v>755</v>
      </c>
      <c r="D269" t="s">
        <v>756</v>
      </c>
      <c r="E269">
        <v>90</v>
      </c>
    </row>
    <row r="270" spans="1:5" x14ac:dyDescent="0.3">
      <c r="A270" t="s">
        <v>1587</v>
      </c>
      <c r="B270" t="s">
        <v>1588</v>
      </c>
      <c r="C270" t="s">
        <v>755</v>
      </c>
      <c r="D270" t="s">
        <v>757</v>
      </c>
      <c r="E270">
        <v>100</v>
      </c>
    </row>
    <row r="271" spans="1:5" x14ac:dyDescent="0.3">
      <c r="A271" t="s">
        <v>1587</v>
      </c>
      <c r="B271" t="s">
        <v>1588</v>
      </c>
      <c r="C271" t="s">
        <v>755</v>
      </c>
      <c r="D271" t="s">
        <v>758</v>
      </c>
      <c r="E271">
        <v>190</v>
      </c>
    </row>
    <row r="272" spans="1:5" x14ac:dyDescent="0.3">
      <c r="A272" t="s">
        <v>1587</v>
      </c>
      <c r="B272" t="s">
        <v>1588</v>
      </c>
      <c r="C272" t="s">
        <v>755</v>
      </c>
      <c r="D272" t="s">
        <v>759</v>
      </c>
      <c r="E272">
        <v>220</v>
      </c>
    </row>
    <row r="273" spans="1:5" x14ac:dyDescent="0.3">
      <c r="A273" t="s">
        <v>1587</v>
      </c>
      <c r="B273" t="s">
        <v>1588</v>
      </c>
      <c r="C273" t="s">
        <v>755</v>
      </c>
      <c r="D273" t="s">
        <v>760</v>
      </c>
      <c r="E273">
        <v>275</v>
      </c>
    </row>
    <row r="274" spans="1:5" x14ac:dyDescent="0.3">
      <c r="A274" t="s">
        <v>1587</v>
      </c>
      <c r="B274" t="s">
        <v>1588</v>
      </c>
      <c r="C274" t="s">
        <v>755</v>
      </c>
      <c r="D274" t="s">
        <v>761</v>
      </c>
      <c r="E274">
        <v>240</v>
      </c>
    </row>
    <row r="275" spans="1:5" x14ac:dyDescent="0.3">
      <c r="A275" t="s">
        <v>1587</v>
      </c>
      <c r="B275" t="s">
        <v>1588</v>
      </c>
      <c r="C275" t="s">
        <v>755</v>
      </c>
      <c r="D275" t="s">
        <v>762</v>
      </c>
      <c r="E275">
        <v>320</v>
      </c>
    </row>
    <row r="276" spans="1:5" x14ac:dyDescent="0.3">
      <c r="A276" t="s">
        <v>1587</v>
      </c>
      <c r="B276" t="s">
        <v>1588</v>
      </c>
      <c r="C276" t="s">
        <v>755</v>
      </c>
      <c r="D276" t="s">
        <v>763</v>
      </c>
      <c r="E276">
        <v>345</v>
      </c>
    </row>
    <row r="277" spans="1:5" x14ac:dyDescent="0.3">
      <c r="A277" t="s">
        <v>1587</v>
      </c>
      <c r="B277" t="s">
        <v>1588</v>
      </c>
      <c r="C277" t="s">
        <v>755</v>
      </c>
      <c r="D277" t="s">
        <v>764</v>
      </c>
      <c r="E277">
        <v>425</v>
      </c>
    </row>
    <row r="278" spans="1:5" x14ac:dyDescent="0.3">
      <c r="A278" t="s">
        <v>1917</v>
      </c>
      <c r="B278" t="s">
        <v>1589</v>
      </c>
      <c r="C278" t="s">
        <v>843</v>
      </c>
      <c r="D278" t="s">
        <v>799</v>
      </c>
      <c r="E278">
        <v>56.95</v>
      </c>
    </row>
    <row r="279" spans="1:5" x14ac:dyDescent="0.3">
      <c r="A279" t="s">
        <v>1917</v>
      </c>
      <c r="B279" t="s">
        <v>1589</v>
      </c>
      <c r="C279" t="s">
        <v>843</v>
      </c>
      <c r="D279" t="s">
        <v>800</v>
      </c>
      <c r="E279">
        <v>83.19</v>
      </c>
    </row>
    <row r="280" spans="1:5" x14ac:dyDescent="0.3">
      <c r="A280" t="s">
        <v>1917</v>
      </c>
      <c r="B280" t="s">
        <v>1589</v>
      </c>
      <c r="C280" t="s">
        <v>843</v>
      </c>
      <c r="D280" t="s">
        <v>786</v>
      </c>
      <c r="E280">
        <v>116.24</v>
      </c>
    </row>
    <row r="281" spans="1:5" x14ac:dyDescent="0.3">
      <c r="A281" t="s">
        <v>1917</v>
      </c>
      <c r="B281" t="s">
        <v>1589</v>
      </c>
      <c r="C281" t="s">
        <v>843</v>
      </c>
      <c r="D281" t="s">
        <v>801</v>
      </c>
      <c r="E281">
        <v>116.24</v>
      </c>
    </row>
    <row r="282" spans="1:5" x14ac:dyDescent="0.3">
      <c r="A282" t="s">
        <v>1917</v>
      </c>
      <c r="B282" t="s">
        <v>1589</v>
      </c>
      <c r="C282" t="s">
        <v>843</v>
      </c>
      <c r="D282" t="s">
        <v>787</v>
      </c>
      <c r="E282">
        <v>173.93</v>
      </c>
    </row>
    <row r="283" spans="1:5" x14ac:dyDescent="0.3">
      <c r="A283" t="s">
        <v>1917</v>
      </c>
      <c r="B283" t="s">
        <v>1589</v>
      </c>
      <c r="C283" t="s">
        <v>843</v>
      </c>
      <c r="D283" t="s">
        <v>802</v>
      </c>
      <c r="E283">
        <v>173.93</v>
      </c>
    </row>
    <row r="284" spans="1:5" x14ac:dyDescent="0.3">
      <c r="A284" t="s">
        <v>1917</v>
      </c>
      <c r="B284" t="s">
        <v>1589</v>
      </c>
      <c r="C284" t="s">
        <v>843</v>
      </c>
      <c r="D284" t="s">
        <v>788</v>
      </c>
      <c r="E284">
        <v>260.20999999999998</v>
      </c>
    </row>
    <row r="285" spans="1:5" x14ac:dyDescent="0.3">
      <c r="A285" t="s">
        <v>1917</v>
      </c>
      <c r="B285" t="s">
        <v>1589</v>
      </c>
      <c r="C285" t="s">
        <v>843</v>
      </c>
      <c r="D285" t="s">
        <v>803</v>
      </c>
      <c r="E285">
        <v>260.20999999999998</v>
      </c>
    </row>
    <row r="286" spans="1:5" x14ac:dyDescent="0.3">
      <c r="A286" t="s">
        <v>1917</v>
      </c>
      <c r="B286" t="s">
        <v>1589</v>
      </c>
      <c r="C286" t="s">
        <v>846</v>
      </c>
      <c r="D286" t="s">
        <v>799</v>
      </c>
      <c r="E286">
        <v>56.95</v>
      </c>
    </row>
    <row r="287" spans="1:5" x14ac:dyDescent="0.3">
      <c r="A287" t="s">
        <v>1917</v>
      </c>
      <c r="B287" t="s">
        <v>1589</v>
      </c>
      <c r="C287" t="s">
        <v>846</v>
      </c>
      <c r="D287" t="s">
        <v>800</v>
      </c>
      <c r="E287">
        <v>83.19</v>
      </c>
    </row>
    <row r="288" spans="1:5" x14ac:dyDescent="0.3">
      <c r="A288" t="s">
        <v>1917</v>
      </c>
      <c r="B288" t="s">
        <v>1589</v>
      </c>
      <c r="C288" t="s">
        <v>846</v>
      </c>
      <c r="D288" t="s">
        <v>786</v>
      </c>
      <c r="E288">
        <v>116.24</v>
      </c>
    </row>
    <row r="289" spans="1:5" x14ac:dyDescent="0.3">
      <c r="A289" t="s">
        <v>1917</v>
      </c>
      <c r="B289" t="s">
        <v>1589</v>
      </c>
      <c r="C289" t="s">
        <v>846</v>
      </c>
      <c r="D289" t="s">
        <v>801</v>
      </c>
      <c r="E289">
        <v>116.24</v>
      </c>
    </row>
    <row r="290" spans="1:5" x14ac:dyDescent="0.3">
      <c r="A290" t="s">
        <v>1917</v>
      </c>
      <c r="B290" t="s">
        <v>1589</v>
      </c>
      <c r="C290" t="s">
        <v>846</v>
      </c>
      <c r="D290" t="s">
        <v>787</v>
      </c>
      <c r="E290">
        <v>173.93</v>
      </c>
    </row>
    <row r="291" spans="1:5" x14ac:dyDescent="0.3">
      <c r="A291" t="s">
        <v>1917</v>
      </c>
      <c r="B291" t="s">
        <v>1589</v>
      </c>
      <c r="C291" t="s">
        <v>846</v>
      </c>
      <c r="D291" t="s">
        <v>802</v>
      </c>
      <c r="E291">
        <v>173.93</v>
      </c>
    </row>
    <row r="292" spans="1:5" x14ac:dyDescent="0.3">
      <c r="A292" t="s">
        <v>1917</v>
      </c>
      <c r="B292" t="s">
        <v>1589</v>
      </c>
      <c r="C292" t="s">
        <v>846</v>
      </c>
      <c r="D292" t="s">
        <v>788</v>
      </c>
      <c r="E292">
        <v>260.20999999999998</v>
      </c>
    </row>
    <row r="293" spans="1:5" x14ac:dyDescent="0.3">
      <c r="A293" t="s">
        <v>1917</v>
      </c>
      <c r="B293" t="s">
        <v>1589</v>
      </c>
      <c r="C293" t="s">
        <v>846</v>
      </c>
      <c r="D293" t="s">
        <v>803</v>
      </c>
      <c r="E293">
        <v>260.20999999999998</v>
      </c>
    </row>
    <row r="294" spans="1:5" x14ac:dyDescent="0.3">
      <c r="A294" t="s">
        <v>1917</v>
      </c>
      <c r="B294" t="s">
        <v>1589</v>
      </c>
      <c r="C294" t="s">
        <v>847</v>
      </c>
      <c r="D294" t="s">
        <v>848</v>
      </c>
      <c r="E294">
        <v>358.38</v>
      </c>
    </row>
    <row r="295" spans="1:5" x14ac:dyDescent="0.3">
      <c r="A295" t="s">
        <v>1917</v>
      </c>
      <c r="B295" t="s">
        <v>1589</v>
      </c>
      <c r="C295" t="s">
        <v>847</v>
      </c>
      <c r="D295" t="s">
        <v>849</v>
      </c>
      <c r="E295">
        <v>358.38</v>
      </c>
    </row>
    <row r="296" spans="1:5" x14ac:dyDescent="0.3">
      <c r="A296" t="s">
        <v>1917</v>
      </c>
      <c r="B296" t="s">
        <v>1589</v>
      </c>
      <c r="C296" t="s">
        <v>847</v>
      </c>
      <c r="D296" t="s">
        <v>850</v>
      </c>
      <c r="E296">
        <v>358.38</v>
      </c>
    </row>
    <row r="297" spans="1:5" x14ac:dyDescent="0.3">
      <c r="A297" t="s">
        <v>1917</v>
      </c>
      <c r="B297" t="s">
        <v>1589</v>
      </c>
      <c r="C297" t="s">
        <v>847</v>
      </c>
      <c r="D297" t="s">
        <v>851</v>
      </c>
      <c r="E297">
        <v>358.38</v>
      </c>
    </row>
    <row r="298" spans="1:5" x14ac:dyDescent="0.3">
      <c r="A298" t="s">
        <v>1917</v>
      </c>
      <c r="B298" t="s">
        <v>1589</v>
      </c>
      <c r="C298" t="s">
        <v>847</v>
      </c>
      <c r="D298" t="s">
        <v>852</v>
      </c>
      <c r="E298">
        <v>358.38</v>
      </c>
    </row>
    <row r="299" spans="1:5" x14ac:dyDescent="0.3">
      <c r="A299" t="s">
        <v>1917</v>
      </c>
      <c r="B299" t="s">
        <v>1589</v>
      </c>
      <c r="C299" t="s">
        <v>847</v>
      </c>
      <c r="D299" t="s">
        <v>853</v>
      </c>
      <c r="E299">
        <v>358.38</v>
      </c>
    </row>
    <row r="300" spans="1:5" x14ac:dyDescent="0.3">
      <c r="A300" t="s">
        <v>1917</v>
      </c>
      <c r="B300" t="s">
        <v>1589</v>
      </c>
      <c r="C300" t="s">
        <v>847</v>
      </c>
      <c r="D300" t="s">
        <v>854</v>
      </c>
      <c r="E300">
        <v>358.38</v>
      </c>
    </row>
    <row r="301" spans="1:5" x14ac:dyDescent="0.3">
      <c r="A301" t="s">
        <v>1917</v>
      </c>
      <c r="B301" t="s">
        <v>1589</v>
      </c>
      <c r="C301" t="s">
        <v>847</v>
      </c>
      <c r="D301" t="s">
        <v>855</v>
      </c>
      <c r="E301">
        <v>358.38</v>
      </c>
    </row>
    <row r="302" spans="1:5" x14ac:dyDescent="0.3">
      <c r="A302" t="s">
        <v>1917</v>
      </c>
      <c r="B302" t="s">
        <v>1589</v>
      </c>
      <c r="C302" t="s">
        <v>847</v>
      </c>
      <c r="D302" t="s">
        <v>856</v>
      </c>
      <c r="E302">
        <v>358.38</v>
      </c>
    </row>
    <row r="303" spans="1:5" x14ac:dyDescent="0.3">
      <c r="A303" t="s">
        <v>1917</v>
      </c>
      <c r="B303" t="s">
        <v>1589</v>
      </c>
      <c r="C303" t="s">
        <v>847</v>
      </c>
      <c r="D303" t="s">
        <v>857</v>
      </c>
      <c r="E303">
        <v>358.38</v>
      </c>
    </row>
    <row r="304" spans="1:5" x14ac:dyDescent="0.3">
      <c r="A304" t="s">
        <v>1590</v>
      </c>
      <c r="B304" t="s">
        <v>1591</v>
      </c>
      <c r="C304" t="s">
        <v>755</v>
      </c>
      <c r="D304" t="s">
        <v>756</v>
      </c>
      <c r="E304">
        <v>85</v>
      </c>
    </row>
    <row r="305" spans="1:5" x14ac:dyDescent="0.3">
      <c r="A305" t="s">
        <v>1590</v>
      </c>
      <c r="B305" t="s">
        <v>1591</v>
      </c>
      <c r="C305" t="s">
        <v>755</v>
      </c>
      <c r="D305" t="s">
        <v>757</v>
      </c>
      <c r="E305">
        <v>132</v>
      </c>
    </row>
    <row r="306" spans="1:5" x14ac:dyDescent="0.3">
      <c r="A306" t="s">
        <v>1590</v>
      </c>
      <c r="B306" t="s">
        <v>1591</v>
      </c>
      <c r="C306" t="s">
        <v>755</v>
      </c>
      <c r="D306" t="s">
        <v>758</v>
      </c>
      <c r="E306">
        <v>157</v>
      </c>
    </row>
    <row r="307" spans="1:5" x14ac:dyDescent="0.3">
      <c r="A307" t="s">
        <v>1590</v>
      </c>
      <c r="B307" t="s">
        <v>1591</v>
      </c>
      <c r="C307" t="s">
        <v>755</v>
      </c>
      <c r="D307" t="s">
        <v>759</v>
      </c>
      <c r="E307">
        <v>179</v>
      </c>
    </row>
    <row r="308" spans="1:5" x14ac:dyDescent="0.3">
      <c r="A308" t="s">
        <v>1590</v>
      </c>
      <c r="B308" t="s">
        <v>1591</v>
      </c>
      <c r="C308" t="s">
        <v>755</v>
      </c>
      <c r="D308" t="s">
        <v>760</v>
      </c>
      <c r="E308">
        <v>212</v>
      </c>
    </row>
    <row r="309" spans="1:5" x14ac:dyDescent="0.3">
      <c r="A309" t="s">
        <v>1590</v>
      </c>
      <c r="B309" t="s">
        <v>1591</v>
      </c>
      <c r="C309" t="s">
        <v>755</v>
      </c>
      <c r="D309" t="s">
        <v>761</v>
      </c>
      <c r="E309">
        <v>233</v>
      </c>
    </row>
    <row r="310" spans="1:5" x14ac:dyDescent="0.3">
      <c r="A310" t="s">
        <v>1590</v>
      </c>
      <c r="B310" t="s">
        <v>1591</v>
      </c>
      <c r="C310" t="s">
        <v>755</v>
      </c>
      <c r="D310" t="s">
        <v>762</v>
      </c>
      <c r="E310">
        <v>240</v>
      </c>
    </row>
    <row r="311" spans="1:5" x14ac:dyDescent="0.3">
      <c r="A311" t="s">
        <v>1590</v>
      </c>
      <c r="B311" t="s">
        <v>1591</v>
      </c>
      <c r="C311" t="s">
        <v>755</v>
      </c>
      <c r="D311" t="s">
        <v>763</v>
      </c>
      <c r="E311">
        <v>260</v>
      </c>
    </row>
    <row r="312" spans="1:5" x14ac:dyDescent="0.3">
      <c r="A312" t="s">
        <v>1590</v>
      </c>
      <c r="B312" t="s">
        <v>1591</v>
      </c>
      <c r="C312" t="s">
        <v>755</v>
      </c>
      <c r="D312" t="s">
        <v>764</v>
      </c>
      <c r="E312">
        <v>276</v>
      </c>
    </row>
    <row r="313" spans="1:5" x14ac:dyDescent="0.3">
      <c r="A313" t="s">
        <v>1590</v>
      </c>
      <c r="B313" t="s">
        <v>1591</v>
      </c>
      <c r="C313" t="s">
        <v>843</v>
      </c>
      <c r="D313" t="s">
        <v>799</v>
      </c>
      <c r="E313">
        <v>157</v>
      </c>
    </row>
    <row r="314" spans="1:5" x14ac:dyDescent="0.3">
      <c r="A314" t="s">
        <v>1590</v>
      </c>
      <c r="B314" t="s">
        <v>1591</v>
      </c>
      <c r="C314" t="s">
        <v>843</v>
      </c>
      <c r="D314" t="s">
        <v>800</v>
      </c>
      <c r="E314">
        <v>179</v>
      </c>
    </row>
    <row r="315" spans="1:5" x14ac:dyDescent="0.3">
      <c r="A315" t="s">
        <v>1590</v>
      </c>
      <c r="B315" t="s">
        <v>1591</v>
      </c>
      <c r="C315" t="s">
        <v>843</v>
      </c>
      <c r="D315" t="s">
        <v>786</v>
      </c>
      <c r="E315">
        <v>212</v>
      </c>
    </row>
    <row r="316" spans="1:5" x14ac:dyDescent="0.3">
      <c r="A316" t="s">
        <v>1590</v>
      </c>
      <c r="B316" t="s">
        <v>1591</v>
      </c>
      <c r="C316" t="s">
        <v>843</v>
      </c>
      <c r="D316" t="s">
        <v>801</v>
      </c>
      <c r="E316">
        <v>212</v>
      </c>
    </row>
    <row r="317" spans="1:5" x14ac:dyDescent="0.3">
      <c r="A317" t="s">
        <v>1590</v>
      </c>
      <c r="B317" t="s">
        <v>1591</v>
      </c>
      <c r="C317" t="s">
        <v>843</v>
      </c>
      <c r="D317" t="s">
        <v>787</v>
      </c>
      <c r="E317">
        <v>233</v>
      </c>
    </row>
    <row r="318" spans="1:5" x14ac:dyDescent="0.3">
      <c r="A318" t="s">
        <v>1590</v>
      </c>
      <c r="B318" t="s">
        <v>1591</v>
      </c>
      <c r="C318" t="s">
        <v>843</v>
      </c>
      <c r="D318" t="s">
        <v>802</v>
      </c>
      <c r="E318">
        <v>233</v>
      </c>
    </row>
    <row r="319" spans="1:5" x14ac:dyDescent="0.3">
      <c r="A319" t="s">
        <v>1590</v>
      </c>
      <c r="B319" t="s">
        <v>1591</v>
      </c>
      <c r="C319" t="s">
        <v>843</v>
      </c>
      <c r="D319" t="s">
        <v>788</v>
      </c>
      <c r="E319">
        <v>240</v>
      </c>
    </row>
    <row r="320" spans="1:5" x14ac:dyDescent="0.3">
      <c r="A320" t="s">
        <v>1590</v>
      </c>
      <c r="B320" t="s">
        <v>1591</v>
      </c>
      <c r="C320" t="s">
        <v>843</v>
      </c>
      <c r="D320" t="s">
        <v>803</v>
      </c>
      <c r="E320">
        <v>240</v>
      </c>
    </row>
    <row r="321" spans="1:5" x14ac:dyDescent="0.3">
      <c r="A321" t="s">
        <v>1590</v>
      </c>
      <c r="B321" t="s">
        <v>1591</v>
      </c>
      <c r="C321" t="s">
        <v>846</v>
      </c>
      <c r="D321" t="s">
        <v>799</v>
      </c>
      <c r="E321">
        <v>157</v>
      </c>
    </row>
    <row r="322" spans="1:5" x14ac:dyDescent="0.3">
      <c r="A322" t="s">
        <v>1590</v>
      </c>
      <c r="B322" t="s">
        <v>1591</v>
      </c>
      <c r="C322" t="s">
        <v>846</v>
      </c>
      <c r="D322" t="s">
        <v>800</v>
      </c>
      <c r="E322">
        <v>179</v>
      </c>
    </row>
    <row r="323" spans="1:5" x14ac:dyDescent="0.3">
      <c r="A323" t="s">
        <v>1590</v>
      </c>
      <c r="B323" t="s">
        <v>1591</v>
      </c>
      <c r="C323" t="s">
        <v>846</v>
      </c>
      <c r="D323" t="s">
        <v>786</v>
      </c>
      <c r="E323">
        <v>212</v>
      </c>
    </row>
    <row r="324" spans="1:5" x14ac:dyDescent="0.3">
      <c r="A324" t="s">
        <v>1590</v>
      </c>
      <c r="B324" t="s">
        <v>1591</v>
      </c>
      <c r="C324" t="s">
        <v>846</v>
      </c>
      <c r="D324" t="s">
        <v>801</v>
      </c>
      <c r="E324">
        <v>212</v>
      </c>
    </row>
    <row r="325" spans="1:5" x14ac:dyDescent="0.3">
      <c r="A325" t="s">
        <v>1590</v>
      </c>
      <c r="B325" t="s">
        <v>1591</v>
      </c>
      <c r="C325" t="s">
        <v>846</v>
      </c>
      <c r="D325" t="s">
        <v>787</v>
      </c>
      <c r="E325">
        <v>233</v>
      </c>
    </row>
    <row r="326" spans="1:5" x14ac:dyDescent="0.3">
      <c r="A326" t="s">
        <v>1590</v>
      </c>
      <c r="B326" t="s">
        <v>1591</v>
      </c>
      <c r="C326" t="s">
        <v>846</v>
      </c>
      <c r="D326" t="s">
        <v>802</v>
      </c>
      <c r="E326">
        <v>233</v>
      </c>
    </row>
    <row r="327" spans="1:5" x14ac:dyDescent="0.3">
      <c r="A327" t="s">
        <v>1590</v>
      </c>
      <c r="B327" t="s">
        <v>1591</v>
      </c>
      <c r="C327" t="s">
        <v>846</v>
      </c>
      <c r="D327" t="s">
        <v>788</v>
      </c>
      <c r="E327">
        <v>240</v>
      </c>
    </row>
    <row r="328" spans="1:5" x14ac:dyDescent="0.3">
      <c r="A328" t="s">
        <v>1590</v>
      </c>
      <c r="B328" t="s">
        <v>1591</v>
      </c>
      <c r="C328" t="s">
        <v>846</v>
      </c>
      <c r="D328" t="s">
        <v>803</v>
      </c>
      <c r="E328">
        <v>240</v>
      </c>
    </row>
    <row r="329" spans="1:5" x14ac:dyDescent="0.3">
      <c r="A329" t="s">
        <v>1590</v>
      </c>
      <c r="B329" t="s">
        <v>1591</v>
      </c>
      <c r="C329" t="s">
        <v>847</v>
      </c>
      <c r="D329" t="s">
        <v>848</v>
      </c>
      <c r="E329">
        <v>260</v>
      </c>
    </row>
    <row r="330" spans="1:5" x14ac:dyDescent="0.3">
      <c r="A330" t="s">
        <v>1590</v>
      </c>
      <c r="B330" t="s">
        <v>1591</v>
      </c>
      <c r="C330" t="s">
        <v>847</v>
      </c>
      <c r="D330" t="s">
        <v>849</v>
      </c>
      <c r="E330">
        <v>276</v>
      </c>
    </row>
    <row r="331" spans="1:5" x14ac:dyDescent="0.3">
      <c r="A331" t="s">
        <v>1590</v>
      </c>
      <c r="B331" t="s">
        <v>1591</v>
      </c>
      <c r="C331" t="s">
        <v>847</v>
      </c>
      <c r="D331" t="s">
        <v>850</v>
      </c>
      <c r="E331">
        <v>276</v>
      </c>
    </row>
    <row r="332" spans="1:5" x14ac:dyDescent="0.3">
      <c r="A332" t="s">
        <v>1590</v>
      </c>
      <c r="B332" t="s">
        <v>1591</v>
      </c>
      <c r="C332" t="s">
        <v>847</v>
      </c>
      <c r="D332" t="s">
        <v>851</v>
      </c>
      <c r="E332">
        <v>276</v>
      </c>
    </row>
    <row r="333" spans="1:5" x14ac:dyDescent="0.3">
      <c r="A333" t="s">
        <v>1590</v>
      </c>
      <c r="B333" t="s">
        <v>1591</v>
      </c>
      <c r="C333" t="s">
        <v>847</v>
      </c>
      <c r="D333" t="s">
        <v>852</v>
      </c>
      <c r="E333">
        <v>276</v>
      </c>
    </row>
    <row r="334" spans="1:5" x14ac:dyDescent="0.3">
      <c r="A334" t="s">
        <v>1590</v>
      </c>
      <c r="B334" t="s">
        <v>1591</v>
      </c>
      <c r="C334" t="s">
        <v>847</v>
      </c>
      <c r="D334" t="s">
        <v>853</v>
      </c>
      <c r="E334">
        <v>276</v>
      </c>
    </row>
    <row r="335" spans="1:5" x14ac:dyDescent="0.3">
      <c r="A335" t="s">
        <v>1590</v>
      </c>
      <c r="B335" t="s">
        <v>1591</v>
      </c>
      <c r="C335" t="s">
        <v>847</v>
      </c>
      <c r="D335" t="s">
        <v>854</v>
      </c>
      <c r="E335">
        <v>276</v>
      </c>
    </row>
    <row r="336" spans="1:5" x14ac:dyDescent="0.3">
      <c r="A336" t="s">
        <v>1590</v>
      </c>
      <c r="B336" t="s">
        <v>1591</v>
      </c>
      <c r="C336" t="s">
        <v>847</v>
      </c>
      <c r="D336" t="s">
        <v>855</v>
      </c>
      <c r="E336">
        <v>276</v>
      </c>
    </row>
    <row r="337" spans="1:5" x14ac:dyDescent="0.3">
      <c r="A337" t="s">
        <v>1590</v>
      </c>
      <c r="B337" t="s">
        <v>1591</v>
      </c>
      <c r="C337" t="s">
        <v>847</v>
      </c>
      <c r="D337" t="s">
        <v>856</v>
      </c>
      <c r="E337">
        <v>276</v>
      </c>
    </row>
    <row r="338" spans="1:5" x14ac:dyDescent="0.3">
      <c r="A338" t="s">
        <v>1590</v>
      </c>
      <c r="B338" t="s">
        <v>1591</v>
      </c>
      <c r="C338" t="s">
        <v>847</v>
      </c>
      <c r="D338" t="s">
        <v>857</v>
      </c>
      <c r="E338">
        <v>276</v>
      </c>
    </row>
    <row r="339" spans="1:5" x14ac:dyDescent="0.3">
      <c r="A339" t="s">
        <v>1592</v>
      </c>
      <c r="B339" t="s">
        <v>1593</v>
      </c>
      <c r="C339" t="s">
        <v>843</v>
      </c>
      <c r="D339" t="s">
        <v>799</v>
      </c>
      <c r="E339">
        <v>175</v>
      </c>
    </row>
    <row r="340" spans="1:5" x14ac:dyDescent="0.3">
      <c r="A340" t="s">
        <v>1592</v>
      </c>
      <c r="B340" t="s">
        <v>1593</v>
      </c>
      <c r="C340" t="s">
        <v>843</v>
      </c>
      <c r="D340" t="s">
        <v>800</v>
      </c>
      <c r="E340">
        <v>200</v>
      </c>
    </row>
    <row r="341" spans="1:5" x14ac:dyDescent="0.3">
      <c r="A341" t="s">
        <v>1592</v>
      </c>
      <c r="B341" t="s">
        <v>1593</v>
      </c>
      <c r="C341" t="s">
        <v>843</v>
      </c>
      <c r="D341" t="s">
        <v>786</v>
      </c>
      <c r="E341">
        <v>250</v>
      </c>
    </row>
    <row r="342" spans="1:5" x14ac:dyDescent="0.3">
      <c r="A342" t="s">
        <v>1592</v>
      </c>
      <c r="B342" t="s">
        <v>1593</v>
      </c>
      <c r="C342" t="s">
        <v>843</v>
      </c>
      <c r="D342" t="s">
        <v>801</v>
      </c>
      <c r="E342">
        <v>250</v>
      </c>
    </row>
    <row r="343" spans="1:5" x14ac:dyDescent="0.3">
      <c r="A343" t="s">
        <v>1592</v>
      </c>
      <c r="B343" t="s">
        <v>1593</v>
      </c>
      <c r="C343" t="s">
        <v>843</v>
      </c>
      <c r="D343" t="s">
        <v>787</v>
      </c>
      <c r="E343">
        <v>295</v>
      </c>
    </row>
    <row r="344" spans="1:5" x14ac:dyDescent="0.3">
      <c r="A344" t="s">
        <v>1592</v>
      </c>
      <c r="B344" t="s">
        <v>1593</v>
      </c>
      <c r="C344" t="s">
        <v>843</v>
      </c>
      <c r="D344" t="s">
        <v>802</v>
      </c>
      <c r="E344">
        <v>295</v>
      </c>
    </row>
    <row r="345" spans="1:5" x14ac:dyDescent="0.3">
      <c r="A345" t="s">
        <v>1592</v>
      </c>
      <c r="B345" t="s">
        <v>1593</v>
      </c>
      <c r="C345" t="s">
        <v>843</v>
      </c>
      <c r="D345" t="s">
        <v>788</v>
      </c>
      <c r="E345">
        <v>315</v>
      </c>
    </row>
    <row r="346" spans="1:5" x14ac:dyDescent="0.3">
      <c r="A346" t="s">
        <v>1592</v>
      </c>
      <c r="B346" t="s">
        <v>1593</v>
      </c>
      <c r="C346" t="s">
        <v>843</v>
      </c>
      <c r="D346" t="s">
        <v>803</v>
      </c>
      <c r="E346">
        <v>315</v>
      </c>
    </row>
    <row r="347" spans="1:5" x14ac:dyDescent="0.3">
      <c r="A347" t="s">
        <v>1592</v>
      </c>
      <c r="B347" t="s">
        <v>1593</v>
      </c>
      <c r="C347" t="s">
        <v>846</v>
      </c>
      <c r="D347" t="s">
        <v>799</v>
      </c>
      <c r="E347">
        <v>175</v>
      </c>
    </row>
    <row r="348" spans="1:5" x14ac:dyDescent="0.3">
      <c r="A348" t="s">
        <v>1592</v>
      </c>
      <c r="B348" t="s">
        <v>1593</v>
      </c>
      <c r="C348" t="s">
        <v>846</v>
      </c>
      <c r="D348" t="s">
        <v>800</v>
      </c>
      <c r="E348">
        <v>200</v>
      </c>
    </row>
    <row r="349" spans="1:5" x14ac:dyDescent="0.3">
      <c r="A349" t="s">
        <v>1592</v>
      </c>
      <c r="B349" t="s">
        <v>1593</v>
      </c>
      <c r="C349" t="s">
        <v>846</v>
      </c>
      <c r="D349" t="s">
        <v>786</v>
      </c>
      <c r="E349">
        <v>250</v>
      </c>
    </row>
    <row r="350" spans="1:5" x14ac:dyDescent="0.3">
      <c r="A350" t="s">
        <v>1592</v>
      </c>
      <c r="B350" t="s">
        <v>1593</v>
      </c>
      <c r="C350" t="s">
        <v>846</v>
      </c>
      <c r="D350" t="s">
        <v>801</v>
      </c>
      <c r="E350">
        <v>250</v>
      </c>
    </row>
    <row r="351" spans="1:5" x14ac:dyDescent="0.3">
      <c r="A351" t="s">
        <v>1592</v>
      </c>
      <c r="B351" t="s">
        <v>1593</v>
      </c>
      <c r="C351" t="s">
        <v>846</v>
      </c>
      <c r="D351" t="s">
        <v>787</v>
      </c>
      <c r="E351">
        <v>295</v>
      </c>
    </row>
    <row r="352" spans="1:5" x14ac:dyDescent="0.3">
      <c r="A352" t="s">
        <v>1592</v>
      </c>
      <c r="B352" t="s">
        <v>1593</v>
      </c>
      <c r="C352" t="s">
        <v>846</v>
      </c>
      <c r="D352" t="s">
        <v>802</v>
      </c>
      <c r="E352">
        <v>295</v>
      </c>
    </row>
    <row r="353" spans="1:5" x14ac:dyDescent="0.3">
      <c r="A353" t="s">
        <v>1592</v>
      </c>
      <c r="B353" t="s">
        <v>1593</v>
      </c>
      <c r="C353" t="s">
        <v>846</v>
      </c>
      <c r="D353" t="s">
        <v>788</v>
      </c>
      <c r="E353">
        <v>315</v>
      </c>
    </row>
    <row r="354" spans="1:5" x14ac:dyDescent="0.3">
      <c r="A354" t="s">
        <v>1592</v>
      </c>
      <c r="B354" t="s">
        <v>1593</v>
      </c>
      <c r="C354" t="s">
        <v>846</v>
      </c>
      <c r="D354" t="s">
        <v>803</v>
      </c>
      <c r="E354">
        <v>315</v>
      </c>
    </row>
    <row r="355" spans="1:5" x14ac:dyDescent="0.3">
      <c r="A355" t="s">
        <v>1592</v>
      </c>
      <c r="B355" t="s">
        <v>1593</v>
      </c>
      <c r="C355" t="s">
        <v>847</v>
      </c>
      <c r="D355" t="s">
        <v>848</v>
      </c>
      <c r="E355">
        <v>350</v>
      </c>
    </row>
    <row r="356" spans="1:5" x14ac:dyDescent="0.3">
      <c r="A356" t="s">
        <v>1592</v>
      </c>
      <c r="B356" t="s">
        <v>1593</v>
      </c>
      <c r="C356" t="s">
        <v>847</v>
      </c>
      <c r="D356" t="s">
        <v>849</v>
      </c>
      <c r="E356">
        <v>350</v>
      </c>
    </row>
    <row r="357" spans="1:5" x14ac:dyDescent="0.3">
      <c r="A357" t="s">
        <v>1592</v>
      </c>
      <c r="B357" t="s">
        <v>1593</v>
      </c>
      <c r="C357" t="s">
        <v>847</v>
      </c>
      <c r="D357" t="s">
        <v>850</v>
      </c>
      <c r="E357">
        <v>350</v>
      </c>
    </row>
    <row r="358" spans="1:5" x14ac:dyDescent="0.3">
      <c r="A358" t="s">
        <v>1592</v>
      </c>
      <c r="B358" t="s">
        <v>1593</v>
      </c>
      <c r="C358" t="s">
        <v>847</v>
      </c>
      <c r="D358" t="s">
        <v>851</v>
      </c>
      <c r="E358">
        <v>350</v>
      </c>
    </row>
    <row r="359" spans="1:5" x14ac:dyDescent="0.3">
      <c r="A359" t="s">
        <v>1592</v>
      </c>
      <c r="B359" t="s">
        <v>1593</v>
      </c>
      <c r="C359" t="s">
        <v>847</v>
      </c>
      <c r="D359" t="s">
        <v>852</v>
      </c>
      <c r="E359">
        <v>350</v>
      </c>
    </row>
    <row r="360" spans="1:5" x14ac:dyDescent="0.3">
      <c r="A360" t="s">
        <v>1592</v>
      </c>
      <c r="B360" t="s">
        <v>1593</v>
      </c>
      <c r="C360" t="s">
        <v>847</v>
      </c>
      <c r="D360" t="s">
        <v>853</v>
      </c>
      <c r="E360">
        <v>350</v>
      </c>
    </row>
    <row r="361" spans="1:5" x14ac:dyDescent="0.3">
      <c r="A361" t="s">
        <v>1592</v>
      </c>
      <c r="B361" t="s">
        <v>1593</v>
      </c>
      <c r="C361" t="s">
        <v>847</v>
      </c>
      <c r="D361" t="s">
        <v>854</v>
      </c>
      <c r="E361">
        <v>350</v>
      </c>
    </row>
    <row r="362" spans="1:5" x14ac:dyDescent="0.3">
      <c r="A362" t="s">
        <v>1592</v>
      </c>
      <c r="B362" t="s">
        <v>1593</v>
      </c>
      <c r="C362" t="s">
        <v>847</v>
      </c>
      <c r="D362" t="s">
        <v>855</v>
      </c>
      <c r="E362">
        <v>350</v>
      </c>
    </row>
    <row r="363" spans="1:5" x14ac:dyDescent="0.3">
      <c r="A363" t="s">
        <v>1592</v>
      </c>
      <c r="B363" t="s">
        <v>1593</v>
      </c>
      <c r="C363" t="s">
        <v>847</v>
      </c>
      <c r="D363" t="s">
        <v>856</v>
      </c>
      <c r="E363">
        <v>350</v>
      </c>
    </row>
    <row r="364" spans="1:5" x14ac:dyDescent="0.3">
      <c r="A364" t="s">
        <v>1592</v>
      </c>
      <c r="B364" t="s">
        <v>1593</v>
      </c>
      <c r="C364" t="s">
        <v>847</v>
      </c>
      <c r="D364" t="s">
        <v>857</v>
      </c>
      <c r="E364">
        <v>350</v>
      </c>
    </row>
    <row r="365" spans="1:5" x14ac:dyDescent="0.3">
      <c r="A365" t="s">
        <v>1594</v>
      </c>
      <c r="B365" t="s">
        <v>1595</v>
      </c>
      <c r="C365" t="s">
        <v>755</v>
      </c>
      <c r="D365" t="s">
        <v>756</v>
      </c>
      <c r="E365">
        <v>81</v>
      </c>
    </row>
    <row r="366" spans="1:5" x14ac:dyDescent="0.3">
      <c r="A366" t="s">
        <v>1594</v>
      </c>
      <c r="B366" t="s">
        <v>1595</v>
      </c>
      <c r="C366" t="s">
        <v>755</v>
      </c>
      <c r="D366" t="s">
        <v>757</v>
      </c>
      <c r="E366">
        <v>171</v>
      </c>
    </row>
    <row r="367" spans="1:5" x14ac:dyDescent="0.3">
      <c r="A367" t="s">
        <v>1594</v>
      </c>
      <c r="B367" t="s">
        <v>1595</v>
      </c>
      <c r="C367" t="s">
        <v>755</v>
      </c>
      <c r="D367" t="s">
        <v>758</v>
      </c>
      <c r="E367">
        <v>189</v>
      </c>
    </row>
    <row r="368" spans="1:5" x14ac:dyDescent="0.3">
      <c r="A368" t="s">
        <v>1594</v>
      </c>
      <c r="B368" t="s">
        <v>1595</v>
      </c>
      <c r="C368" t="s">
        <v>755</v>
      </c>
      <c r="D368" t="s">
        <v>759</v>
      </c>
      <c r="E368">
        <v>216</v>
      </c>
    </row>
    <row r="369" spans="1:5" x14ac:dyDescent="0.3">
      <c r="A369" t="s">
        <v>1594</v>
      </c>
      <c r="B369" t="s">
        <v>1595</v>
      </c>
      <c r="C369" t="s">
        <v>755</v>
      </c>
      <c r="D369" t="s">
        <v>760</v>
      </c>
      <c r="E369">
        <v>243</v>
      </c>
    </row>
    <row r="370" spans="1:5" x14ac:dyDescent="0.3">
      <c r="A370" t="s">
        <v>1594</v>
      </c>
      <c r="B370" t="s">
        <v>1595</v>
      </c>
      <c r="C370" t="s">
        <v>755</v>
      </c>
      <c r="D370" t="s">
        <v>761</v>
      </c>
      <c r="E370">
        <v>270</v>
      </c>
    </row>
    <row r="371" spans="1:5" x14ac:dyDescent="0.3">
      <c r="A371" t="s">
        <v>1594</v>
      </c>
      <c r="B371" t="s">
        <v>1595</v>
      </c>
      <c r="C371" t="s">
        <v>755</v>
      </c>
      <c r="D371" t="s">
        <v>762</v>
      </c>
      <c r="E371">
        <v>297</v>
      </c>
    </row>
    <row r="372" spans="1:5" x14ac:dyDescent="0.3">
      <c r="A372" t="s">
        <v>1594</v>
      </c>
      <c r="B372" t="s">
        <v>1595</v>
      </c>
      <c r="C372" t="s">
        <v>755</v>
      </c>
      <c r="D372" t="s">
        <v>763</v>
      </c>
      <c r="E372">
        <v>324</v>
      </c>
    </row>
    <row r="373" spans="1:5" x14ac:dyDescent="0.3">
      <c r="A373" t="s">
        <v>1594</v>
      </c>
      <c r="B373" t="s">
        <v>1595</v>
      </c>
      <c r="C373" t="s">
        <v>755</v>
      </c>
      <c r="D373" t="s">
        <v>764</v>
      </c>
      <c r="E373">
        <v>342</v>
      </c>
    </row>
    <row r="374" spans="1:5" x14ac:dyDescent="0.3">
      <c r="A374" t="s">
        <v>1594</v>
      </c>
      <c r="B374" t="s">
        <v>1595</v>
      </c>
      <c r="C374" t="s">
        <v>755</v>
      </c>
      <c r="D374" t="s">
        <v>765</v>
      </c>
      <c r="E374">
        <v>383</v>
      </c>
    </row>
    <row r="375" spans="1:5" x14ac:dyDescent="0.3">
      <c r="A375" t="s">
        <v>1596</v>
      </c>
      <c r="B375" t="s">
        <v>1597</v>
      </c>
      <c r="C375" t="s">
        <v>843</v>
      </c>
      <c r="D375" t="s">
        <v>799</v>
      </c>
      <c r="E375">
        <v>166</v>
      </c>
    </row>
    <row r="376" spans="1:5" x14ac:dyDescent="0.3">
      <c r="A376" t="s">
        <v>1596</v>
      </c>
      <c r="B376" t="s">
        <v>1597</v>
      </c>
      <c r="C376" t="s">
        <v>843</v>
      </c>
      <c r="D376" t="s">
        <v>800</v>
      </c>
      <c r="E376">
        <v>192</v>
      </c>
    </row>
    <row r="377" spans="1:5" x14ac:dyDescent="0.3">
      <c r="A377" t="s">
        <v>1596</v>
      </c>
      <c r="B377" t="s">
        <v>1597</v>
      </c>
      <c r="C377" t="s">
        <v>843</v>
      </c>
      <c r="D377" t="s">
        <v>786</v>
      </c>
      <c r="E377">
        <v>240</v>
      </c>
    </row>
    <row r="378" spans="1:5" x14ac:dyDescent="0.3">
      <c r="A378" t="s">
        <v>1596</v>
      </c>
      <c r="B378" t="s">
        <v>1597</v>
      </c>
      <c r="C378" t="s">
        <v>843</v>
      </c>
      <c r="D378" t="s">
        <v>801</v>
      </c>
      <c r="E378">
        <v>240</v>
      </c>
    </row>
    <row r="379" spans="1:5" x14ac:dyDescent="0.3">
      <c r="A379" t="s">
        <v>1596</v>
      </c>
      <c r="B379" t="s">
        <v>1597</v>
      </c>
      <c r="C379" t="s">
        <v>843</v>
      </c>
      <c r="D379" t="s">
        <v>787</v>
      </c>
      <c r="E379">
        <v>279</v>
      </c>
    </row>
    <row r="380" spans="1:5" x14ac:dyDescent="0.3">
      <c r="A380" t="s">
        <v>1596</v>
      </c>
      <c r="B380" t="s">
        <v>1597</v>
      </c>
      <c r="C380" t="s">
        <v>843</v>
      </c>
      <c r="D380" t="s">
        <v>802</v>
      </c>
      <c r="E380">
        <v>279</v>
      </c>
    </row>
    <row r="381" spans="1:5" x14ac:dyDescent="0.3">
      <c r="A381" t="s">
        <v>1596</v>
      </c>
      <c r="B381" t="s">
        <v>1597</v>
      </c>
      <c r="C381" t="s">
        <v>843</v>
      </c>
      <c r="D381" t="s">
        <v>788</v>
      </c>
      <c r="E381">
        <v>300</v>
      </c>
    </row>
    <row r="382" spans="1:5" x14ac:dyDescent="0.3">
      <c r="A382" t="s">
        <v>1596</v>
      </c>
      <c r="B382" t="s">
        <v>1597</v>
      </c>
      <c r="C382" t="s">
        <v>843</v>
      </c>
      <c r="D382" t="s">
        <v>803</v>
      </c>
      <c r="E382">
        <v>300</v>
      </c>
    </row>
    <row r="383" spans="1:5" x14ac:dyDescent="0.3">
      <c r="A383" t="s">
        <v>1596</v>
      </c>
      <c r="B383" t="s">
        <v>1597</v>
      </c>
      <c r="C383" t="s">
        <v>846</v>
      </c>
      <c r="D383" t="s">
        <v>799</v>
      </c>
      <c r="E383">
        <v>166</v>
      </c>
    </row>
    <row r="384" spans="1:5" x14ac:dyDescent="0.3">
      <c r="A384" t="s">
        <v>1596</v>
      </c>
      <c r="B384" t="s">
        <v>1597</v>
      </c>
      <c r="C384" t="s">
        <v>846</v>
      </c>
      <c r="D384" t="s">
        <v>800</v>
      </c>
      <c r="E384">
        <v>192</v>
      </c>
    </row>
    <row r="385" spans="1:5" x14ac:dyDescent="0.3">
      <c r="A385" t="s">
        <v>1596</v>
      </c>
      <c r="B385" t="s">
        <v>1597</v>
      </c>
      <c r="C385" t="s">
        <v>846</v>
      </c>
      <c r="D385" t="s">
        <v>786</v>
      </c>
      <c r="E385">
        <v>240</v>
      </c>
    </row>
    <row r="386" spans="1:5" x14ac:dyDescent="0.3">
      <c r="A386" t="s">
        <v>1596</v>
      </c>
      <c r="B386" t="s">
        <v>1597</v>
      </c>
      <c r="C386" t="s">
        <v>846</v>
      </c>
      <c r="D386" t="s">
        <v>801</v>
      </c>
      <c r="E386">
        <v>240</v>
      </c>
    </row>
    <row r="387" spans="1:5" x14ac:dyDescent="0.3">
      <c r="A387" t="s">
        <v>1596</v>
      </c>
      <c r="B387" t="s">
        <v>1597</v>
      </c>
      <c r="C387" t="s">
        <v>846</v>
      </c>
      <c r="D387" t="s">
        <v>787</v>
      </c>
      <c r="E387">
        <v>279</v>
      </c>
    </row>
    <row r="388" spans="1:5" x14ac:dyDescent="0.3">
      <c r="A388" t="s">
        <v>1596</v>
      </c>
      <c r="B388" t="s">
        <v>1597</v>
      </c>
      <c r="C388" t="s">
        <v>846</v>
      </c>
      <c r="D388" t="s">
        <v>802</v>
      </c>
      <c r="E388">
        <v>279</v>
      </c>
    </row>
    <row r="389" spans="1:5" x14ac:dyDescent="0.3">
      <c r="A389" t="s">
        <v>1596</v>
      </c>
      <c r="B389" t="s">
        <v>1597</v>
      </c>
      <c r="C389" t="s">
        <v>846</v>
      </c>
      <c r="D389" t="s">
        <v>788</v>
      </c>
      <c r="E389">
        <v>300</v>
      </c>
    </row>
    <row r="390" spans="1:5" x14ac:dyDescent="0.3">
      <c r="A390" t="s">
        <v>1596</v>
      </c>
      <c r="B390" t="s">
        <v>1597</v>
      </c>
      <c r="C390" t="s">
        <v>846</v>
      </c>
      <c r="D390" t="s">
        <v>803</v>
      </c>
      <c r="E390">
        <v>300</v>
      </c>
    </row>
    <row r="391" spans="1:5" x14ac:dyDescent="0.3">
      <c r="A391" t="s">
        <v>1596</v>
      </c>
      <c r="B391" t="s">
        <v>1597</v>
      </c>
      <c r="C391" t="s">
        <v>847</v>
      </c>
      <c r="D391" t="s">
        <v>848</v>
      </c>
      <c r="E391">
        <v>375</v>
      </c>
    </row>
    <row r="392" spans="1:5" x14ac:dyDescent="0.3">
      <c r="A392" t="s">
        <v>1596</v>
      </c>
      <c r="B392" t="s">
        <v>1597</v>
      </c>
      <c r="C392" t="s">
        <v>847</v>
      </c>
      <c r="D392" t="s">
        <v>849</v>
      </c>
      <c r="E392">
        <v>375</v>
      </c>
    </row>
    <row r="393" spans="1:5" x14ac:dyDescent="0.3">
      <c r="A393" t="s">
        <v>1596</v>
      </c>
      <c r="B393" t="s">
        <v>1597</v>
      </c>
      <c r="C393" t="s">
        <v>847</v>
      </c>
      <c r="D393" t="s">
        <v>850</v>
      </c>
      <c r="E393">
        <v>375</v>
      </c>
    </row>
    <row r="394" spans="1:5" x14ac:dyDescent="0.3">
      <c r="A394" t="s">
        <v>1596</v>
      </c>
      <c r="B394" t="s">
        <v>1597</v>
      </c>
      <c r="C394" t="s">
        <v>847</v>
      </c>
      <c r="D394" t="s">
        <v>851</v>
      </c>
      <c r="E394">
        <v>375</v>
      </c>
    </row>
    <row r="395" spans="1:5" x14ac:dyDescent="0.3">
      <c r="A395" t="s">
        <v>1596</v>
      </c>
      <c r="B395" t="s">
        <v>1597</v>
      </c>
      <c r="C395" t="s">
        <v>847</v>
      </c>
      <c r="D395" t="s">
        <v>852</v>
      </c>
      <c r="E395">
        <v>375</v>
      </c>
    </row>
    <row r="396" spans="1:5" x14ac:dyDescent="0.3">
      <c r="A396" t="s">
        <v>1596</v>
      </c>
      <c r="B396" t="s">
        <v>1597</v>
      </c>
      <c r="C396" t="s">
        <v>847</v>
      </c>
      <c r="D396" t="s">
        <v>853</v>
      </c>
      <c r="E396">
        <v>375</v>
      </c>
    </row>
    <row r="397" spans="1:5" x14ac:dyDescent="0.3">
      <c r="A397" t="s">
        <v>1596</v>
      </c>
      <c r="B397" t="s">
        <v>1597</v>
      </c>
      <c r="C397" t="s">
        <v>847</v>
      </c>
      <c r="D397" t="s">
        <v>854</v>
      </c>
      <c r="E397">
        <v>375</v>
      </c>
    </row>
    <row r="398" spans="1:5" x14ac:dyDescent="0.3">
      <c r="A398" t="s">
        <v>1596</v>
      </c>
      <c r="B398" t="s">
        <v>1597</v>
      </c>
      <c r="C398" t="s">
        <v>847</v>
      </c>
      <c r="D398" t="s">
        <v>855</v>
      </c>
      <c r="E398">
        <v>375</v>
      </c>
    </row>
    <row r="399" spans="1:5" x14ac:dyDescent="0.3">
      <c r="A399" t="s">
        <v>1596</v>
      </c>
      <c r="B399" t="s">
        <v>1597</v>
      </c>
      <c r="C399" t="s">
        <v>847</v>
      </c>
      <c r="D399" t="s">
        <v>856</v>
      </c>
      <c r="E399">
        <v>375</v>
      </c>
    </row>
    <row r="400" spans="1:5" x14ac:dyDescent="0.3">
      <c r="A400" t="s">
        <v>1596</v>
      </c>
      <c r="B400" t="s">
        <v>1597</v>
      </c>
      <c r="C400" t="s">
        <v>847</v>
      </c>
      <c r="D400" t="s">
        <v>857</v>
      </c>
      <c r="E400">
        <v>375</v>
      </c>
    </row>
    <row r="401" spans="1:5" x14ac:dyDescent="0.3">
      <c r="A401" t="s">
        <v>1598</v>
      </c>
      <c r="B401" t="s">
        <v>1599</v>
      </c>
      <c r="C401" t="s">
        <v>843</v>
      </c>
      <c r="D401" t="s">
        <v>845</v>
      </c>
      <c r="E401">
        <v>45</v>
      </c>
    </row>
    <row r="402" spans="1:5" x14ac:dyDescent="0.3">
      <c r="A402" t="s">
        <v>1598</v>
      </c>
      <c r="B402" t="s">
        <v>1599</v>
      </c>
      <c r="C402" t="s">
        <v>843</v>
      </c>
      <c r="D402" t="s">
        <v>799</v>
      </c>
      <c r="E402">
        <v>146.30000000000001</v>
      </c>
    </row>
    <row r="403" spans="1:5" x14ac:dyDescent="0.3">
      <c r="A403" t="s">
        <v>1598</v>
      </c>
      <c r="B403" t="s">
        <v>1599</v>
      </c>
      <c r="C403" t="s">
        <v>843</v>
      </c>
      <c r="D403" t="s">
        <v>800</v>
      </c>
      <c r="E403">
        <v>157.5</v>
      </c>
    </row>
    <row r="404" spans="1:5" x14ac:dyDescent="0.3">
      <c r="A404" t="s">
        <v>1598</v>
      </c>
      <c r="B404" t="s">
        <v>1599</v>
      </c>
      <c r="C404" t="s">
        <v>843</v>
      </c>
      <c r="D404" t="s">
        <v>786</v>
      </c>
      <c r="E404">
        <v>203.04</v>
      </c>
    </row>
    <row r="405" spans="1:5" x14ac:dyDescent="0.3">
      <c r="A405" t="s">
        <v>1598</v>
      </c>
      <c r="B405" t="s">
        <v>1599</v>
      </c>
      <c r="C405" t="s">
        <v>843</v>
      </c>
      <c r="D405" t="s">
        <v>801</v>
      </c>
      <c r="E405">
        <v>203.04</v>
      </c>
    </row>
    <row r="406" spans="1:5" x14ac:dyDescent="0.3">
      <c r="A406" t="s">
        <v>1598</v>
      </c>
      <c r="B406" t="s">
        <v>1599</v>
      </c>
      <c r="C406" t="s">
        <v>843</v>
      </c>
      <c r="D406" t="s">
        <v>787</v>
      </c>
      <c r="E406">
        <v>231</v>
      </c>
    </row>
    <row r="407" spans="1:5" x14ac:dyDescent="0.3">
      <c r="A407" t="s">
        <v>1598</v>
      </c>
      <c r="B407" t="s">
        <v>1599</v>
      </c>
      <c r="C407" t="s">
        <v>843</v>
      </c>
      <c r="D407" t="s">
        <v>802</v>
      </c>
      <c r="E407">
        <v>231</v>
      </c>
    </row>
    <row r="408" spans="1:5" x14ac:dyDescent="0.3">
      <c r="A408" t="s">
        <v>1598</v>
      </c>
      <c r="B408" t="s">
        <v>1599</v>
      </c>
      <c r="C408" t="s">
        <v>846</v>
      </c>
      <c r="D408" t="s">
        <v>845</v>
      </c>
      <c r="E408">
        <v>45</v>
      </c>
    </row>
    <row r="409" spans="1:5" x14ac:dyDescent="0.3">
      <c r="A409" t="s">
        <v>1598</v>
      </c>
      <c r="B409" t="s">
        <v>1599</v>
      </c>
      <c r="C409" t="s">
        <v>846</v>
      </c>
      <c r="D409" t="s">
        <v>799</v>
      </c>
      <c r="E409">
        <v>146.30000000000001</v>
      </c>
    </row>
    <row r="410" spans="1:5" x14ac:dyDescent="0.3">
      <c r="A410" t="s">
        <v>1598</v>
      </c>
      <c r="B410" t="s">
        <v>1599</v>
      </c>
      <c r="C410" t="s">
        <v>846</v>
      </c>
      <c r="D410" t="s">
        <v>800</v>
      </c>
      <c r="E410">
        <v>157.5</v>
      </c>
    </row>
    <row r="411" spans="1:5" x14ac:dyDescent="0.3">
      <c r="A411" t="s">
        <v>1598</v>
      </c>
      <c r="B411" t="s">
        <v>1599</v>
      </c>
      <c r="C411" t="s">
        <v>846</v>
      </c>
      <c r="D411" t="s">
        <v>786</v>
      </c>
      <c r="E411">
        <v>203.04</v>
      </c>
    </row>
    <row r="412" spans="1:5" x14ac:dyDescent="0.3">
      <c r="A412" t="s">
        <v>1598</v>
      </c>
      <c r="B412" t="s">
        <v>1599</v>
      </c>
      <c r="C412" t="s">
        <v>846</v>
      </c>
      <c r="D412" t="s">
        <v>801</v>
      </c>
      <c r="E412">
        <v>203.04</v>
      </c>
    </row>
    <row r="413" spans="1:5" x14ac:dyDescent="0.3">
      <c r="A413" t="s">
        <v>1598</v>
      </c>
      <c r="B413" t="s">
        <v>1599</v>
      </c>
      <c r="C413" t="s">
        <v>846</v>
      </c>
      <c r="D413" t="s">
        <v>787</v>
      </c>
      <c r="E413">
        <v>231</v>
      </c>
    </row>
    <row r="414" spans="1:5" x14ac:dyDescent="0.3">
      <c r="A414" t="s">
        <v>1598</v>
      </c>
      <c r="B414" t="s">
        <v>1599</v>
      </c>
      <c r="C414" t="s">
        <v>846</v>
      </c>
      <c r="D414" t="s">
        <v>802</v>
      </c>
      <c r="E414">
        <v>231</v>
      </c>
    </row>
    <row r="415" spans="1:5" x14ac:dyDescent="0.3">
      <c r="A415" t="s">
        <v>1598</v>
      </c>
      <c r="B415" t="s">
        <v>1599</v>
      </c>
      <c r="C415" t="s">
        <v>847</v>
      </c>
      <c r="D415" t="s">
        <v>848</v>
      </c>
      <c r="E415">
        <v>298.14999999999998</v>
      </c>
    </row>
    <row r="416" spans="1:5" x14ac:dyDescent="0.3">
      <c r="A416" t="s">
        <v>1598</v>
      </c>
      <c r="B416" t="s">
        <v>1599</v>
      </c>
      <c r="C416" t="s">
        <v>847</v>
      </c>
      <c r="D416" t="s">
        <v>849</v>
      </c>
      <c r="E416">
        <v>298.14999999999998</v>
      </c>
    </row>
    <row r="417" spans="1:5" x14ac:dyDescent="0.3">
      <c r="A417" t="s">
        <v>1598</v>
      </c>
      <c r="B417" t="s">
        <v>1599</v>
      </c>
      <c r="C417" t="s">
        <v>847</v>
      </c>
      <c r="D417" t="s">
        <v>850</v>
      </c>
      <c r="E417">
        <v>298.14999999999998</v>
      </c>
    </row>
    <row r="418" spans="1:5" x14ac:dyDescent="0.3">
      <c r="A418" t="s">
        <v>1598</v>
      </c>
      <c r="B418" t="s">
        <v>1599</v>
      </c>
      <c r="C418" t="s">
        <v>847</v>
      </c>
      <c r="D418" t="s">
        <v>851</v>
      </c>
      <c r="E418">
        <v>298.14999999999998</v>
      </c>
    </row>
    <row r="419" spans="1:5" x14ac:dyDescent="0.3">
      <c r="A419" t="s">
        <v>1598</v>
      </c>
      <c r="B419" t="s">
        <v>1599</v>
      </c>
      <c r="C419" t="s">
        <v>847</v>
      </c>
      <c r="D419" t="s">
        <v>852</v>
      </c>
      <c r="E419">
        <v>298.14999999999998</v>
      </c>
    </row>
    <row r="420" spans="1:5" x14ac:dyDescent="0.3">
      <c r="A420" t="s">
        <v>1598</v>
      </c>
      <c r="B420" t="s">
        <v>1599</v>
      </c>
      <c r="C420" t="s">
        <v>847</v>
      </c>
      <c r="D420" t="s">
        <v>853</v>
      </c>
      <c r="E420">
        <v>298.14999999999998</v>
      </c>
    </row>
    <row r="421" spans="1:5" x14ac:dyDescent="0.3">
      <c r="A421" t="s">
        <v>1598</v>
      </c>
      <c r="B421" t="s">
        <v>1599</v>
      </c>
      <c r="C421" t="s">
        <v>847</v>
      </c>
      <c r="D421" t="s">
        <v>854</v>
      </c>
      <c r="E421">
        <v>298.14999999999998</v>
      </c>
    </row>
    <row r="422" spans="1:5" x14ac:dyDescent="0.3">
      <c r="A422" t="s">
        <v>1598</v>
      </c>
      <c r="B422" t="s">
        <v>1599</v>
      </c>
      <c r="C422" t="s">
        <v>847</v>
      </c>
      <c r="D422" t="s">
        <v>855</v>
      </c>
      <c r="E422">
        <v>298.14999999999998</v>
      </c>
    </row>
    <row r="423" spans="1:5" x14ac:dyDescent="0.3">
      <c r="A423" t="s">
        <v>1598</v>
      </c>
      <c r="B423" t="s">
        <v>1599</v>
      </c>
      <c r="C423" t="s">
        <v>847</v>
      </c>
      <c r="D423" t="s">
        <v>856</v>
      </c>
      <c r="E423">
        <v>298.14999999999998</v>
      </c>
    </row>
    <row r="424" spans="1:5" x14ac:dyDescent="0.3">
      <c r="A424" t="s">
        <v>1598</v>
      </c>
      <c r="B424" t="s">
        <v>1599</v>
      </c>
      <c r="C424" t="s">
        <v>847</v>
      </c>
      <c r="D424" t="s">
        <v>857</v>
      </c>
      <c r="E424">
        <v>298.14999999999998</v>
      </c>
    </row>
    <row r="425" spans="1:5" x14ac:dyDescent="0.3">
      <c r="A425" t="s">
        <v>1600</v>
      </c>
      <c r="B425" t="s">
        <v>1601</v>
      </c>
      <c r="C425" t="s">
        <v>843</v>
      </c>
      <c r="D425" t="s">
        <v>799</v>
      </c>
      <c r="E425">
        <v>145</v>
      </c>
    </row>
    <row r="426" spans="1:5" x14ac:dyDescent="0.3">
      <c r="A426" t="s">
        <v>1600</v>
      </c>
      <c r="B426" t="s">
        <v>1601</v>
      </c>
      <c r="C426" t="s">
        <v>843</v>
      </c>
      <c r="D426" t="s">
        <v>800</v>
      </c>
      <c r="E426">
        <v>175</v>
      </c>
    </row>
    <row r="427" spans="1:5" x14ac:dyDescent="0.3">
      <c r="A427" t="s">
        <v>1600</v>
      </c>
      <c r="B427" t="s">
        <v>1601</v>
      </c>
      <c r="C427" t="s">
        <v>843</v>
      </c>
      <c r="D427" t="s">
        <v>786</v>
      </c>
      <c r="E427">
        <v>215</v>
      </c>
    </row>
    <row r="428" spans="1:5" x14ac:dyDescent="0.3">
      <c r="A428" t="s">
        <v>1600</v>
      </c>
      <c r="B428" t="s">
        <v>1601</v>
      </c>
      <c r="C428" t="s">
        <v>843</v>
      </c>
      <c r="D428" t="s">
        <v>801</v>
      </c>
      <c r="E428">
        <v>215</v>
      </c>
    </row>
    <row r="429" spans="1:5" x14ac:dyDescent="0.3">
      <c r="A429" t="s">
        <v>1600</v>
      </c>
      <c r="B429" t="s">
        <v>1601</v>
      </c>
      <c r="C429" t="s">
        <v>843</v>
      </c>
      <c r="D429" t="s">
        <v>787</v>
      </c>
      <c r="E429">
        <v>245</v>
      </c>
    </row>
    <row r="430" spans="1:5" x14ac:dyDescent="0.3">
      <c r="A430" t="s">
        <v>1600</v>
      </c>
      <c r="B430" t="s">
        <v>1601</v>
      </c>
      <c r="C430" t="s">
        <v>843</v>
      </c>
      <c r="D430" t="s">
        <v>802</v>
      </c>
      <c r="E430">
        <v>245</v>
      </c>
    </row>
    <row r="431" spans="1:5" x14ac:dyDescent="0.3">
      <c r="A431" t="s">
        <v>1600</v>
      </c>
      <c r="B431" t="s">
        <v>1601</v>
      </c>
      <c r="C431" t="s">
        <v>843</v>
      </c>
      <c r="D431" t="s">
        <v>788</v>
      </c>
      <c r="E431">
        <v>280</v>
      </c>
    </row>
    <row r="432" spans="1:5" x14ac:dyDescent="0.3">
      <c r="A432" t="s">
        <v>1600</v>
      </c>
      <c r="B432" t="s">
        <v>1601</v>
      </c>
      <c r="C432" t="s">
        <v>843</v>
      </c>
      <c r="D432" t="s">
        <v>803</v>
      </c>
      <c r="E432">
        <v>280</v>
      </c>
    </row>
    <row r="433" spans="1:5" x14ac:dyDescent="0.3">
      <c r="A433" t="s">
        <v>1600</v>
      </c>
      <c r="B433" t="s">
        <v>1601</v>
      </c>
      <c r="C433" t="s">
        <v>846</v>
      </c>
      <c r="D433" t="s">
        <v>799</v>
      </c>
      <c r="E433">
        <v>145</v>
      </c>
    </row>
    <row r="434" spans="1:5" x14ac:dyDescent="0.3">
      <c r="A434" t="s">
        <v>1600</v>
      </c>
      <c r="B434" t="s">
        <v>1601</v>
      </c>
      <c r="C434" t="s">
        <v>846</v>
      </c>
      <c r="D434" t="s">
        <v>800</v>
      </c>
      <c r="E434">
        <v>175</v>
      </c>
    </row>
    <row r="435" spans="1:5" x14ac:dyDescent="0.3">
      <c r="A435" t="s">
        <v>1600</v>
      </c>
      <c r="B435" t="s">
        <v>1601</v>
      </c>
      <c r="C435" t="s">
        <v>846</v>
      </c>
      <c r="D435" t="s">
        <v>786</v>
      </c>
      <c r="E435">
        <v>215</v>
      </c>
    </row>
    <row r="436" spans="1:5" x14ac:dyDescent="0.3">
      <c r="A436" t="s">
        <v>1600</v>
      </c>
      <c r="B436" t="s">
        <v>1601</v>
      </c>
      <c r="C436" t="s">
        <v>846</v>
      </c>
      <c r="D436" t="s">
        <v>801</v>
      </c>
      <c r="E436">
        <v>215</v>
      </c>
    </row>
    <row r="437" spans="1:5" x14ac:dyDescent="0.3">
      <c r="A437" t="s">
        <v>1600</v>
      </c>
      <c r="B437" t="s">
        <v>1601</v>
      </c>
      <c r="C437" t="s">
        <v>846</v>
      </c>
      <c r="D437" t="s">
        <v>787</v>
      </c>
      <c r="E437">
        <v>245</v>
      </c>
    </row>
    <row r="438" spans="1:5" x14ac:dyDescent="0.3">
      <c r="A438" t="s">
        <v>1600</v>
      </c>
      <c r="B438" t="s">
        <v>1601</v>
      </c>
      <c r="C438" t="s">
        <v>846</v>
      </c>
      <c r="D438" t="s">
        <v>802</v>
      </c>
      <c r="E438">
        <v>245</v>
      </c>
    </row>
    <row r="439" spans="1:5" x14ac:dyDescent="0.3">
      <c r="A439" t="s">
        <v>1600</v>
      </c>
      <c r="B439" t="s">
        <v>1601</v>
      </c>
      <c r="C439" t="s">
        <v>846</v>
      </c>
      <c r="D439" t="s">
        <v>788</v>
      </c>
      <c r="E439">
        <v>280</v>
      </c>
    </row>
    <row r="440" spans="1:5" x14ac:dyDescent="0.3">
      <c r="A440" t="s">
        <v>1600</v>
      </c>
      <c r="B440" t="s">
        <v>1601</v>
      </c>
      <c r="C440" t="s">
        <v>846</v>
      </c>
      <c r="D440" t="s">
        <v>803</v>
      </c>
      <c r="E440">
        <v>280</v>
      </c>
    </row>
    <row r="441" spans="1:5" x14ac:dyDescent="0.3">
      <c r="A441" t="s">
        <v>1600</v>
      </c>
      <c r="B441" t="s">
        <v>1601</v>
      </c>
      <c r="C441" t="s">
        <v>847</v>
      </c>
      <c r="D441" t="s">
        <v>848</v>
      </c>
      <c r="E441">
        <v>325</v>
      </c>
    </row>
    <row r="442" spans="1:5" x14ac:dyDescent="0.3">
      <c r="A442" t="s">
        <v>1600</v>
      </c>
      <c r="B442" t="s">
        <v>1601</v>
      </c>
      <c r="C442" t="s">
        <v>847</v>
      </c>
      <c r="D442" t="s">
        <v>849</v>
      </c>
      <c r="E442">
        <v>325</v>
      </c>
    </row>
    <row r="443" spans="1:5" x14ac:dyDescent="0.3">
      <c r="A443" t="s">
        <v>1600</v>
      </c>
      <c r="B443" t="s">
        <v>1601</v>
      </c>
      <c r="C443" t="s">
        <v>847</v>
      </c>
      <c r="D443" t="s">
        <v>850</v>
      </c>
      <c r="E443">
        <v>325</v>
      </c>
    </row>
    <row r="444" spans="1:5" x14ac:dyDescent="0.3">
      <c r="A444" t="s">
        <v>1600</v>
      </c>
      <c r="B444" t="s">
        <v>1601</v>
      </c>
      <c r="C444" t="s">
        <v>847</v>
      </c>
      <c r="D444" t="s">
        <v>851</v>
      </c>
      <c r="E444">
        <v>325</v>
      </c>
    </row>
    <row r="445" spans="1:5" x14ac:dyDescent="0.3">
      <c r="A445" t="s">
        <v>1600</v>
      </c>
      <c r="B445" t="s">
        <v>1601</v>
      </c>
      <c r="C445" t="s">
        <v>847</v>
      </c>
      <c r="D445" t="s">
        <v>852</v>
      </c>
      <c r="E445">
        <v>325</v>
      </c>
    </row>
    <row r="446" spans="1:5" x14ac:dyDescent="0.3">
      <c r="A446" t="s">
        <v>1600</v>
      </c>
      <c r="B446" t="s">
        <v>1601</v>
      </c>
      <c r="C446" t="s">
        <v>847</v>
      </c>
      <c r="D446" t="s">
        <v>853</v>
      </c>
      <c r="E446">
        <v>325</v>
      </c>
    </row>
    <row r="447" spans="1:5" x14ac:dyDescent="0.3">
      <c r="A447" t="s">
        <v>1600</v>
      </c>
      <c r="B447" t="s">
        <v>1601</v>
      </c>
      <c r="C447" t="s">
        <v>847</v>
      </c>
      <c r="D447" t="s">
        <v>854</v>
      </c>
      <c r="E447">
        <v>325</v>
      </c>
    </row>
    <row r="448" spans="1:5" x14ac:dyDescent="0.3">
      <c r="A448" t="s">
        <v>1600</v>
      </c>
      <c r="B448" t="s">
        <v>1601</v>
      </c>
      <c r="C448" t="s">
        <v>847</v>
      </c>
      <c r="D448" t="s">
        <v>855</v>
      </c>
      <c r="E448">
        <v>325</v>
      </c>
    </row>
    <row r="449" spans="1:5" x14ac:dyDescent="0.3">
      <c r="A449" t="s">
        <v>1600</v>
      </c>
      <c r="B449" t="s">
        <v>1601</v>
      </c>
      <c r="C449" t="s">
        <v>847</v>
      </c>
      <c r="D449" t="s">
        <v>856</v>
      </c>
      <c r="E449">
        <v>325</v>
      </c>
    </row>
    <row r="450" spans="1:5" x14ac:dyDescent="0.3">
      <c r="A450" t="s">
        <v>1600</v>
      </c>
      <c r="B450" t="s">
        <v>1601</v>
      </c>
      <c r="C450" t="s">
        <v>847</v>
      </c>
      <c r="D450" t="s">
        <v>857</v>
      </c>
      <c r="E450">
        <v>325</v>
      </c>
    </row>
    <row r="451" spans="1:5" x14ac:dyDescent="0.3">
      <c r="A451" t="s">
        <v>1602</v>
      </c>
      <c r="B451" s="215" t="s">
        <v>1603</v>
      </c>
      <c r="C451" t="s">
        <v>755</v>
      </c>
      <c r="D451" t="s">
        <v>756</v>
      </c>
      <c r="E451">
        <v>60</v>
      </c>
    </row>
    <row r="452" spans="1:5" x14ac:dyDescent="0.3">
      <c r="A452" t="s">
        <v>1602</v>
      </c>
      <c r="B452" t="s">
        <v>1603</v>
      </c>
      <c r="C452" t="s">
        <v>755</v>
      </c>
      <c r="D452" t="s">
        <v>757</v>
      </c>
      <c r="E452">
        <v>75</v>
      </c>
    </row>
    <row r="453" spans="1:5" x14ac:dyDescent="0.3">
      <c r="A453" t="s">
        <v>1602</v>
      </c>
      <c r="B453" t="s">
        <v>1603</v>
      </c>
      <c r="C453" t="s">
        <v>755</v>
      </c>
      <c r="D453" t="s">
        <v>758</v>
      </c>
      <c r="E453">
        <v>115</v>
      </c>
    </row>
    <row r="454" spans="1:5" x14ac:dyDescent="0.3">
      <c r="A454" t="s">
        <v>1602</v>
      </c>
      <c r="B454" t="s">
        <v>1603</v>
      </c>
      <c r="C454" t="s">
        <v>755</v>
      </c>
      <c r="D454" t="s">
        <v>759</v>
      </c>
      <c r="E454">
        <v>130</v>
      </c>
    </row>
    <row r="455" spans="1:5" x14ac:dyDescent="0.3">
      <c r="A455" t="s">
        <v>1602</v>
      </c>
      <c r="B455" t="s">
        <v>1603</v>
      </c>
      <c r="C455" t="s">
        <v>755</v>
      </c>
      <c r="D455" t="s">
        <v>760</v>
      </c>
      <c r="E455">
        <v>170</v>
      </c>
    </row>
    <row r="456" spans="1:5" x14ac:dyDescent="0.3">
      <c r="A456" t="s">
        <v>1602</v>
      </c>
      <c r="B456" t="s">
        <v>1603</v>
      </c>
      <c r="C456" t="s">
        <v>755</v>
      </c>
      <c r="D456" t="s">
        <v>761</v>
      </c>
      <c r="E456">
        <v>215</v>
      </c>
    </row>
    <row r="457" spans="1:5" x14ac:dyDescent="0.3">
      <c r="A457" t="s">
        <v>1602</v>
      </c>
      <c r="B457" t="s">
        <v>1603</v>
      </c>
      <c r="C457" t="s">
        <v>755</v>
      </c>
      <c r="D457" t="s">
        <v>762</v>
      </c>
      <c r="E457">
        <v>234</v>
      </c>
    </row>
    <row r="458" spans="1:5" x14ac:dyDescent="0.3">
      <c r="A458" t="s">
        <v>1602</v>
      </c>
      <c r="B458" t="s">
        <v>1603</v>
      </c>
      <c r="C458" t="s">
        <v>755</v>
      </c>
      <c r="D458" t="s">
        <v>763</v>
      </c>
      <c r="E458">
        <v>289</v>
      </c>
    </row>
    <row r="459" spans="1:5" x14ac:dyDescent="0.3">
      <c r="A459" t="s">
        <v>1604</v>
      </c>
      <c r="B459" t="s">
        <v>1605</v>
      </c>
      <c r="C459" t="s">
        <v>843</v>
      </c>
      <c r="D459" t="s">
        <v>845</v>
      </c>
      <c r="E459">
        <v>80</v>
      </c>
    </row>
    <row r="460" spans="1:5" x14ac:dyDescent="0.3">
      <c r="A460" t="s">
        <v>1604</v>
      </c>
      <c r="B460" t="s">
        <v>1605</v>
      </c>
      <c r="C460" t="s">
        <v>843</v>
      </c>
      <c r="D460" t="s">
        <v>799</v>
      </c>
      <c r="E460">
        <v>168</v>
      </c>
    </row>
    <row r="461" spans="1:5" x14ac:dyDescent="0.3">
      <c r="A461" t="s">
        <v>1604</v>
      </c>
      <c r="B461" t="s">
        <v>1605</v>
      </c>
      <c r="C461" t="s">
        <v>843</v>
      </c>
      <c r="D461" t="s">
        <v>800</v>
      </c>
      <c r="E461">
        <v>195</v>
      </c>
    </row>
    <row r="462" spans="1:5" x14ac:dyDescent="0.3">
      <c r="A462" t="s">
        <v>1604</v>
      </c>
      <c r="B462" t="s">
        <v>1605</v>
      </c>
      <c r="C462" t="s">
        <v>843</v>
      </c>
      <c r="D462" t="s">
        <v>786</v>
      </c>
      <c r="E462">
        <v>245</v>
      </c>
    </row>
    <row r="463" spans="1:5" x14ac:dyDescent="0.3">
      <c r="A463" t="s">
        <v>1604</v>
      </c>
      <c r="B463" t="s">
        <v>1605</v>
      </c>
      <c r="C463" t="s">
        <v>843</v>
      </c>
      <c r="D463" t="s">
        <v>801</v>
      </c>
      <c r="E463">
        <v>245</v>
      </c>
    </row>
    <row r="464" spans="1:5" x14ac:dyDescent="0.3">
      <c r="A464" t="s">
        <v>1604</v>
      </c>
      <c r="B464" t="s">
        <v>1605</v>
      </c>
      <c r="C464" t="s">
        <v>843</v>
      </c>
      <c r="D464" t="s">
        <v>787</v>
      </c>
      <c r="E464">
        <v>285</v>
      </c>
    </row>
    <row r="465" spans="1:5" x14ac:dyDescent="0.3">
      <c r="A465" t="s">
        <v>1604</v>
      </c>
      <c r="B465" t="s">
        <v>1605</v>
      </c>
      <c r="C465" t="s">
        <v>843</v>
      </c>
      <c r="D465" t="s">
        <v>802</v>
      </c>
      <c r="E465">
        <v>285</v>
      </c>
    </row>
    <row r="466" spans="1:5" x14ac:dyDescent="0.3">
      <c r="A466" t="s">
        <v>1604</v>
      </c>
      <c r="B466" t="s">
        <v>1605</v>
      </c>
      <c r="C466" t="s">
        <v>843</v>
      </c>
      <c r="D466" t="s">
        <v>788</v>
      </c>
      <c r="E466">
        <v>300</v>
      </c>
    </row>
    <row r="467" spans="1:5" x14ac:dyDescent="0.3">
      <c r="A467" t="s">
        <v>1604</v>
      </c>
      <c r="B467" t="s">
        <v>1605</v>
      </c>
      <c r="C467" t="s">
        <v>843</v>
      </c>
      <c r="D467" t="s">
        <v>803</v>
      </c>
      <c r="E467">
        <v>300</v>
      </c>
    </row>
    <row r="468" spans="1:5" x14ac:dyDescent="0.3">
      <c r="A468" t="s">
        <v>1604</v>
      </c>
      <c r="B468" t="s">
        <v>1605</v>
      </c>
      <c r="C468" t="s">
        <v>846</v>
      </c>
      <c r="D468" t="s">
        <v>845</v>
      </c>
      <c r="E468">
        <v>80</v>
      </c>
    </row>
    <row r="469" spans="1:5" x14ac:dyDescent="0.3">
      <c r="A469" t="s">
        <v>1604</v>
      </c>
      <c r="B469" t="s">
        <v>1605</v>
      </c>
      <c r="C469" t="s">
        <v>846</v>
      </c>
      <c r="D469" t="s">
        <v>799</v>
      </c>
      <c r="E469">
        <v>168</v>
      </c>
    </row>
    <row r="470" spans="1:5" x14ac:dyDescent="0.3">
      <c r="A470" t="s">
        <v>1604</v>
      </c>
      <c r="B470" t="s">
        <v>1605</v>
      </c>
      <c r="C470" t="s">
        <v>846</v>
      </c>
      <c r="D470" t="s">
        <v>800</v>
      </c>
      <c r="E470">
        <v>195</v>
      </c>
    </row>
    <row r="471" spans="1:5" x14ac:dyDescent="0.3">
      <c r="A471" t="s">
        <v>1604</v>
      </c>
      <c r="B471" t="s">
        <v>1605</v>
      </c>
      <c r="C471" t="s">
        <v>846</v>
      </c>
      <c r="D471" t="s">
        <v>786</v>
      </c>
      <c r="E471">
        <v>245</v>
      </c>
    </row>
    <row r="472" spans="1:5" x14ac:dyDescent="0.3">
      <c r="A472" t="s">
        <v>1604</v>
      </c>
      <c r="B472" t="s">
        <v>1605</v>
      </c>
      <c r="C472" t="s">
        <v>846</v>
      </c>
      <c r="D472" t="s">
        <v>801</v>
      </c>
      <c r="E472">
        <v>245</v>
      </c>
    </row>
    <row r="473" spans="1:5" x14ac:dyDescent="0.3">
      <c r="A473" t="s">
        <v>1604</v>
      </c>
      <c r="B473" t="s">
        <v>1605</v>
      </c>
      <c r="C473" t="s">
        <v>846</v>
      </c>
      <c r="D473" t="s">
        <v>787</v>
      </c>
      <c r="E473">
        <v>285</v>
      </c>
    </row>
    <row r="474" spans="1:5" x14ac:dyDescent="0.3">
      <c r="A474" t="s">
        <v>1604</v>
      </c>
      <c r="B474" t="s">
        <v>1605</v>
      </c>
      <c r="C474" t="s">
        <v>846</v>
      </c>
      <c r="D474" t="s">
        <v>802</v>
      </c>
      <c r="E474">
        <v>285</v>
      </c>
    </row>
    <row r="475" spans="1:5" x14ac:dyDescent="0.3">
      <c r="A475" t="s">
        <v>1604</v>
      </c>
      <c r="B475" t="s">
        <v>1605</v>
      </c>
      <c r="C475" t="s">
        <v>846</v>
      </c>
      <c r="D475" t="s">
        <v>788</v>
      </c>
      <c r="E475">
        <v>300</v>
      </c>
    </row>
    <row r="476" spans="1:5" x14ac:dyDescent="0.3">
      <c r="A476" t="s">
        <v>1604</v>
      </c>
      <c r="B476" t="s">
        <v>1605</v>
      </c>
      <c r="C476" t="s">
        <v>846</v>
      </c>
      <c r="D476" t="s">
        <v>803</v>
      </c>
      <c r="E476">
        <v>300</v>
      </c>
    </row>
    <row r="477" spans="1:5" x14ac:dyDescent="0.3">
      <c r="A477" t="s">
        <v>1604</v>
      </c>
      <c r="B477" t="s">
        <v>1605</v>
      </c>
      <c r="C477" t="s">
        <v>847</v>
      </c>
      <c r="D477" t="s">
        <v>848</v>
      </c>
      <c r="E477">
        <v>375</v>
      </c>
    </row>
    <row r="478" spans="1:5" x14ac:dyDescent="0.3">
      <c r="A478" t="s">
        <v>1604</v>
      </c>
      <c r="B478" t="s">
        <v>1605</v>
      </c>
      <c r="C478" t="s">
        <v>847</v>
      </c>
      <c r="D478" t="s">
        <v>849</v>
      </c>
      <c r="E478">
        <v>375</v>
      </c>
    </row>
    <row r="479" spans="1:5" x14ac:dyDescent="0.3">
      <c r="A479" t="s">
        <v>1604</v>
      </c>
      <c r="B479" t="s">
        <v>1605</v>
      </c>
      <c r="C479" t="s">
        <v>847</v>
      </c>
      <c r="D479" t="s">
        <v>850</v>
      </c>
      <c r="E479">
        <v>375</v>
      </c>
    </row>
    <row r="480" spans="1:5" x14ac:dyDescent="0.3">
      <c r="A480" t="s">
        <v>1604</v>
      </c>
      <c r="B480" t="s">
        <v>1605</v>
      </c>
      <c r="C480" t="s">
        <v>847</v>
      </c>
      <c r="D480" t="s">
        <v>851</v>
      </c>
      <c r="E480">
        <v>375</v>
      </c>
    </row>
    <row r="481" spans="1:5" x14ac:dyDescent="0.3">
      <c r="A481" t="s">
        <v>1604</v>
      </c>
      <c r="B481" t="s">
        <v>1605</v>
      </c>
      <c r="C481" t="s">
        <v>847</v>
      </c>
      <c r="D481" t="s">
        <v>852</v>
      </c>
      <c r="E481">
        <v>375</v>
      </c>
    </row>
    <row r="482" spans="1:5" x14ac:dyDescent="0.3">
      <c r="A482" t="s">
        <v>1604</v>
      </c>
      <c r="B482" t="s">
        <v>1605</v>
      </c>
      <c r="C482" t="s">
        <v>847</v>
      </c>
      <c r="D482" t="s">
        <v>853</v>
      </c>
      <c r="E482">
        <v>375</v>
      </c>
    </row>
    <row r="483" spans="1:5" x14ac:dyDescent="0.3">
      <c r="A483" t="s">
        <v>1604</v>
      </c>
      <c r="B483" t="s">
        <v>1605</v>
      </c>
      <c r="C483" t="s">
        <v>847</v>
      </c>
      <c r="D483" t="s">
        <v>854</v>
      </c>
      <c r="E483">
        <v>375</v>
      </c>
    </row>
    <row r="484" spans="1:5" x14ac:dyDescent="0.3">
      <c r="A484" t="s">
        <v>1604</v>
      </c>
      <c r="B484" t="s">
        <v>1605</v>
      </c>
      <c r="C484" t="s">
        <v>847</v>
      </c>
      <c r="D484" t="s">
        <v>855</v>
      </c>
      <c r="E484">
        <v>375</v>
      </c>
    </row>
    <row r="485" spans="1:5" x14ac:dyDescent="0.3">
      <c r="A485" t="s">
        <v>1604</v>
      </c>
      <c r="B485" t="s">
        <v>1605</v>
      </c>
      <c r="C485" t="s">
        <v>847</v>
      </c>
      <c r="D485" t="s">
        <v>856</v>
      </c>
      <c r="E485">
        <v>375</v>
      </c>
    </row>
    <row r="486" spans="1:5" x14ac:dyDescent="0.3">
      <c r="A486" t="s">
        <v>1604</v>
      </c>
      <c r="B486" t="s">
        <v>1605</v>
      </c>
      <c r="C486" t="s">
        <v>847</v>
      </c>
      <c r="D486" t="s">
        <v>857</v>
      </c>
      <c r="E486">
        <v>375</v>
      </c>
    </row>
    <row r="487" spans="1:5" x14ac:dyDescent="0.3">
      <c r="A487" t="s">
        <v>1606</v>
      </c>
      <c r="B487" t="s">
        <v>1607</v>
      </c>
      <c r="C487" t="s">
        <v>755</v>
      </c>
      <c r="D487" t="s">
        <v>756</v>
      </c>
      <c r="E487">
        <v>90</v>
      </c>
    </row>
    <row r="488" spans="1:5" x14ac:dyDescent="0.3">
      <c r="A488" t="s">
        <v>1606</v>
      </c>
      <c r="B488" t="s">
        <v>1607</v>
      </c>
      <c r="C488" t="s">
        <v>755</v>
      </c>
      <c r="D488" t="s">
        <v>757</v>
      </c>
      <c r="E488">
        <v>165</v>
      </c>
    </row>
    <row r="489" spans="1:5" x14ac:dyDescent="0.3">
      <c r="A489" t="s">
        <v>1606</v>
      </c>
      <c r="B489" t="s">
        <v>1607</v>
      </c>
      <c r="C489" t="s">
        <v>755</v>
      </c>
      <c r="D489" t="s">
        <v>758</v>
      </c>
      <c r="E489">
        <v>185</v>
      </c>
    </row>
    <row r="490" spans="1:5" x14ac:dyDescent="0.3">
      <c r="A490" t="s">
        <v>1606</v>
      </c>
      <c r="B490" t="s">
        <v>1607</v>
      </c>
      <c r="C490" t="s">
        <v>755</v>
      </c>
      <c r="D490" t="s">
        <v>759</v>
      </c>
      <c r="E490">
        <v>220</v>
      </c>
    </row>
    <row r="491" spans="1:5" x14ac:dyDescent="0.3">
      <c r="A491" t="s">
        <v>1606</v>
      </c>
      <c r="B491" t="s">
        <v>1607</v>
      </c>
      <c r="C491" t="s">
        <v>755</v>
      </c>
      <c r="D491" t="s">
        <v>760</v>
      </c>
      <c r="E491">
        <v>240</v>
      </c>
    </row>
    <row r="492" spans="1:5" x14ac:dyDescent="0.3">
      <c r="A492" t="s">
        <v>1606</v>
      </c>
      <c r="B492" t="s">
        <v>1607</v>
      </c>
      <c r="C492" t="s">
        <v>755</v>
      </c>
      <c r="D492" t="s">
        <v>761</v>
      </c>
      <c r="E492">
        <v>270</v>
      </c>
    </row>
    <row r="493" spans="1:5" x14ac:dyDescent="0.3">
      <c r="A493" t="s">
        <v>1606</v>
      </c>
      <c r="B493" t="s">
        <v>1607</v>
      </c>
      <c r="C493" t="s">
        <v>755</v>
      </c>
      <c r="D493" t="s">
        <v>762</v>
      </c>
      <c r="E493">
        <v>300</v>
      </c>
    </row>
    <row r="494" spans="1:5" x14ac:dyDescent="0.3">
      <c r="A494" t="s">
        <v>1606</v>
      </c>
      <c r="B494" t="s">
        <v>1607</v>
      </c>
      <c r="C494" t="s">
        <v>755</v>
      </c>
      <c r="D494" t="s">
        <v>763</v>
      </c>
      <c r="E494">
        <v>330</v>
      </c>
    </row>
    <row r="495" spans="1:5" x14ac:dyDescent="0.3">
      <c r="A495" t="s">
        <v>1606</v>
      </c>
      <c r="B495" t="s">
        <v>1607</v>
      </c>
      <c r="C495" t="s">
        <v>755</v>
      </c>
      <c r="D495" t="s">
        <v>764</v>
      </c>
      <c r="E495">
        <v>360</v>
      </c>
    </row>
    <row r="496" spans="1:5" x14ac:dyDescent="0.3">
      <c r="A496" t="s">
        <v>1606</v>
      </c>
      <c r="B496" t="s">
        <v>1607</v>
      </c>
      <c r="C496" t="s">
        <v>755</v>
      </c>
      <c r="D496" t="s">
        <v>765</v>
      </c>
      <c r="E496">
        <v>395</v>
      </c>
    </row>
    <row r="497" spans="1:5" x14ac:dyDescent="0.3">
      <c r="A497" t="s">
        <v>1606</v>
      </c>
      <c r="B497" t="s">
        <v>1607</v>
      </c>
      <c r="C497" t="s">
        <v>755</v>
      </c>
      <c r="D497" t="s">
        <v>766</v>
      </c>
      <c r="E497">
        <v>425</v>
      </c>
    </row>
    <row r="498" spans="1:5" x14ac:dyDescent="0.3">
      <c r="A498" t="s">
        <v>1606</v>
      </c>
      <c r="B498" t="s">
        <v>1607</v>
      </c>
      <c r="C498" t="s">
        <v>755</v>
      </c>
      <c r="D498" t="s">
        <v>767</v>
      </c>
      <c r="E498">
        <v>475</v>
      </c>
    </row>
    <row r="499" spans="1:5" x14ac:dyDescent="0.3">
      <c r="A499" t="s">
        <v>1608</v>
      </c>
      <c r="B499" t="s">
        <v>1609</v>
      </c>
      <c r="C499" t="s">
        <v>843</v>
      </c>
      <c r="D499" t="s">
        <v>845</v>
      </c>
      <c r="E499">
        <v>45</v>
      </c>
    </row>
    <row r="500" spans="1:5" x14ac:dyDescent="0.3">
      <c r="A500" t="s">
        <v>1608</v>
      </c>
      <c r="B500" t="s">
        <v>1609</v>
      </c>
      <c r="C500" t="s">
        <v>843</v>
      </c>
      <c r="D500" t="s">
        <v>799</v>
      </c>
      <c r="E500">
        <v>142.5</v>
      </c>
    </row>
    <row r="501" spans="1:5" x14ac:dyDescent="0.3">
      <c r="A501" t="s">
        <v>1608</v>
      </c>
      <c r="B501" t="s">
        <v>1609</v>
      </c>
      <c r="C501" t="s">
        <v>843</v>
      </c>
      <c r="D501" t="s">
        <v>800</v>
      </c>
      <c r="E501">
        <v>165</v>
      </c>
    </row>
    <row r="502" spans="1:5" x14ac:dyDescent="0.3">
      <c r="A502" t="s">
        <v>1608</v>
      </c>
      <c r="B502" t="s">
        <v>1609</v>
      </c>
      <c r="C502" t="s">
        <v>843</v>
      </c>
      <c r="D502" t="s">
        <v>786</v>
      </c>
      <c r="E502">
        <v>206.25</v>
      </c>
    </row>
    <row r="503" spans="1:5" x14ac:dyDescent="0.3">
      <c r="A503" t="s">
        <v>1608</v>
      </c>
      <c r="B503" t="s">
        <v>1609</v>
      </c>
      <c r="C503" t="s">
        <v>843</v>
      </c>
      <c r="D503" t="s">
        <v>801</v>
      </c>
      <c r="E503">
        <v>206.25</v>
      </c>
    </row>
    <row r="504" spans="1:5" x14ac:dyDescent="0.3">
      <c r="A504" t="s">
        <v>1608</v>
      </c>
      <c r="B504" t="s">
        <v>1609</v>
      </c>
      <c r="C504" t="s">
        <v>846</v>
      </c>
      <c r="D504" t="s">
        <v>845</v>
      </c>
      <c r="E504">
        <v>45</v>
      </c>
    </row>
    <row r="505" spans="1:5" x14ac:dyDescent="0.3">
      <c r="A505" t="s">
        <v>1608</v>
      </c>
      <c r="B505" t="s">
        <v>1609</v>
      </c>
      <c r="C505" t="s">
        <v>846</v>
      </c>
      <c r="D505" t="s">
        <v>799</v>
      </c>
      <c r="E505">
        <v>142.5</v>
      </c>
    </row>
    <row r="506" spans="1:5" x14ac:dyDescent="0.3">
      <c r="A506" t="s">
        <v>1608</v>
      </c>
      <c r="B506" t="s">
        <v>1609</v>
      </c>
      <c r="C506" t="s">
        <v>846</v>
      </c>
      <c r="D506" t="s">
        <v>800</v>
      </c>
      <c r="E506">
        <v>165</v>
      </c>
    </row>
    <row r="507" spans="1:5" x14ac:dyDescent="0.3">
      <c r="A507" t="s">
        <v>1608</v>
      </c>
      <c r="B507" t="s">
        <v>1609</v>
      </c>
      <c r="C507" t="s">
        <v>846</v>
      </c>
      <c r="D507" t="s">
        <v>786</v>
      </c>
      <c r="E507">
        <v>206.25</v>
      </c>
    </row>
    <row r="508" spans="1:5" x14ac:dyDescent="0.3">
      <c r="A508" t="s">
        <v>1608</v>
      </c>
      <c r="B508" t="s">
        <v>1609</v>
      </c>
      <c r="C508" t="s">
        <v>846</v>
      </c>
      <c r="D508" t="s">
        <v>801</v>
      </c>
      <c r="E508">
        <v>206.25</v>
      </c>
    </row>
    <row r="509" spans="1:5" x14ac:dyDescent="0.3">
      <c r="A509" t="s">
        <v>1608</v>
      </c>
      <c r="B509" t="s">
        <v>1609</v>
      </c>
      <c r="C509" t="s">
        <v>847</v>
      </c>
      <c r="D509" t="s">
        <v>848</v>
      </c>
      <c r="E509">
        <v>259</v>
      </c>
    </row>
    <row r="510" spans="1:5" x14ac:dyDescent="0.3">
      <c r="A510" t="s">
        <v>1608</v>
      </c>
      <c r="B510" t="s">
        <v>1609</v>
      </c>
      <c r="C510" t="s">
        <v>847</v>
      </c>
      <c r="D510" t="s">
        <v>849</v>
      </c>
      <c r="E510">
        <v>259</v>
      </c>
    </row>
    <row r="511" spans="1:5" x14ac:dyDescent="0.3">
      <c r="A511" t="s">
        <v>1608</v>
      </c>
      <c r="B511" t="s">
        <v>1609</v>
      </c>
      <c r="C511" t="s">
        <v>847</v>
      </c>
      <c r="D511" t="s">
        <v>850</v>
      </c>
      <c r="E511">
        <v>259</v>
      </c>
    </row>
    <row r="512" spans="1:5" x14ac:dyDescent="0.3">
      <c r="A512" t="s">
        <v>1608</v>
      </c>
      <c r="B512" t="s">
        <v>1609</v>
      </c>
      <c r="C512" t="s">
        <v>847</v>
      </c>
      <c r="D512" t="s">
        <v>851</v>
      </c>
      <c r="E512">
        <v>259</v>
      </c>
    </row>
    <row r="513" spans="1:5" x14ac:dyDescent="0.3">
      <c r="A513" t="s">
        <v>1608</v>
      </c>
      <c r="B513" t="s">
        <v>1609</v>
      </c>
      <c r="C513" t="s">
        <v>847</v>
      </c>
      <c r="D513" t="s">
        <v>852</v>
      </c>
      <c r="E513">
        <v>259</v>
      </c>
    </row>
    <row r="514" spans="1:5" x14ac:dyDescent="0.3">
      <c r="A514" t="s">
        <v>1608</v>
      </c>
      <c r="B514" t="s">
        <v>1609</v>
      </c>
      <c r="C514" t="s">
        <v>847</v>
      </c>
      <c r="D514" t="s">
        <v>853</v>
      </c>
      <c r="E514">
        <v>259</v>
      </c>
    </row>
    <row r="515" spans="1:5" x14ac:dyDescent="0.3">
      <c r="A515" t="s">
        <v>1608</v>
      </c>
      <c r="B515" t="s">
        <v>1609</v>
      </c>
      <c r="C515" t="s">
        <v>847</v>
      </c>
      <c r="D515" t="s">
        <v>854</v>
      </c>
      <c r="E515">
        <v>259</v>
      </c>
    </row>
    <row r="516" spans="1:5" x14ac:dyDescent="0.3">
      <c r="A516" t="s">
        <v>1608</v>
      </c>
      <c r="B516" t="s">
        <v>1609</v>
      </c>
      <c r="C516" t="s">
        <v>847</v>
      </c>
      <c r="D516" t="s">
        <v>855</v>
      </c>
      <c r="E516">
        <v>259</v>
      </c>
    </row>
    <row r="517" spans="1:5" x14ac:dyDescent="0.3">
      <c r="A517" t="s">
        <v>1608</v>
      </c>
      <c r="B517" t="s">
        <v>1609</v>
      </c>
      <c r="C517" t="s">
        <v>847</v>
      </c>
      <c r="D517" t="s">
        <v>856</v>
      </c>
      <c r="E517">
        <v>259</v>
      </c>
    </row>
    <row r="518" spans="1:5" x14ac:dyDescent="0.3">
      <c r="A518" t="s">
        <v>1608</v>
      </c>
      <c r="B518" t="s">
        <v>1609</v>
      </c>
      <c r="C518" t="s">
        <v>847</v>
      </c>
      <c r="D518" t="s">
        <v>857</v>
      </c>
      <c r="E518">
        <v>259</v>
      </c>
    </row>
    <row r="519" spans="1:5" x14ac:dyDescent="0.3">
      <c r="A519" t="s">
        <v>1610</v>
      </c>
      <c r="B519" t="s">
        <v>1611</v>
      </c>
      <c r="C519" t="s">
        <v>843</v>
      </c>
      <c r="D519" t="s">
        <v>845</v>
      </c>
      <c r="E519">
        <v>90</v>
      </c>
    </row>
    <row r="520" spans="1:5" x14ac:dyDescent="0.3">
      <c r="A520" t="s">
        <v>1610</v>
      </c>
      <c r="B520" t="s">
        <v>1611</v>
      </c>
      <c r="C520" t="s">
        <v>843</v>
      </c>
      <c r="D520" t="s">
        <v>799</v>
      </c>
      <c r="E520">
        <v>160</v>
      </c>
    </row>
    <row r="521" spans="1:5" x14ac:dyDescent="0.3">
      <c r="A521" t="s">
        <v>1610</v>
      </c>
      <c r="B521" t="s">
        <v>1611</v>
      </c>
      <c r="C521" t="s">
        <v>843</v>
      </c>
      <c r="D521" t="s">
        <v>800</v>
      </c>
      <c r="E521">
        <v>160</v>
      </c>
    </row>
    <row r="522" spans="1:5" x14ac:dyDescent="0.3">
      <c r="A522" t="s">
        <v>1610</v>
      </c>
      <c r="B522" t="s">
        <v>1611</v>
      </c>
      <c r="C522" t="s">
        <v>843</v>
      </c>
      <c r="D522" t="s">
        <v>786</v>
      </c>
      <c r="E522">
        <v>225</v>
      </c>
    </row>
    <row r="523" spans="1:5" x14ac:dyDescent="0.3">
      <c r="A523" t="s">
        <v>1610</v>
      </c>
      <c r="B523" t="s">
        <v>1611</v>
      </c>
      <c r="C523" t="s">
        <v>843</v>
      </c>
      <c r="D523" t="s">
        <v>801</v>
      </c>
      <c r="E523">
        <v>225</v>
      </c>
    </row>
    <row r="524" spans="1:5" x14ac:dyDescent="0.3">
      <c r="A524" t="s">
        <v>1610</v>
      </c>
      <c r="B524" t="s">
        <v>1611</v>
      </c>
      <c r="C524" t="s">
        <v>843</v>
      </c>
      <c r="D524" t="s">
        <v>787</v>
      </c>
      <c r="E524">
        <v>300</v>
      </c>
    </row>
    <row r="525" spans="1:5" x14ac:dyDescent="0.3">
      <c r="A525" t="s">
        <v>1610</v>
      </c>
      <c r="B525" t="s">
        <v>1611</v>
      </c>
      <c r="C525" t="s">
        <v>843</v>
      </c>
      <c r="D525" t="s">
        <v>802</v>
      </c>
      <c r="E525">
        <v>300</v>
      </c>
    </row>
    <row r="526" spans="1:5" x14ac:dyDescent="0.3">
      <c r="A526" t="s">
        <v>1610</v>
      </c>
      <c r="B526" t="s">
        <v>1611</v>
      </c>
      <c r="C526" t="s">
        <v>843</v>
      </c>
      <c r="D526" t="s">
        <v>788</v>
      </c>
      <c r="E526">
        <v>350</v>
      </c>
    </row>
    <row r="527" spans="1:5" x14ac:dyDescent="0.3">
      <c r="A527" t="s">
        <v>1610</v>
      </c>
      <c r="B527" t="s">
        <v>1611</v>
      </c>
      <c r="C527" t="s">
        <v>843</v>
      </c>
      <c r="D527" t="s">
        <v>803</v>
      </c>
      <c r="E527">
        <v>350</v>
      </c>
    </row>
    <row r="528" spans="1:5" x14ac:dyDescent="0.3">
      <c r="A528" t="s">
        <v>1610</v>
      </c>
      <c r="B528" t="s">
        <v>1611</v>
      </c>
      <c r="C528" t="s">
        <v>846</v>
      </c>
      <c r="D528" t="s">
        <v>845</v>
      </c>
      <c r="E528">
        <v>90</v>
      </c>
    </row>
    <row r="529" spans="1:5" x14ac:dyDescent="0.3">
      <c r="A529" t="s">
        <v>1610</v>
      </c>
      <c r="B529" t="s">
        <v>1611</v>
      </c>
      <c r="C529" t="s">
        <v>846</v>
      </c>
      <c r="D529" t="s">
        <v>799</v>
      </c>
      <c r="E529">
        <v>160</v>
      </c>
    </row>
    <row r="530" spans="1:5" x14ac:dyDescent="0.3">
      <c r="A530" t="s">
        <v>1610</v>
      </c>
      <c r="B530" t="s">
        <v>1611</v>
      </c>
      <c r="C530" t="s">
        <v>846</v>
      </c>
      <c r="D530" t="s">
        <v>800</v>
      </c>
      <c r="E530">
        <v>160</v>
      </c>
    </row>
    <row r="531" spans="1:5" x14ac:dyDescent="0.3">
      <c r="A531" t="s">
        <v>1610</v>
      </c>
      <c r="B531" t="s">
        <v>1611</v>
      </c>
      <c r="C531" t="s">
        <v>846</v>
      </c>
      <c r="D531" t="s">
        <v>786</v>
      </c>
      <c r="E531">
        <v>225</v>
      </c>
    </row>
    <row r="532" spans="1:5" x14ac:dyDescent="0.3">
      <c r="A532" t="s">
        <v>1610</v>
      </c>
      <c r="B532" t="s">
        <v>1611</v>
      </c>
      <c r="C532" t="s">
        <v>846</v>
      </c>
      <c r="D532" t="s">
        <v>801</v>
      </c>
      <c r="E532">
        <v>225</v>
      </c>
    </row>
    <row r="533" spans="1:5" x14ac:dyDescent="0.3">
      <c r="A533" t="s">
        <v>1610</v>
      </c>
      <c r="B533" t="s">
        <v>1611</v>
      </c>
      <c r="C533" t="s">
        <v>846</v>
      </c>
      <c r="D533" t="s">
        <v>787</v>
      </c>
      <c r="E533">
        <v>300</v>
      </c>
    </row>
    <row r="534" spans="1:5" x14ac:dyDescent="0.3">
      <c r="A534" t="s">
        <v>1610</v>
      </c>
      <c r="B534" t="s">
        <v>1611</v>
      </c>
      <c r="C534" t="s">
        <v>846</v>
      </c>
      <c r="D534" t="s">
        <v>802</v>
      </c>
      <c r="E534">
        <v>300</v>
      </c>
    </row>
    <row r="535" spans="1:5" x14ac:dyDescent="0.3">
      <c r="A535" t="s">
        <v>1610</v>
      </c>
      <c r="B535" t="s">
        <v>1611</v>
      </c>
      <c r="C535" t="s">
        <v>846</v>
      </c>
      <c r="D535" t="s">
        <v>788</v>
      </c>
      <c r="E535">
        <v>350</v>
      </c>
    </row>
    <row r="536" spans="1:5" x14ac:dyDescent="0.3">
      <c r="A536" t="s">
        <v>1610</v>
      </c>
      <c r="B536" t="s">
        <v>1611</v>
      </c>
      <c r="C536" t="s">
        <v>846</v>
      </c>
      <c r="D536" t="s">
        <v>803</v>
      </c>
      <c r="E536">
        <v>350</v>
      </c>
    </row>
    <row r="537" spans="1:5" x14ac:dyDescent="0.3">
      <c r="A537" t="s">
        <v>1610</v>
      </c>
      <c r="B537" t="s">
        <v>1611</v>
      </c>
      <c r="C537" t="s">
        <v>847</v>
      </c>
      <c r="D537" t="s">
        <v>848</v>
      </c>
      <c r="E537">
        <v>415</v>
      </c>
    </row>
    <row r="538" spans="1:5" x14ac:dyDescent="0.3">
      <c r="A538" t="s">
        <v>1610</v>
      </c>
      <c r="B538" t="s">
        <v>1611</v>
      </c>
      <c r="C538" t="s">
        <v>847</v>
      </c>
      <c r="D538" t="s">
        <v>849</v>
      </c>
      <c r="E538">
        <v>415</v>
      </c>
    </row>
    <row r="539" spans="1:5" x14ac:dyDescent="0.3">
      <c r="A539" t="s">
        <v>1610</v>
      </c>
      <c r="B539" t="s">
        <v>1611</v>
      </c>
      <c r="C539" t="s">
        <v>847</v>
      </c>
      <c r="D539" t="s">
        <v>850</v>
      </c>
      <c r="E539">
        <v>415</v>
      </c>
    </row>
    <row r="540" spans="1:5" x14ac:dyDescent="0.3">
      <c r="A540" t="s">
        <v>1610</v>
      </c>
      <c r="B540" t="s">
        <v>1611</v>
      </c>
      <c r="C540" t="s">
        <v>847</v>
      </c>
      <c r="D540" t="s">
        <v>851</v>
      </c>
      <c r="E540">
        <v>415</v>
      </c>
    </row>
    <row r="541" spans="1:5" x14ac:dyDescent="0.3">
      <c r="A541" t="s">
        <v>1610</v>
      </c>
      <c r="B541" t="s">
        <v>1611</v>
      </c>
      <c r="C541" t="s">
        <v>847</v>
      </c>
      <c r="D541" t="s">
        <v>852</v>
      </c>
      <c r="E541">
        <v>415</v>
      </c>
    </row>
    <row r="542" spans="1:5" x14ac:dyDescent="0.3">
      <c r="A542" t="s">
        <v>1610</v>
      </c>
      <c r="B542" t="s">
        <v>1611</v>
      </c>
      <c r="C542" t="s">
        <v>847</v>
      </c>
      <c r="D542" t="s">
        <v>853</v>
      </c>
      <c r="E542">
        <v>415</v>
      </c>
    </row>
    <row r="543" spans="1:5" x14ac:dyDescent="0.3">
      <c r="A543" t="s">
        <v>1610</v>
      </c>
      <c r="B543" t="s">
        <v>1611</v>
      </c>
      <c r="C543" t="s">
        <v>847</v>
      </c>
      <c r="D543" t="s">
        <v>854</v>
      </c>
      <c r="E543">
        <v>415</v>
      </c>
    </row>
    <row r="544" spans="1:5" x14ac:dyDescent="0.3">
      <c r="A544" t="s">
        <v>1610</v>
      </c>
      <c r="B544" t="s">
        <v>1611</v>
      </c>
      <c r="C544" t="s">
        <v>847</v>
      </c>
      <c r="D544" t="s">
        <v>855</v>
      </c>
      <c r="E544">
        <v>415</v>
      </c>
    </row>
    <row r="545" spans="1:5" x14ac:dyDescent="0.3">
      <c r="A545" t="s">
        <v>1610</v>
      </c>
      <c r="B545" t="s">
        <v>1611</v>
      </c>
      <c r="C545" t="s">
        <v>847</v>
      </c>
      <c r="D545" t="s">
        <v>856</v>
      </c>
      <c r="E545">
        <v>415</v>
      </c>
    </row>
    <row r="546" spans="1:5" x14ac:dyDescent="0.3">
      <c r="A546" t="s">
        <v>1610</v>
      </c>
      <c r="B546" t="s">
        <v>1611</v>
      </c>
      <c r="C546" t="s">
        <v>847</v>
      </c>
      <c r="D546" t="s">
        <v>857</v>
      </c>
      <c r="E546">
        <v>415</v>
      </c>
    </row>
    <row r="547" spans="1:5" x14ac:dyDescent="0.3">
      <c r="A547" t="s">
        <v>1612</v>
      </c>
      <c r="B547" t="s">
        <v>1613</v>
      </c>
      <c r="C547" t="s">
        <v>755</v>
      </c>
      <c r="D547" t="s">
        <v>756</v>
      </c>
      <c r="E547">
        <v>32</v>
      </c>
    </row>
    <row r="548" spans="1:5" x14ac:dyDescent="0.3">
      <c r="A548" t="s">
        <v>1612</v>
      </c>
      <c r="B548" t="s">
        <v>1613</v>
      </c>
      <c r="C548" t="s">
        <v>755</v>
      </c>
      <c r="D548" t="s">
        <v>757</v>
      </c>
      <c r="E548">
        <v>32</v>
      </c>
    </row>
    <row r="549" spans="1:5" x14ac:dyDescent="0.3">
      <c r="A549" t="s">
        <v>1612</v>
      </c>
      <c r="B549" t="s">
        <v>1613</v>
      </c>
      <c r="C549" t="s">
        <v>755</v>
      </c>
      <c r="D549" t="s">
        <v>758</v>
      </c>
      <c r="E549">
        <v>36</v>
      </c>
    </row>
    <row r="550" spans="1:5" x14ac:dyDescent="0.3">
      <c r="A550" t="s">
        <v>1612</v>
      </c>
      <c r="B550" t="s">
        <v>1613</v>
      </c>
      <c r="C550" t="s">
        <v>755</v>
      </c>
      <c r="D550" t="s">
        <v>759</v>
      </c>
      <c r="E550">
        <v>36</v>
      </c>
    </row>
    <row r="551" spans="1:5" x14ac:dyDescent="0.3">
      <c r="A551" t="s">
        <v>1612</v>
      </c>
      <c r="B551" t="s">
        <v>1613</v>
      </c>
      <c r="C551" t="s">
        <v>755</v>
      </c>
      <c r="D551" t="s">
        <v>760</v>
      </c>
      <c r="E551">
        <v>55</v>
      </c>
    </row>
    <row r="552" spans="1:5" x14ac:dyDescent="0.3">
      <c r="A552" t="s">
        <v>1612</v>
      </c>
      <c r="B552" t="s">
        <v>1613</v>
      </c>
      <c r="C552" t="s">
        <v>755</v>
      </c>
      <c r="D552" t="s">
        <v>761</v>
      </c>
      <c r="E552">
        <v>61</v>
      </c>
    </row>
    <row r="553" spans="1:5" x14ac:dyDescent="0.3">
      <c r="A553" t="s">
        <v>1612</v>
      </c>
      <c r="B553" t="s">
        <v>1613</v>
      </c>
      <c r="C553" t="s">
        <v>755</v>
      </c>
      <c r="D553" t="s">
        <v>762</v>
      </c>
      <c r="E553">
        <v>69</v>
      </c>
    </row>
    <row r="554" spans="1:5" x14ac:dyDescent="0.3">
      <c r="A554" t="s">
        <v>1612</v>
      </c>
      <c r="B554" t="s">
        <v>1613</v>
      </c>
      <c r="C554" t="s">
        <v>755</v>
      </c>
      <c r="D554" t="s">
        <v>763</v>
      </c>
      <c r="E554">
        <v>145</v>
      </c>
    </row>
    <row r="555" spans="1:5" x14ac:dyDescent="0.3">
      <c r="A555" t="s">
        <v>1614</v>
      </c>
      <c r="B555" t="s">
        <v>1615</v>
      </c>
      <c r="C555" t="s">
        <v>755</v>
      </c>
      <c r="D555" t="s">
        <v>756</v>
      </c>
      <c r="E555">
        <v>95</v>
      </c>
    </row>
    <row r="556" spans="1:5" x14ac:dyDescent="0.3">
      <c r="A556" t="s">
        <v>1614</v>
      </c>
      <c r="B556" t="s">
        <v>1615</v>
      </c>
      <c r="C556" t="s">
        <v>755</v>
      </c>
      <c r="D556" t="s">
        <v>757</v>
      </c>
      <c r="E556">
        <v>139</v>
      </c>
    </row>
    <row r="557" spans="1:5" x14ac:dyDescent="0.3">
      <c r="A557" t="s">
        <v>1614</v>
      </c>
      <c r="B557" t="s">
        <v>1615</v>
      </c>
      <c r="C557" t="s">
        <v>755</v>
      </c>
      <c r="D557" t="s">
        <v>758</v>
      </c>
      <c r="E557">
        <v>154</v>
      </c>
    </row>
    <row r="558" spans="1:5" x14ac:dyDescent="0.3">
      <c r="A558" t="s">
        <v>1614</v>
      </c>
      <c r="B558" t="s">
        <v>1615</v>
      </c>
      <c r="C558" t="s">
        <v>755</v>
      </c>
      <c r="D558" t="s">
        <v>759</v>
      </c>
      <c r="E558">
        <v>190</v>
      </c>
    </row>
    <row r="559" spans="1:5" x14ac:dyDescent="0.3">
      <c r="A559" t="s">
        <v>1614</v>
      </c>
      <c r="B559" t="s">
        <v>1615</v>
      </c>
      <c r="C559" t="s">
        <v>755</v>
      </c>
      <c r="D559" t="s">
        <v>760</v>
      </c>
      <c r="E559">
        <v>221</v>
      </c>
    </row>
    <row r="560" spans="1:5" x14ac:dyDescent="0.3">
      <c r="A560" t="s">
        <v>1614</v>
      </c>
      <c r="B560" t="s">
        <v>1615</v>
      </c>
      <c r="C560" t="s">
        <v>755</v>
      </c>
      <c r="D560" t="s">
        <v>761</v>
      </c>
      <c r="E560">
        <v>257</v>
      </c>
    </row>
    <row r="561" spans="1:5" x14ac:dyDescent="0.3">
      <c r="A561" t="s">
        <v>1614</v>
      </c>
      <c r="B561" t="s">
        <v>1615</v>
      </c>
      <c r="C561" t="s">
        <v>755</v>
      </c>
      <c r="D561" t="s">
        <v>762</v>
      </c>
      <c r="E561">
        <v>283</v>
      </c>
    </row>
    <row r="562" spans="1:5" x14ac:dyDescent="0.3">
      <c r="A562" t="s">
        <v>1616</v>
      </c>
      <c r="B562" t="s">
        <v>1617</v>
      </c>
      <c r="C562" t="s">
        <v>781</v>
      </c>
      <c r="D562" t="s">
        <v>782</v>
      </c>
      <c r="E562">
        <v>23</v>
      </c>
    </row>
    <row r="563" spans="1:5" x14ac:dyDescent="0.3">
      <c r="A563" t="s">
        <v>1616</v>
      </c>
      <c r="B563" t="s">
        <v>1617</v>
      </c>
      <c r="C563" t="s">
        <v>781</v>
      </c>
      <c r="D563" t="s">
        <v>783</v>
      </c>
      <c r="E563">
        <v>42</v>
      </c>
    </row>
    <row r="564" spans="1:5" x14ac:dyDescent="0.3">
      <c r="A564" t="s">
        <v>1616</v>
      </c>
      <c r="B564" t="s">
        <v>1617</v>
      </c>
      <c r="C564" t="s">
        <v>781</v>
      </c>
      <c r="D564" t="s">
        <v>784</v>
      </c>
      <c r="E564">
        <v>73</v>
      </c>
    </row>
    <row r="565" spans="1:5" x14ac:dyDescent="0.3">
      <c r="A565" t="s">
        <v>1616</v>
      </c>
      <c r="B565" t="s">
        <v>1617</v>
      </c>
      <c r="C565" t="s">
        <v>781</v>
      </c>
      <c r="D565" t="s">
        <v>785</v>
      </c>
      <c r="E565">
        <v>82</v>
      </c>
    </row>
    <row r="566" spans="1:5" x14ac:dyDescent="0.3">
      <c r="A566" t="s">
        <v>1616</v>
      </c>
      <c r="B566" t="s">
        <v>1617</v>
      </c>
      <c r="C566" t="s">
        <v>781</v>
      </c>
      <c r="D566" t="s">
        <v>787</v>
      </c>
      <c r="E566">
        <v>88</v>
      </c>
    </row>
    <row r="567" spans="1:5" x14ac:dyDescent="0.3">
      <c r="A567" t="s">
        <v>1616</v>
      </c>
      <c r="B567" t="s">
        <v>1617</v>
      </c>
      <c r="C567" t="s">
        <v>781</v>
      </c>
      <c r="D567" t="s">
        <v>788</v>
      </c>
      <c r="E567">
        <v>108</v>
      </c>
    </row>
    <row r="568" spans="1:5" x14ac:dyDescent="0.3">
      <c r="A568" t="s">
        <v>1616</v>
      </c>
      <c r="B568" t="s">
        <v>1617</v>
      </c>
      <c r="C568" t="s">
        <v>790</v>
      </c>
      <c r="D568" t="s">
        <v>782</v>
      </c>
      <c r="E568">
        <v>23</v>
      </c>
    </row>
    <row r="569" spans="1:5" x14ac:dyDescent="0.3">
      <c r="A569" t="s">
        <v>1616</v>
      </c>
      <c r="B569" t="s">
        <v>1617</v>
      </c>
      <c r="C569" t="s">
        <v>790</v>
      </c>
      <c r="D569" t="s">
        <v>783</v>
      </c>
      <c r="E569">
        <v>42</v>
      </c>
    </row>
    <row r="570" spans="1:5" x14ac:dyDescent="0.3">
      <c r="A570" t="s">
        <v>1616</v>
      </c>
      <c r="B570" t="s">
        <v>1617</v>
      </c>
      <c r="C570" t="s">
        <v>790</v>
      </c>
      <c r="D570" t="s">
        <v>784</v>
      </c>
      <c r="E570">
        <v>73</v>
      </c>
    </row>
    <row r="571" spans="1:5" x14ac:dyDescent="0.3">
      <c r="A571" t="s">
        <v>1616</v>
      </c>
      <c r="B571" t="s">
        <v>1617</v>
      </c>
      <c r="C571" t="s">
        <v>790</v>
      </c>
      <c r="D571" t="s">
        <v>785</v>
      </c>
      <c r="E571">
        <v>82</v>
      </c>
    </row>
    <row r="572" spans="1:5" x14ac:dyDescent="0.3">
      <c r="A572" t="s">
        <v>1616</v>
      </c>
      <c r="B572" t="s">
        <v>1617</v>
      </c>
      <c r="C572" t="s">
        <v>790</v>
      </c>
      <c r="D572" t="s">
        <v>787</v>
      </c>
      <c r="E572">
        <v>88</v>
      </c>
    </row>
    <row r="573" spans="1:5" x14ac:dyDescent="0.3">
      <c r="A573" t="s">
        <v>1616</v>
      </c>
      <c r="B573" t="s">
        <v>1617</v>
      </c>
      <c r="C573" t="s">
        <v>790</v>
      </c>
      <c r="D573" t="s">
        <v>788</v>
      </c>
      <c r="E573">
        <v>108</v>
      </c>
    </row>
    <row r="574" spans="1:5" x14ac:dyDescent="0.3">
      <c r="A574" t="s">
        <v>1616</v>
      </c>
      <c r="B574" t="s">
        <v>1617</v>
      </c>
      <c r="C574" t="s">
        <v>791</v>
      </c>
      <c r="D574" t="s">
        <v>792</v>
      </c>
      <c r="E574">
        <v>52</v>
      </c>
    </row>
    <row r="575" spans="1:5" x14ac:dyDescent="0.3">
      <c r="A575" t="s">
        <v>1616</v>
      </c>
      <c r="B575" t="s">
        <v>1617</v>
      </c>
      <c r="C575" t="s">
        <v>791</v>
      </c>
      <c r="D575" t="s">
        <v>793</v>
      </c>
      <c r="E575">
        <v>80</v>
      </c>
    </row>
    <row r="576" spans="1:5" x14ac:dyDescent="0.3">
      <c r="A576" t="s">
        <v>1616</v>
      </c>
      <c r="B576" t="s">
        <v>1617</v>
      </c>
      <c r="C576" t="s">
        <v>791</v>
      </c>
      <c r="D576" t="s">
        <v>794</v>
      </c>
      <c r="E576">
        <v>100</v>
      </c>
    </row>
    <row r="577" spans="1:5" x14ac:dyDescent="0.3">
      <c r="A577" t="s">
        <v>1616</v>
      </c>
      <c r="B577" t="s">
        <v>1617</v>
      </c>
      <c r="C577" t="s">
        <v>791</v>
      </c>
      <c r="D577" t="s">
        <v>795</v>
      </c>
      <c r="E577">
        <v>110</v>
      </c>
    </row>
    <row r="578" spans="1:5" x14ac:dyDescent="0.3">
      <c r="A578" t="s">
        <v>1616</v>
      </c>
      <c r="B578" t="s">
        <v>1617</v>
      </c>
      <c r="C578" t="s">
        <v>791</v>
      </c>
      <c r="D578" t="s">
        <v>796</v>
      </c>
      <c r="E578">
        <v>136</v>
      </c>
    </row>
    <row r="579" spans="1:5" x14ac:dyDescent="0.3">
      <c r="A579" t="s">
        <v>1616</v>
      </c>
      <c r="B579" t="s">
        <v>1617</v>
      </c>
      <c r="C579" t="s">
        <v>797</v>
      </c>
      <c r="D579" t="s">
        <v>799</v>
      </c>
      <c r="E579">
        <v>52</v>
      </c>
    </row>
    <row r="580" spans="1:5" x14ac:dyDescent="0.3">
      <c r="A580" t="s">
        <v>1616</v>
      </c>
      <c r="B580" t="s">
        <v>1617</v>
      </c>
      <c r="C580" t="s">
        <v>797</v>
      </c>
      <c r="D580" t="s">
        <v>800</v>
      </c>
      <c r="E580">
        <v>80</v>
      </c>
    </row>
    <row r="581" spans="1:5" x14ac:dyDescent="0.3">
      <c r="A581" t="s">
        <v>1616</v>
      </c>
      <c r="B581" t="s">
        <v>1617</v>
      </c>
      <c r="C581" t="s">
        <v>797</v>
      </c>
      <c r="D581" t="s">
        <v>801</v>
      </c>
      <c r="E581">
        <v>100</v>
      </c>
    </row>
    <row r="582" spans="1:5" x14ac:dyDescent="0.3">
      <c r="A582" t="s">
        <v>1616</v>
      </c>
      <c r="B582" t="s">
        <v>1617</v>
      </c>
      <c r="C582" t="s">
        <v>797</v>
      </c>
      <c r="D582" t="s">
        <v>802</v>
      </c>
      <c r="E582">
        <v>110</v>
      </c>
    </row>
    <row r="583" spans="1:5" x14ac:dyDescent="0.3">
      <c r="A583" t="s">
        <v>1616</v>
      </c>
      <c r="B583" t="s">
        <v>1617</v>
      </c>
      <c r="C583" t="s">
        <v>797</v>
      </c>
      <c r="D583" t="s">
        <v>803</v>
      </c>
      <c r="E583">
        <v>136</v>
      </c>
    </row>
    <row r="584" spans="1:5" x14ac:dyDescent="0.3">
      <c r="A584" t="s">
        <v>1616</v>
      </c>
      <c r="B584" t="s">
        <v>1617</v>
      </c>
      <c r="C584" t="s">
        <v>804</v>
      </c>
      <c r="D584" t="s">
        <v>805</v>
      </c>
      <c r="E584">
        <v>17</v>
      </c>
    </row>
    <row r="585" spans="1:5" x14ac:dyDescent="0.3">
      <c r="A585" t="s">
        <v>1616</v>
      </c>
      <c r="B585" t="s">
        <v>1617</v>
      </c>
      <c r="C585" t="s">
        <v>804</v>
      </c>
      <c r="D585" t="s">
        <v>806</v>
      </c>
      <c r="E585">
        <v>36</v>
      </c>
    </row>
    <row r="586" spans="1:5" x14ac:dyDescent="0.3">
      <c r="A586" t="s">
        <v>1616</v>
      </c>
      <c r="B586" t="s">
        <v>1617</v>
      </c>
      <c r="C586" t="s">
        <v>804</v>
      </c>
      <c r="D586" t="s">
        <v>807</v>
      </c>
      <c r="E586">
        <v>48</v>
      </c>
    </row>
    <row r="587" spans="1:5" x14ac:dyDescent="0.3">
      <c r="A587" t="s">
        <v>1616</v>
      </c>
      <c r="B587" t="s">
        <v>1617</v>
      </c>
      <c r="C587" t="s">
        <v>804</v>
      </c>
      <c r="D587" t="s">
        <v>808</v>
      </c>
      <c r="E587">
        <v>66</v>
      </c>
    </row>
    <row r="588" spans="1:5" x14ac:dyDescent="0.3">
      <c r="A588" t="s">
        <v>1616</v>
      </c>
      <c r="B588" t="s">
        <v>1617</v>
      </c>
      <c r="C588" t="s">
        <v>804</v>
      </c>
      <c r="D588" t="s">
        <v>810</v>
      </c>
      <c r="E588">
        <v>78</v>
      </c>
    </row>
    <row r="589" spans="1:5" x14ac:dyDescent="0.3">
      <c r="A589" t="s">
        <v>1616</v>
      </c>
      <c r="B589" t="s">
        <v>1617</v>
      </c>
      <c r="C589" t="s">
        <v>804</v>
      </c>
      <c r="D589" t="s">
        <v>811</v>
      </c>
      <c r="E589">
        <v>100</v>
      </c>
    </row>
    <row r="590" spans="1:5" x14ac:dyDescent="0.3">
      <c r="A590" t="s">
        <v>1616</v>
      </c>
      <c r="B590" t="s">
        <v>1617</v>
      </c>
      <c r="C590" t="s">
        <v>812</v>
      </c>
      <c r="D590" t="s">
        <v>782</v>
      </c>
      <c r="E590">
        <v>23</v>
      </c>
    </row>
    <row r="591" spans="1:5" x14ac:dyDescent="0.3">
      <c r="A591" t="s">
        <v>1616</v>
      </c>
      <c r="B591" t="s">
        <v>1617</v>
      </c>
      <c r="C591" t="s">
        <v>812</v>
      </c>
      <c r="D591" t="s">
        <v>783</v>
      </c>
      <c r="E591">
        <v>52</v>
      </c>
    </row>
    <row r="592" spans="1:5" x14ac:dyDescent="0.3">
      <c r="A592" t="s">
        <v>1616</v>
      </c>
      <c r="B592" t="s">
        <v>1617</v>
      </c>
      <c r="C592" t="s">
        <v>812</v>
      </c>
      <c r="D592" t="s">
        <v>784</v>
      </c>
      <c r="E592">
        <v>86</v>
      </c>
    </row>
    <row r="593" spans="1:5" x14ac:dyDescent="0.3">
      <c r="A593" t="s">
        <v>1616</v>
      </c>
      <c r="B593" t="s">
        <v>1617</v>
      </c>
      <c r="C593" t="s">
        <v>812</v>
      </c>
      <c r="D593" t="s">
        <v>785</v>
      </c>
      <c r="E593">
        <v>100</v>
      </c>
    </row>
    <row r="594" spans="1:5" x14ac:dyDescent="0.3">
      <c r="A594" t="s">
        <v>1616</v>
      </c>
      <c r="B594" t="s">
        <v>1617</v>
      </c>
      <c r="C594" t="s">
        <v>812</v>
      </c>
      <c r="D594" t="s">
        <v>787</v>
      </c>
      <c r="E594">
        <v>110</v>
      </c>
    </row>
    <row r="595" spans="1:5" x14ac:dyDescent="0.3">
      <c r="A595" t="s">
        <v>1616</v>
      </c>
      <c r="B595" t="s">
        <v>1617</v>
      </c>
      <c r="C595" t="s">
        <v>812</v>
      </c>
      <c r="D595" t="s">
        <v>788</v>
      </c>
      <c r="E595">
        <v>150</v>
      </c>
    </row>
    <row r="596" spans="1:5" x14ac:dyDescent="0.3">
      <c r="A596" t="s">
        <v>1616</v>
      </c>
      <c r="B596" t="s">
        <v>1617</v>
      </c>
      <c r="C596" t="s">
        <v>813</v>
      </c>
      <c r="D596" t="s">
        <v>782</v>
      </c>
      <c r="E596">
        <v>23</v>
      </c>
    </row>
    <row r="597" spans="1:5" x14ac:dyDescent="0.3">
      <c r="A597" t="s">
        <v>1616</v>
      </c>
      <c r="B597" t="s">
        <v>1617</v>
      </c>
      <c r="C597" t="s">
        <v>813</v>
      </c>
      <c r="D597" t="s">
        <v>783</v>
      </c>
      <c r="E597">
        <v>52</v>
      </c>
    </row>
    <row r="598" spans="1:5" x14ac:dyDescent="0.3">
      <c r="A598" t="s">
        <v>1616</v>
      </c>
      <c r="B598" t="s">
        <v>1617</v>
      </c>
      <c r="C598" t="s">
        <v>813</v>
      </c>
      <c r="D598" t="s">
        <v>784</v>
      </c>
      <c r="E598">
        <v>86</v>
      </c>
    </row>
    <row r="599" spans="1:5" x14ac:dyDescent="0.3">
      <c r="A599" t="s">
        <v>1616</v>
      </c>
      <c r="B599" t="s">
        <v>1617</v>
      </c>
      <c r="C599" t="s">
        <v>813</v>
      </c>
      <c r="D599" t="s">
        <v>785</v>
      </c>
      <c r="E599">
        <v>100</v>
      </c>
    </row>
    <row r="600" spans="1:5" x14ac:dyDescent="0.3">
      <c r="A600" t="s">
        <v>1616</v>
      </c>
      <c r="B600" t="s">
        <v>1617</v>
      </c>
      <c r="C600" t="s">
        <v>813</v>
      </c>
      <c r="D600" t="s">
        <v>787</v>
      </c>
      <c r="E600">
        <v>110</v>
      </c>
    </row>
    <row r="601" spans="1:5" x14ac:dyDescent="0.3">
      <c r="A601" t="s">
        <v>1616</v>
      </c>
      <c r="B601" t="s">
        <v>1617</v>
      </c>
      <c r="C601" t="s">
        <v>813</v>
      </c>
      <c r="D601" t="s">
        <v>788</v>
      </c>
      <c r="E601">
        <v>150</v>
      </c>
    </row>
    <row r="602" spans="1:5" x14ac:dyDescent="0.3">
      <c r="A602" t="s">
        <v>1616</v>
      </c>
      <c r="B602" t="s">
        <v>1617</v>
      </c>
      <c r="C602" t="s">
        <v>843</v>
      </c>
      <c r="D602" t="s">
        <v>845</v>
      </c>
      <c r="E602">
        <v>143</v>
      </c>
    </row>
    <row r="603" spans="1:5" x14ac:dyDescent="0.3">
      <c r="A603" t="s">
        <v>1616</v>
      </c>
      <c r="B603" t="s">
        <v>1617</v>
      </c>
      <c r="C603" t="s">
        <v>843</v>
      </c>
      <c r="D603" t="s">
        <v>799</v>
      </c>
      <c r="E603">
        <v>164</v>
      </c>
    </row>
    <row r="604" spans="1:5" x14ac:dyDescent="0.3">
      <c r="A604" t="s">
        <v>1616</v>
      </c>
      <c r="B604" t="s">
        <v>1617</v>
      </c>
      <c r="C604" t="s">
        <v>843</v>
      </c>
      <c r="D604" t="s">
        <v>800</v>
      </c>
      <c r="E604">
        <v>180</v>
      </c>
    </row>
    <row r="605" spans="1:5" x14ac:dyDescent="0.3">
      <c r="A605" t="s">
        <v>1616</v>
      </c>
      <c r="B605" t="s">
        <v>1617</v>
      </c>
      <c r="C605" t="s">
        <v>843</v>
      </c>
      <c r="D605" t="s">
        <v>786</v>
      </c>
      <c r="E605">
        <v>212</v>
      </c>
    </row>
    <row r="606" spans="1:5" x14ac:dyDescent="0.3">
      <c r="A606" t="s">
        <v>1616</v>
      </c>
      <c r="B606" t="s">
        <v>1617</v>
      </c>
      <c r="C606" t="s">
        <v>843</v>
      </c>
      <c r="D606" t="s">
        <v>801</v>
      </c>
      <c r="E606">
        <v>212</v>
      </c>
    </row>
    <row r="607" spans="1:5" x14ac:dyDescent="0.3">
      <c r="A607" t="s">
        <v>1616</v>
      </c>
      <c r="B607" t="s">
        <v>1617</v>
      </c>
      <c r="C607" t="s">
        <v>843</v>
      </c>
      <c r="D607" t="s">
        <v>787</v>
      </c>
      <c r="E607">
        <v>244</v>
      </c>
    </row>
    <row r="608" spans="1:5" x14ac:dyDescent="0.3">
      <c r="A608" t="s">
        <v>1616</v>
      </c>
      <c r="B608" t="s">
        <v>1617</v>
      </c>
      <c r="C608" t="s">
        <v>843</v>
      </c>
      <c r="D608" t="s">
        <v>802</v>
      </c>
      <c r="E608">
        <v>244</v>
      </c>
    </row>
    <row r="609" spans="1:5" x14ac:dyDescent="0.3">
      <c r="A609" t="s">
        <v>1616</v>
      </c>
      <c r="B609" t="s">
        <v>1617</v>
      </c>
      <c r="C609" t="s">
        <v>843</v>
      </c>
      <c r="D609" t="s">
        <v>788</v>
      </c>
      <c r="E609">
        <v>275</v>
      </c>
    </row>
    <row r="610" spans="1:5" x14ac:dyDescent="0.3">
      <c r="A610" t="s">
        <v>1616</v>
      </c>
      <c r="B610" t="s">
        <v>1617</v>
      </c>
      <c r="C610" t="s">
        <v>843</v>
      </c>
      <c r="D610" t="s">
        <v>803</v>
      </c>
      <c r="E610">
        <v>275</v>
      </c>
    </row>
    <row r="611" spans="1:5" x14ac:dyDescent="0.3">
      <c r="A611" t="s">
        <v>1616</v>
      </c>
      <c r="B611" t="s">
        <v>1617</v>
      </c>
      <c r="C611" t="s">
        <v>846</v>
      </c>
      <c r="D611" t="s">
        <v>845</v>
      </c>
      <c r="E611">
        <v>143</v>
      </c>
    </row>
    <row r="612" spans="1:5" x14ac:dyDescent="0.3">
      <c r="A612" t="s">
        <v>1616</v>
      </c>
      <c r="B612" t="s">
        <v>1617</v>
      </c>
      <c r="C612" t="s">
        <v>846</v>
      </c>
      <c r="D612" t="s">
        <v>799</v>
      </c>
      <c r="E612">
        <v>164</v>
      </c>
    </row>
    <row r="613" spans="1:5" x14ac:dyDescent="0.3">
      <c r="A613" t="s">
        <v>1616</v>
      </c>
      <c r="B613" t="s">
        <v>1617</v>
      </c>
      <c r="C613" t="s">
        <v>846</v>
      </c>
      <c r="D613" t="s">
        <v>800</v>
      </c>
      <c r="E613">
        <v>180</v>
      </c>
    </row>
    <row r="614" spans="1:5" x14ac:dyDescent="0.3">
      <c r="A614" t="s">
        <v>1616</v>
      </c>
      <c r="B614" t="s">
        <v>1617</v>
      </c>
      <c r="C614" t="s">
        <v>846</v>
      </c>
      <c r="D614" t="s">
        <v>786</v>
      </c>
      <c r="E614">
        <v>212</v>
      </c>
    </row>
    <row r="615" spans="1:5" x14ac:dyDescent="0.3">
      <c r="A615" t="s">
        <v>1616</v>
      </c>
      <c r="B615" t="s">
        <v>1617</v>
      </c>
      <c r="C615" t="s">
        <v>846</v>
      </c>
      <c r="D615" t="s">
        <v>801</v>
      </c>
      <c r="E615">
        <v>212</v>
      </c>
    </row>
    <row r="616" spans="1:5" x14ac:dyDescent="0.3">
      <c r="A616" t="s">
        <v>1616</v>
      </c>
      <c r="B616" t="s">
        <v>1617</v>
      </c>
      <c r="C616" t="s">
        <v>846</v>
      </c>
      <c r="D616" t="s">
        <v>787</v>
      </c>
      <c r="E616">
        <v>244</v>
      </c>
    </row>
    <row r="617" spans="1:5" x14ac:dyDescent="0.3">
      <c r="A617" t="s">
        <v>1616</v>
      </c>
      <c r="B617" t="s">
        <v>1617</v>
      </c>
      <c r="C617" t="s">
        <v>846</v>
      </c>
      <c r="D617" t="s">
        <v>802</v>
      </c>
      <c r="E617">
        <v>244</v>
      </c>
    </row>
    <row r="618" spans="1:5" x14ac:dyDescent="0.3">
      <c r="A618" t="s">
        <v>1616</v>
      </c>
      <c r="B618" t="s">
        <v>1617</v>
      </c>
      <c r="C618" t="s">
        <v>846</v>
      </c>
      <c r="D618" t="s">
        <v>788</v>
      </c>
      <c r="E618">
        <v>275</v>
      </c>
    </row>
    <row r="619" spans="1:5" x14ac:dyDescent="0.3">
      <c r="A619" t="s">
        <v>1616</v>
      </c>
      <c r="B619" t="s">
        <v>1617</v>
      </c>
      <c r="C619" t="s">
        <v>846</v>
      </c>
      <c r="D619" t="s">
        <v>803</v>
      </c>
      <c r="E619">
        <v>275</v>
      </c>
    </row>
    <row r="620" spans="1:5" x14ac:dyDescent="0.3">
      <c r="A620" t="s">
        <v>1616</v>
      </c>
      <c r="B620" t="s">
        <v>1617</v>
      </c>
      <c r="C620" t="s">
        <v>847</v>
      </c>
      <c r="D620" t="s">
        <v>848</v>
      </c>
      <c r="E620">
        <v>308</v>
      </c>
    </row>
    <row r="621" spans="1:5" x14ac:dyDescent="0.3">
      <c r="A621" t="s">
        <v>1616</v>
      </c>
      <c r="B621" t="s">
        <v>1617</v>
      </c>
      <c r="C621" t="s">
        <v>847</v>
      </c>
      <c r="D621" t="s">
        <v>849</v>
      </c>
      <c r="E621">
        <v>308</v>
      </c>
    </row>
    <row r="622" spans="1:5" x14ac:dyDescent="0.3">
      <c r="A622" t="s">
        <v>1616</v>
      </c>
      <c r="B622" t="s">
        <v>1617</v>
      </c>
      <c r="C622" t="s">
        <v>847</v>
      </c>
      <c r="D622" t="s">
        <v>850</v>
      </c>
      <c r="E622">
        <v>308</v>
      </c>
    </row>
    <row r="623" spans="1:5" x14ac:dyDescent="0.3">
      <c r="A623" t="s">
        <v>1616</v>
      </c>
      <c r="B623" t="s">
        <v>1617</v>
      </c>
      <c r="C623" t="s">
        <v>847</v>
      </c>
      <c r="D623" t="s">
        <v>851</v>
      </c>
      <c r="E623">
        <v>308</v>
      </c>
    </row>
    <row r="624" spans="1:5" x14ac:dyDescent="0.3">
      <c r="A624" t="s">
        <v>1616</v>
      </c>
      <c r="B624" t="s">
        <v>1617</v>
      </c>
      <c r="C624" t="s">
        <v>847</v>
      </c>
      <c r="D624" t="s">
        <v>852</v>
      </c>
      <c r="E624">
        <v>308</v>
      </c>
    </row>
    <row r="625" spans="1:5" x14ac:dyDescent="0.3">
      <c r="A625" t="s">
        <v>1616</v>
      </c>
      <c r="B625" t="s">
        <v>1617</v>
      </c>
      <c r="C625" t="s">
        <v>847</v>
      </c>
      <c r="D625" t="s">
        <v>853</v>
      </c>
      <c r="E625">
        <v>308</v>
      </c>
    </row>
    <row r="626" spans="1:5" x14ac:dyDescent="0.3">
      <c r="A626" t="s">
        <v>1616</v>
      </c>
      <c r="B626" t="s">
        <v>1617</v>
      </c>
      <c r="C626" t="s">
        <v>847</v>
      </c>
      <c r="D626" t="s">
        <v>854</v>
      </c>
      <c r="E626">
        <v>308</v>
      </c>
    </row>
    <row r="627" spans="1:5" x14ac:dyDescent="0.3">
      <c r="A627" t="s">
        <v>1616</v>
      </c>
      <c r="B627" t="s">
        <v>1617</v>
      </c>
      <c r="C627" t="s">
        <v>847</v>
      </c>
      <c r="D627" t="s">
        <v>855</v>
      </c>
      <c r="E627">
        <v>308</v>
      </c>
    </row>
    <row r="628" spans="1:5" x14ac:dyDescent="0.3">
      <c r="A628" t="s">
        <v>1616</v>
      </c>
      <c r="B628" t="s">
        <v>1617</v>
      </c>
      <c r="C628" t="s">
        <v>847</v>
      </c>
      <c r="D628" t="s">
        <v>856</v>
      </c>
      <c r="E628">
        <v>308</v>
      </c>
    </row>
    <row r="629" spans="1:5" x14ac:dyDescent="0.3">
      <c r="A629" t="s">
        <v>1616</v>
      </c>
      <c r="B629" t="s">
        <v>1617</v>
      </c>
      <c r="C629" t="s">
        <v>847</v>
      </c>
      <c r="D629" t="s">
        <v>857</v>
      </c>
      <c r="E629">
        <v>308</v>
      </c>
    </row>
    <row r="630" spans="1:5" x14ac:dyDescent="0.3">
      <c r="A630" t="s">
        <v>1616</v>
      </c>
      <c r="B630" t="s">
        <v>1617</v>
      </c>
      <c r="C630" t="s">
        <v>863</v>
      </c>
      <c r="D630" t="s">
        <v>782</v>
      </c>
      <c r="E630">
        <v>23</v>
      </c>
    </row>
    <row r="631" spans="1:5" x14ac:dyDescent="0.3">
      <c r="A631" t="s">
        <v>1616</v>
      </c>
      <c r="B631" t="s">
        <v>1617</v>
      </c>
      <c r="C631" t="s">
        <v>863</v>
      </c>
      <c r="D631" t="s">
        <v>783</v>
      </c>
      <c r="E631">
        <v>42</v>
      </c>
    </row>
    <row r="632" spans="1:5" x14ac:dyDescent="0.3">
      <c r="A632" t="s">
        <v>1616</v>
      </c>
      <c r="B632" t="s">
        <v>1617</v>
      </c>
      <c r="C632" t="s">
        <v>863</v>
      </c>
      <c r="D632" t="s">
        <v>784</v>
      </c>
      <c r="E632">
        <v>73</v>
      </c>
    </row>
    <row r="633" spans="1:5" x14ac:dyDescent="0.3">
      <c r="A633" t="s">
        <v>1616</v>
      </c>
      <c r="B633" t="s">
        <v>1617</v>
      </c>
      <c r="C633" t="s">
        <v>863</v>
      </c>
      <c r="D633" t="s">
        <v>785</v>
      </c>
      <c r="E633">
        <v>82</v>
      </c>
    </row>
    <row r="634" spans="1:5" x14ac:dyDescent="0.3">
      <c r="A634" t="s">
        <v>1616</v>
      </c>
      <c r="B634" t="s">
        <v>1617</v>
      </c>
      <c r="C634" t="s">
        <v>863</v>
      </c>
      <c r="D634" t="s">
        <v>787</v>
      </c>
      <c r="E634">
        <v>88</v>
      </c>
    </row>
    <row r="635" spans="1:5" x14ac:dyDescent="0.3">
      <c r="A635" t="s">
        <v>1616</v>
      </c>
      <c r="B635" t="s">
        <v>1617</v>
      </c>
      <c r="C635" t="s">
        <v>863</v>
      </c>
      <c r="D635" t="s">
        <v>788</v>
      </c>
      <c r="E635">
        <v>108</v>
      </c>
    </row>
    <row r="636" spans="1:5" x14ac:dyDescent="0.3">
      <c r="A636" t="s">
        <v>1616</v>
      </c>
      <c r="B636" t="s">
        <v>1617</v>
      </c>
      <c r="C636" t="s">
        <v>865</v>
      </c>
      <c r="D636" t="s">
        <v>782</v>
      </c>
      <c r="E636">
        <v>23</v>
      </c>
    </row>
    <row r="637" spans="1:5" x14ac:dyDescent="0.3">
      <c r="A637" t="s">
        <v>1616</v>
      </c>
      <c r="B637" t="s">
        <v>1617</v>
      </c>
      <c r="C637" t="s">
        <v>865</v>
      </c>
      <c r="D637" t="s">
        <v>783</v>
      </c>
      <c r="E637">
        <v>42</v>
      </c>
    </row>
    <row r="638" spans="1:5" x14ac:dyDescent="0.3">
      <c r="A638" t="s">
        <v>1616</v>
      </c>
      <c r="B638" t="s">
        <v>1617</v>
      </c>
      <c r="C638" t="s">
        <v>865</v>
      </c>
      <c r="D638" t="s">
        <v>784</v>
      </c>
      <c r="E638">
        <v>73</v>
      </c>
    </row>
    <row r="639" spans="1:5" x14ac:dyDescent="0.3">
      <c r="A639" t="s">
        <v>1616</v>
      </c>
      <c r="B639" t="s">
        <v>1617</v>
      </c>
      <c r="C639" t="s">
        <v>865</v>
      </c>
      <c r="D639" t="s">
        <v>785</v>
      </c>
      <c r="E639">
        <v>82</v>
      </c>
    </row>
    <row r="640" spans="1:5" x14ac:dyDescent="0.3">
      <c r="A640" t="s">
        <v>1616</v>
      </c>
      <c r="B640" t="s">
        <v>1617</v>
      </c>
      <c r="C640" t="s">
        <v>865</v>
      </c>
      <c r="D640" t="s">
        <v>787</v>
      </c>
      <c r="E640">
        <v>88</v>
      </c>
    </row>
    <row r="641" spans="1:5" x14ac:dyDescent="0.3">
      <c r="A641" t="s">
        <v>1616</v>
      </c>
      <c r="B641" t="s">
        <v>1617</v>
      </c>
      <c r="C641" t="s">
        <v>865</v>
      </c>
      <c r="D641" t="s">
        <v>788</v>
      </c>
      <c r="E641">
        <v>108</v>
      </c>
    </row>
    <row r="642" spans="1:5" x14ac:dyDescent="0.3">
      <c r="A642" t="s">
        <v>1616</v>
      </c>
      <c r="B642" t="s">
        <v>1617</v>
      </c>
      <c r="C642" t="s">
        <v>866</v>
      </c>
      <c r="D642" t="s">
        <v>792</v>
      </c>
      <c r="E642">
        <v>52</v>
      </c>
    </row>
    <row r="643" spans="1:5" x14ac:dyDescent="0.3">
      <c r="A643" t="s">
        <v>1616</v>
      </c>
      <c r="B643" t="s">
        <v>1617</v>
      </c>
      <c r="C643" t="s">
        <v>866</v>
      </c>
      <c r="D643" t="s">
        <v>793</v>
      </c>
      <c r="E643">
        <v>80</v>
      </c>
    </row>
    <row r="644" spans="1:5" x14ac:dyDescent="0.3">
      <c r="A644" t="s">
        <v>1616</v>
      </c>
      <c r="B644" t="s">
        <v>1617</v>
      </c>
      <c r="C644" t="s">
        <v>866</v>
      </c>
      <c r="D644" t="s">
        <v>794</v>
      </c>
      <c r="E644">
        <v>100</v>
      </c>
    </row>
    <row r="645" spans="1:5" x14ac:dyDescent="0.3">
      <c r="A645" t="s">
        <v>1616</v>
      </c>
      <c r="B645" t="s">
        <v>1617</v>
      </c>
      <c r="C645" t="s">
        <v>866</v>
      </c>
      <c r="D645" t="s">
        <v>795</v>
      </c>
      <c r="E645">
        <v>110</v>
      </c>
    </row>
    <row r="646" spans="1:5" x14ac:dyDescent="0.3">
      <c r="A646" t="s">
        <v>1616</v>
      </c>
      <c r="B646" t="s">
        <v>1617</v>
      </c>
      <c r="C646" t="s">
        <v>866</v>
      </c>
      <c r="D646" t="s">
        <v>796</v>
      </c>
      <c r="E646">
        <v>136</v>
      </c>
    </row>
    <row r="647" spans="1:5" x14ac:dyDescent="0.3">
      <c r="A647" t="s">
        <v>1616</v>
      </c>
      <c r="B647" t="s">
        <v>1617</v>
      </c>
      <c r="C647" t="s">
        <v>867</v>
      </c>
      <c r="D647" t="s">
        <v>799</v>
      </c>
      <c r="E647">
        <v>52</v>
      </c>
    </row>
    <row r="648" spans="1:5" x14ac:dyDescent="0.3">
      <c r="A648" t="s">
        <v>1616</v>
      </c>
      <c r="B648" t="s">
        <v>1617</v>
      </c>
      <c r="C648" t="s">
        <v>867</v>
      </c>
      <c r="D648" t="s">
        <v>800</v>
      </c>
      <c r="E648">
        <v>80</v>
      </c>
    </row>
    <row r="649" spans="1:5" x14ac:dyDescent="0.3">
      <c r="A649" t="s">
        <v>1616</v>
      </c>
      <c r="B649" t="s">
        <v>1617</v>
      </c>
      <c r="C649" t="s">
        <v>867</v>
      </c>
      <c r="D649" t="s">
        <v>801</v>
      </c>
      <c r="E649">
        <v>100</v>
      </c>
    </row>
    <row r="650" spans="1:5" x14ac:dyDescent="0.3">
      <c r="A650" t="s">
        <v>1616</v>
      </c>
      <c r="B650" t="s">
        <v>1617</v>
      </c>
      <c r="C650" t="s">
        <v>867</v>
      </c>
      <c r="D650" t="s">
        <v>802</v>
      </c>
      <c r="E650">
        <v>110</v>
      </c>
    </row>
    <row r="651" spans="1:5" x14ac:dyDescent="0.3">
      <c r="A651" t="s">
        <v>1616</v>
      </c>
      <c r="B651" t="s">
        <v>1617</v>
      </c>
      <c r="C651" t="s">
        <v>867</v>
      </c>
      <c r="D651" t="s">
        <v>803</v>
      </c>
      <c r="E651">
        <v>136</v>
      </c>
    </row>
    <row r="652" spans="1:5" x14ac:dyDescent="0.3">
      <c r="A652" t="s">
        <v>1616</v>
      </c>
      <c r="B652" t="s">
        <v>1617</v>
      </c>
      <c r="C652" t="s">
        <v>868</v>
      </c>
      <c r="D652" t="s">
        <v>805</v>
      </c>
      <c r="E652">
        <v>17</v>
      </c>
    </row>
    <row r="653" spans="1:5" x14ac:dyDescent="0.3">
      <c r="A653" t="s">
        <v>1616</v>
      </c>
      <c r="B653" t="s">
        <v>1617</v>
      </c>
      <c r="C653" t="s">
        <v>868</v>
      </c>
      <c r="D653" t="s">
        <v>806</v>
      </c>
      <c r="E653">
        <v>36</v>
      </c>
    </row>
    <row r="654" spans="1:5" x14ac:dyDescent="0.3">
      <c r="A654" t="s">
        <v>1616</v>
      </c>
      <c r="B654" t="s">
        <v>1617</v>
      </c>
      <c r="C654" t="s">
        <v>868</v>
      </c>
      <c r="D654" t="s">
        <v>807</v>
      </c>
      <c r="E654">
        <v>48</v>
      </c>
    </row>
    <row r="655" spans="1:5" x14ac:dyDescent="0.3">
      <c r="A655" t="s">
        <v>1616</v>
      </c>
      <c r="B655" t="s">
        <v>1617</v>
      </c>
      <c r="C655" t="s">
        <v>868</v>
      </c>
      <c r="D655" t="s">
        <v>808</v>
      </c>
      <c r="E655">
        <v>66</v>
      </c>
    </row>
    <row r="656" spans="1:5" x14ac:dyDescent="0.3">
      <c r="A656" t="s">
        <v>1616</v>
      </c>
      <c r="B656" t="s">
        <v>1617</v>
      </c>
      <c r="C656" t="s">
        <v>868</v>
      </c>
      <c r="D656" t="s">
        <v>810</v>
      </c>
      <c r="E656">
        <v>78</v>
      </c>
    </row>
    <row r="657" spans="1:5" x14ac:dyDescent="0.3">
      <c r="A657" t="s">
        <v>1616</v>
      </c>
      <c r="B657" t="s">
        <v>1617</v>
      </c>
      <c r="C657" t="s">
        <v>868</v>
      </c>
      <c r="D657" t="s">
        <v>811</v>
      </c>
      <c r="E657">
        <v>100</v>
      </c>
    </row>
    <row r="658" spans="1:5" x14ac:dyDescent="0.3">
      <c r="A658" t="s">
        <v>1616</v>
      </c>
      <c r="B658" t="s">
        <v>1617</v>
      </c>
      <c r="C658" t="s">
        <v>869</v>
      </c>
      <c r="D658" t="s">
        <v>782</v>
      </c>
      <c r="E658">
        <v>23</v>
      </c>
    </row>
    <row r="659" spans="1:5" x14ac:dyDescent="0.3">
      <c r="A659" t="s">
        <v>1616</v>
      </c>
      <c r="B659" t="s">
        <v>1617</v>
      </c>
      <c r="C659" t="s">
        <v>869</v>
      </c>
      <c r="D659" t="s">
        <v>783</v>
      </c>
      <c r="E659">
        <v>52</v>
      </c>
    </row>
    <row r="660" spans="1:5" x14ac:dyDescent="0.3">
      <c r="A660" t="s">
        <v>1616</v>
      </c>
      <c r="B660" t="s">
        <v>1617</v>
      </c>
      <c r="C660" t="s">
        <v>869</v>
      </c>
      <c r="D660" t="s">
        <v>784</v>
      </c>
      <c r="E660">
        <v>86</v>
      </c>
    </row>
    <row r="661" spans="1:5" x14ac:dyDescent="0.3">
      <c r="A661" t="s">
        <v>1616</v>
      </c>
      <c r="B661" t="s">
        <v>1617</v>
      </c>
      <c r="C661" t="s">
        <v>869</v>
      </c>
      <c r="D661" t="s">
        <v>785</v>
      </c>
      <c r="E661">
        <v>100</v>
      </c>
    </row>
    <row r="662" spans="1:5" x14ac:dyDescent="0.3">
      <c r="A662" t="s">
        <v>1616</v>
      </c>
      <c r="B662" t="s">
        <v>1617</v>
      </c>
      <c r="C662" t="s">
        <v>869</v>
      </c>
      <c r="D662" t="s">
        <v>787</v>
      </c>
      <c r="E662">
        <v>110</v>
      </c>
    </row>
    <row r="663" spans="1:5" x14ac:dyDescent="0.3">
      <c r="A663" t="s">
        <v>1616</v>
      </c>
      <c r="B663" t="s">
        <v>1617</v>
      </c>
      <c r="C663" t="s">
        <v>869</v>
      </c>
      <c r="D663" t="s">
        <v>788</v>
      </c>
      <c r="E663">
        <v>150</v>
      </c>
    </row>
    <row r="664" spans="1:5" x14ac:dyDescent="0.3">
      <c r="A664" t="s">
        <v>1616</v>
      </c>
      <c r="B664" t="s">
        <v>1617</v>
      </c>
      <c r="C664" t="s">
        <v>870</v>
      </c>
      <c r="D664" t="s">
        <v>782</v>
      </c>
      <c r="E664">
        <v>23</v>
      </c>
    </row>
    <row r="665" spans="1:5" x14ac:dyDescent="0.3">
      <c r="A665" t="s">
        <v>1616</v>
      </c>
      <c r="B665" t="s">
        <v>1617</v>
      </c>
      <c r="C665" t="s">
        <v>870</v>
      </c>
      <c r="D665" t="s">
        <v>783</v>
      </c>
      <c r="E665">
        <v>52</v>
      </c>
    </row>
    <row r="666" spans="1:5" x14ac:dyDescent="0.3">
      <c r="A666" t="s">
        <v>1616</v>
      </c>
      <c r="B666" t="s">
        <v>1617</v>
      </c>
      <c r="C666" t="s">
        <v>870</v>
      </c>
      <c r="D666" t="s">
        <v>784</v>
      </c>
      <c r="E666">
        <v>86</v>
      </c>
    </row>
    <row r="667" spans="1:5" x14ac:dyDescent="0.3">
      <c r="A667" t="s">
        <v>1616</v>
      </c>
      <c r="B667" t="s">
        <v>1617</v>
      </c>
      <c r="C667" t="s">
        <v>870</v>
      </c>
      <c r="D667" t="s">
        <v>785</v>
      </c>
      <c r="E667">
        <v>100</v>
      </c>
    </row>
    <row r="668" spans="1:5" x14ac:dyDescent="0.3">
      <c r="A668" t="s">
        <v>1616</v>
      </c>
      <c r="B668" t="s">
        <v>1617</v>
      </c>
      <c r="C668" t="s">
        <v>870</v>
      </c>
      <c r="D668" t="s">
        <v>787</v>
      </c>
      <c r="E668">
        <v>110</v>
      </c>
    </row>
    <row r="669" spans="1:5" x14ac:dyDescent="0.3">
      <c r="A669" t="s">
        <v>1616</v>
      </c>
      <c r="B669" t="s">
        <v>1617</v>
      </c>
      <c r="C669" t="s">
        <v>870</v>
      </c>
      <c r="D669" t="s">
        <v>788</v>
      </c>
      <c r="E669">
        <v>150</v>
      </c>
    </row>
    <row r="670" spans="1:5" x14ac:dyDescent="0.3">
      <c r="A670" t="s">
        <v>1614</v>
      </c>
      <c r="B670" t="s">
        <v>2343</v>
      </c>
      <c r="C670" t="s">
        <v>755</v>
      </c>
      <c r="D670" t="s">
        <v>756</v>
      </c>
      <c r="E670">
        <v>118.45</v>
      </c>
    </row>
    <row r="671" spans="1:5" x14ac:dyDescent="0.3">
      <c r="A671" t="s">
        <v>1614</v>
      </c>
      <c r="B671" t="s">
        <v>2343</v>
      </c>
      <c r="C671" t="s">
        <v>755</v>
      </c>
      <c r="D671" t="s">
        <v>757</v>
      </c>
      <c r="E671">
        <v>128.75</v>
      </c>
    </row>
    <row r="672" spans="1:5" x14ac:dyDescent="0.3">
      <c r="A672" t="s">
        <v>1614</v>
      </c>
      <c r="B672" t="s">
        <v>2343</v>
      </c>
      <c r="C672" t="s">
        <v>755</v>
      </c>
      <c r="D672" t="s">
        <v>758</v>
      </c>
      <c r="E672">
        <v>139.05000000000001</v>
      </c>
    </row>
    <row r="673" spans="1:5" x14ac:dyDescent="0.3">
      <c r="A673" t="s">
        <v>1614</v>
      </c>
      <c r="B673" t="s">
        <v>2343</v>
      </c>
      <c r="C673" t="s">
        <v>755</v>
      </c>
      <c r="D673" t="s">
        <v>759</v>
      </c>
      <c r="E673">
        <v>149.35</v>
      </c>
    </row>
    <row r="674" spans="1:5" x14ac:dyDescent="0.3">
      <c r="A674" t="s">
        <v>1614</v>
      </c>
      <c r="B674" t="s">
        <v>2343</v>
      </c>
      <c r="C674" t="s">
        <v>755</v>
      </c>
      <c r="D674" t="s">
        <v>760</v>
      </c>
      <c r="E674">
        <v>154.5</v>
      </c>
    </row>
    <row r="675" spans="1:5" x14ac:dyDescent="0.3">
      <c r="A675" t="s">
        <v>1614</v>
      </c>
      <c r="B675" t="s">
        <v>2343</v>
      </c>
      <c r="C675" t="s">
        <v>755</v>
      </c>
      <c r="D675" t="s">
        <v>761</v>
      </c>
      <c r="E675">
        <v>185.4</v>
      </c>
    </row>
    <row r="676" spans="1:5" x14ac:dyDescent="0.3">
      <c r="A676" t="s">
        <v>1614</v>
      </c>
      <c r="B676" t="s">
        <v>2343</v>
      </c>
      <c r="C676" t="s">
        <v>755</v>
      </c>
      <c r="D676" t="s">
        <v>762</v>
      </c>
      <c r="E676">
        <v>190.55</v>
      </c>
    </row>
    <row r="677" spans="1:5" x14ac:dyDescent="0.3">
      <c r="A677" t="s">
        <v>1614</v>
      </c>
      <c r="B677" t="s">
        <v>2343</v>
      </c>
      <c r="C677" t="s">
        <v>755</v>
      </c>
      <c r="D677" t="s">
        <v>763</v>
      </c>
      <c r="E677">
        <v>216.3</v>
      </c>
    </row>
    <row r="678" spans="1:5" x14ac:dyDescent="0.3">
      <c r="A678" t="s">
        <v>1614</v>
      </c>
      <c r="B678" t="s">
        <v>2343</v>
      </c>
      <c r="C678" t="s">
        <v>755</v>
      </c>
      <c r="D678" t="s">
        <v>764</v>
      </c>
      <c r="E678">
        <v>221.45</v>
      </c>
    </row>
    <row r="679" spans="1:5" x14ac:dyDescent="0.3">
      <c r="A679" t="s">
        <v>1614</v>
      </c>
      <c r="B679" t="s">
        <v>2343</v>
      </c>
      <c r="C679" t="s">
        <v>755</v>
      </c>
      <c r="D679" t="s">
        <v>765</v>
      </c>
      <c r="E679">
        <v>257.5</v>
      </c>
    </row>
    <row r="680" spans="1:5" x14ac:dyDescent="0.3">
      <c r="A680" t="s">
        <v>1614</v>
      </c>
      <c r="B680" t="s">
        <v>2343</v>
      </c>
      <c r="C680" t="s">
        <v>755</v>
      </c>
      <c r="D680" t="s">
        <v>766</v>
      </c>
      <c r="E680">
        <v>278.10000000000002</v>
      </c>
    </row>
    <row r="681" spans="1:5" x14ac:dyDescent="0.3">
      <c r="A681" t="s">
        <v>1916</v>
      </c>
      <c r="B681" t="s">
        <v>1918</v>
      </c>
      <c r="C681" t="s">
        <v>755</v>
      </c>
      <c r="D681" t="s">
        <v>756</v>
      </c>
      <c r="E681">
        <v>100</v>
      </c>
    </row>
    <row r="682" spans="1:5" x14ac:dyDescent="0.3">
      <c r="A682" t="s">
        <v>1916</v>
      </c>
      <c r="B682" t="s">
        <v>1918</v>
      </c>
      <c r="C682" t="s">
        <v>755</v>
      </c>
      <c r="D682" t="s">
        <v>757</v>
      </c>
      <c r="E682">
        <v>127.5</v>
      </c>
    </row>
    <row r="683" spans="1:5" x14ac:dyDescent="0.3">
      <c r="A683" t="s">
        <v>1916</v>
      </c>
      <c r="B683" t="s">
        <v>1918</v>
      </c>
      <c r="C683" t="s">
        <v>755</v>
      </c>
      <c r="D683" t="s">
        <v>758</v>
      </c>
      <c r="E683">
        <v>191.9</v>
      </c>
    </row>
    <row r="684" spans="1:5" x14ac:dyDescent="0.3">
      <c r="A684" t="s">
        <v>1916</v>
      </c>
      <c r="B684" t="s">
        <v>1918</v>
      </c>
      <c r="C684" t="s">
        <v>755</v>
      </c>
      <c r="D684" t="s">
        <v>759</v>
      </c>
      <c r="E684">
        <v>308</v>
      </c>
    </row>
    <row r="685" spans="1:5" x14ac:dyDescent="0.3">
      <c r="A685" t="s">
        <v>1916</v>
      </c>
      <c r="B685" t="s">
        <v>1918</v>
      </c>
      <c r="C685" t="s">
        <v>755</v>
      </c>
      <c r="D685" t="s">
        <v>760</v>
      </c>
      <c r="E685">
        <v>556</v>
      </c>
    </row>
    <row r="686" spans="1:5" x14ac:dyDescent="0.3">
      <c r="A686" t="s">
        <v>1916</v>
      </c>
      <c r="B686" t="s">
        <v>1918</v>
      </c>
      <c r="C686" t="s">
        <v>755</v>
      </c>
      <c r="D686" t="s">
        <v>761</v>
      </c>
      <c r="E686">
        <v>125</v>
      </c>
    </row>
    <row r="687" spans="1:5" x14ac:dyDescent="0.3">
      <c r="A687" t="s">
        <v>1916</v>
      </c>
      <c r="B687" t="s">
        <v>1918</v>
      </c>
      <c r="C687" t="s">
        <v>755</v>
      </c>
      <c r="D687" t="s">
        <v>762</v>
      </c>
      <c r="E687">
        <v>185</v>
      </c>
    </row>
    <row r="688" spans="1:5" x14ac:dyDescent="0.3">
      <c r="A688" t="s">
        <v>1916</v>
      </c>
      <c r="B688" t="s">
        <v>1918</v>
      </c>
      <c r="C688" t="s">
        <v>755</v>
      </c>
      <c r="D688" t="s">
        <v>763</v>
      </c>
      <c r="E688">
        <v>245</v>
      </c>
    </row>
    <row r="689" spans="1:5" x14ac:dyDescent="0.3">
      <c r="A689" t="s">
        <v>1916</v>
      </c>
      <c r="B689" t="s">
        <v>1918</v>
      </c>
      <c r="C689" t="s">
        <v>755</v>
      </c>
      <c r="D689" t="s">
        <v>764</v>
      </c>
      <c r="E689">
        <v>315</v>
      </c>
    </row>
    <row r="690" spans="1:5" x14ac:dyDescent="0.3">
      <c r="A690" t="s">
        <v>1916</v>
      </c>
      <c r="B690" t="s">
        <v>1918</v>
      </c>
      <c r="C690" t="s">
        <v>755</v>
      </c>
      <c r="D690" t="s">
        <v>765</v>
      </c>
      <c r="E690">
        <v>475</v>
      </c>
    </row>
  </sheetData>
  <mergeCells count="7">
    <mergeCell ref="AD7:AE7"/>
    <mergeCell ref="AF7:AG7"/>
    <mergeCell ref="A1:C2"/>
    <mergeCell ref="A3:G3"/>
    <mergeCell ref="X7:Y7"/>
    <mergeCell ref="Z7:AA7"/>
    <mergeCell ref="AB7:AC7"/>
  </mergeCells>
  <phoneticPr fontId="6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dcmitype/"/>
    <ds:schemaRef ds:uri="7aed3216-910a-484f-a365-81a19ea86421"/>
    <ds:schemaRef ds:uri="http://www.w3.org/XML/1998/namespace"/>
    <ds:schemaRef ds:uri="http://schemas.microsoft.com/office/2006/metadata/properties"/>
    <ds:schemaRef ds:uri="http://schemas.microsoft.com/office/infopath/2007/PartnerControls"/>
    <ds:schemaRef ds:uri="http://purl.org/dc/terms/"/>
    <ds:schemaRef ds:uri="http://purl.org/dc/elements/1.1/"/>
    <ds:schemaRef ds:uri="http://schemas.openxmlformats.org/package/2006/metadata/core-properties"/>
    <ds:schemaRef ds:uri="6bd710b9-a5f5-4a4c-bb04-668c0da27e7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107</vt:i4>
      </vt:variant>
    </vt:vector>
  </HeadingPairs>
  <TitlesOfParts>
    <vt:vector size="127" baseType="lpstr">
      <vt:lpstr>How to Use Guide</vt:lpstr>
      <vt:lpstr>1. Project Inputs</vt:lpstr>
      <vt:lpstr>2. Pricing &amp; Import</vt:lpstr>
      <vt:lpstr>Role Mock Up Options</vt:lpstr>
      <vt:lpstr>3. Summary Inputs</vt:lpstr>
      <vt:lpstr>4. Financial Summary &amp; Totals</vt:lpstr>
      <vt:lpstr>5. Import Checklist</vt:lpstr>
      <vt:lpstr>Commercial Business Review</vt:lpstr>
      <vt:lpstr>Optional - Scope Estimation</vt:lpstr>
      <vt:lpstr>Optional - Scope Options Review</vt:lpstr>
      <vt:lpstr>Hidden -&gt;</vt:lpstr>
      <vt:lpstr>Resource Loading</vt:lpstr>
      <vt:lpstr>Optional Pricing Scenarios Eval</vt:lpstr>
      <vt:lpstr>Standard Rate Cards</vt:lpstr>
      <vt:lpstr>Updated Rate Card Import</vt:lpstr>
      <vt:lpstr>FORMULA REFS</vt:lpstr>
      <vt:lpstr>Definitions</vt:lpstr>
      <vt:lpstr>hTAD Info</vt:lpstr>
      <vt:lpstr>Complexity Factors</vt:lpstr>
      <vt:lpstr>Client Rate Cards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Adobe</vt:lpstr>
      <vt:lpstr>Adobe_Adobe_BA</vt:lpstr>
      <vt:lpstr>Adobe_Adobe_DevOps</vt:lpstr>
      <vt:lpstr>Adobe_Adobe_QA</vt:lpstr>
      <vt:lpstr>Adobe_Adobe_UI</vt:lpstr>
      <vt:lpstr>Adobe_Commerce</vt:lpstr>
      <vt:lpstr>Adobe_Data_and_Analytics</vt:lpstr>
      <vt:lpstr>Adobe_Experience_Management</vt:lpstr>
      <vt:lpstr>Adobe_Marketing_Automation</vt:lpstr>
      <vt:lpstr>Adobe_Work_Management</vt:lpstr>
      <vt:lpstr>Assumptions</vt:lpstr>
      <vt:lpstr>Automation</vt:lpstr>
      <vt:lpstr>ClientRateCards</vt:lpstr>
      <vt:lpstr>'Optional - Scope Estimation'!Confidence</vt:lpstr>
      <vt:lpstr>CrederaIndia</vt:lpstr>
      <vt:lpstr>CrederaLATAM</vt:lpstr>
      <vt:lpstr>CrederaUS</vt:lpstr>
      <vt:lpstr>Data_Mangaement</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'Optional - Scope Estimation'!Effort_Days</vt:lpstr>
      <vt:lpstr>Environments</vt:lpstr>
      <vt:lpstr>Epic</vt:lpstr>
      <vt:lpstr>Functional</vt:lpstr>
      <vt:lpstr>'1. Project Inputs'!Hour_Bucket</vt:lpstr>
      <vt:lpstr>Hour_Bucket</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Multi_Tenant</vt:lpstr>
      <vt:lpstr>'Optional - Scope Estimation'!Multiplication_factor</vt:lpstr>
      <vt:lpstr>Non_Functional</vt:lpstr>
      <vt:lpstr>NonDevList</vt:lpstr>
      <vt:lpstr>Offshore</vt:lpstr>
      <vt:lpstr>Onshore</vt:lpstr>
      <vt:lpstr>Option___1_3</vt:lpstr>
      <vt:lpstr>Organizations</vt:lpstr>
      <vt:lpstr>Reporting</vt:lpstr>
      <vt:lpstr>RequirementType</vt:lpstr>
      <vt:lpstr>Salesforce</vt:lpstr>
      <vt:lpstr>Salesforce_BA</vt:lpstr>
      <vt:lpstr>Salesforce_Cloud</vt:lpstr>
      <vt:lpstr>Salesforce_Data_Cloud</vt:lpstr>
      <vt:lpstr>Salesforce_Marketing_Cloud</vt:lpstr>
      <vt:lpstr>Salesforce_QA</vt:lpstr>
      <vt:lpstr>Salesforce_Sales_Cloud</vt:lpstr>
      <vt:lpstr>Salesforce_UI</vt:lpstr>
      <vt:lpstr>SDLCBucketList</vt:lpstr>
      <vt:lpstr>Security___Privacy</vt:lpstr>
      <vt:lpstr>Service_Management</vt:lpstr>
      <vt:lpstr>TADIndia</vt:lpstr>
      <vt:lpstr>TADNorthAmerica</vt:lpstr>
      <vt:lpstr>Task</vt:lpstr>
      <vt:lpstr>Testing</vt:lpstr>
      <vt:lpstr>Version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2025-08-13T10:21:28Z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