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6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9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725" windowWidth="11475" windowHeight="3540" tabRatio="808" firstSheet="1" activeTab="2"/>
  </bookViews>
  <sheets>
    <sheet name="Intent Map" sheetId="1" state="hidden" r:id="rId1"/>
    <sheet name="Org Structure" sheetId="2" r:id="rId2"/>
    <sheet name="TSF Prasadam Overall" sheetId="3" r:id="rId3"/>
    <sheet name="HT Express BSC " sheetId="4" state="hidden" r:id="rId4"/>
    <sheet name="HT Stores BSC" sheetId="5" state="hidden" r:id="rId5"/>
    <sheet name="HT Fine Dining" sheetId="6" state="hidden" r:id="rId6"/>
    <sheet name="Strategic Intent Map" sheetId="7" state="hidden" r:id="rId7"/>
    <sheet name="Incentive Data" sheetId="8" state="hidden" r:id="rId8"/>
    <sheet name="Sheet1" sheetId="9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3" hidden="1">'HT Express BSC '!$A$1:$Q$3</definedName>
    <definedName name="_xlnm._FilterDatabase" localSheetId="5" hidden="1">'HT Fine Dining'!$A$1:$Q$3</definedName>
    <definedName name="_xlnm._FilterDatabase" localSheetId="4" hidden="1">'HT Stores BSC'!$A$1:$Q$3</definedName>
    <definedName name="_xlnm._FilterDatabase" localSheetId="2" hidden="1">'TSF Prasadam Overall'!$A$1:$AG$7</definedName>
    <definedName name="Z_045B272D_AF67_417F_A7C5_712246164682_.wvu.FilterData" localSheetId="3" hidden="1">'HT Express BSC '!$A$1:$Q$3</definedName>
    <definedName name="Z_045B272D_AF67_417F_A7C5_712246164682_.wvu.FilterData" localSheetId="5" hidden="1">'HT Fine Dining'!$A$1:$Q$3</definedName>
    <definedName name="Z_045B272D_AF67_417F_A7C5_712246164682_.wvu.FilterData" localSheetId="4" hidden="1">'HT Stores BSC'!$A$1:$Q$3</definedName>
    <definedName name="Z_045B272D_AF67_417F_A7C5_712246164682_.wvu.FilterData" localSheetId="2" hidden="1">'TSF Prasadam Overall'!$A$1:$AG$7</definedName>
    <definedName name="Z_0FA9809D_D73E_40D7_AB45_65FC020A42C4_.wvu.FilterData" localSheetId="3" hidden="1">'HT Express BSC '!$A$1:$Q$3</definedName>
    <definedName name="Z_0FA9809D_D73E_40D7_AB45_65FC020A42C4_.wvu.FilterData" localSheetId="5" hidden="1">'HT Fine Dining'!$A$1:$Q$3</definedName>
    <definedName name="Z_0FA9809D_D73E_40D7_AB45_65FC020A42C4_.wvu.FilterData" localSheetId="4" hidden="1">'HT Stores BSC'!$A$1:$Q$3</definedName>
    <definedName name="Z_0FA9809D_D73E_40D7_AB45_65FC020A42C4_.wvu.FilterData" localSheetId="2" hidden="1">'TSF Prasadam Overall'!$A$1:$AG$7</definedName>
    <definedName name="Z_116ADFFA_959A_4C04_8EB1_975A39295BD0_.wvu.FilterData" localSheetId="3" hidden="1">'HT Express BSC '!$A$1:$Q$2</definedName>
    <definedName name="Z_116ADFFA_959A_4C04_8EB1_975A39295BD0_.wvu.FilterData" localSheetId="5" hidden="1">'HT Fine Dining'!$A$1:$Q$2</definedName>
    <definedName name="Z_116ADFFA_959A_4C04_8EB1_975A39295BD0_.wvu.FilterData" localSheetId="4" hidden="1">'HT Stores BSC'!$A$1:$Q$2</definedName>
    <definedName name="Z_11E4881D_DC25_4B5F_82A1_75C8CAA973BD_.wvu.FilterData" localSheetId="3" hidden="1">'HT Express BSC '!$A$1:$Q$3</definedName>
    <definedName name="Z_11E4881D_DC25_4B5F_82A1_75C8CAA973BD_.wvu.FilterData" localSheetId="4" hidden="1">'HT Stores BSC'!$A$1:$Q$3</definedName>
    <definedName name="Z_11E4881D_DC25_4B5F_82A1_75C8CAA973BD_.wvu.FilterData" localSheetId="2" hidden="1">'TSF Prasadam Overall'!$A$1:$AG$7</definedName>
    <definedName name="Z_1A1FA54D_EC7E_476E_B4EC_127CB21E18F2_.wvu.FilterData" localSheetId="3" hidden="1">'HT Express BSC '!$A$1:$Q$3</definedName>
    <definedName name="Z_40DAEB26_20D3_4AB4_B94D_0ED6F1AA8B5C_.wvu.Cols" localSheetId="3" hidden="1">'HT Express BSC '!$D:$H,'HT Express BSC '!$J:$T</definedName>
    <definedName name="Z_40DAEB26_20D3_4AB4_B94D_0ED6F1AA8B5C_.wvu.Cols" localSheetId="5" hidden="1">'HT Fine Dining'!$D:$G,'HT Fine Dining'!$J:$T</definedName>
    <definedName name="Z_40DAEB26_20D3_4AB4_B94D_0ED6F1AA8B5C_.wvu.Cols" localSheetId="4" hidden="1">'HT Stores BSC'!$D:$G,'HT Stores BSC'!$J:$S,'HT Stores BSC'!$AJ:$BD</definedName>
    <definedName name="Z_40DAEB26_20D3_4AB4_B94D_0ED6F1AA8B5C_.wvu.Cols" localSheetId="2" hidden="1">'TSF Prasadam Overall'!$D:$G,'TSF Prasadam Overall'!$S:$T,'TSF Prasadam Overall'!$AJ:$BD</definedName>
    <definedName name="Z_40DAEB26_20D3_4AB4_B94D_0ED6F1AA8B5C_.wvu.FilterData" localSheetId="3" hidden="1">'HT Express BSC '!$A$1:$Q$3</definedName>
    <definedName name="Z_40DAEB26_20D3_4AB4_B94D_0ED6F1AA8B5C_.wvu.FilterData" localSheetId="5" hidden="1">'HT Fine Dining'!$A$1:$Q$3</definedName>
    <definedName name="Z_40DAEB26_20D3_4AB4_B94D_0ED6F1AA8B5C_.wvu.FilterData" localSheetId="4" hidden="1">'HT Stores BSC'!$A$1:$Q$3</definedName>
    <definedName name="Z_40DAEB26_20D3_4AB4_B94D_0ED6F1AA8B5C_.wvu.FilterData" localSheetId="2" hidden="1">'TSF Prasadam Overall'!$A$1:$AG$7</definedName>
    <definedName name="Z_40DAEB26_20D3_4AB4_B94D_0ED6F1AA8B5C_.wvu.Rows" localSheetId="5" hidden="1">'HT Fine Dining'!$53:$54</definedName>
    <definedName name="Z_40DAEB26_20D3_4AB4_B94D_0ED6F1AA8B5C_.wvu.Rows" localSheetId="4" hidden="1">'HT Stores BSC'!$83:$84</definedName>
    <definedName name="Z_40DAEB26_20D3_4AB4_B94D_0ED6F1AA8B5C_.wvu.Rows" localSheetId="2" hidden="1">'TSF Prasadam Overall'!$15:$27,'TSF Prasadam Overall'!$157:$159</definedName>
    <definedName name="Z_59066758_08AD_4650_89AD_A1F226AD52BD_.wvu.FilterData" localSheetId="3" hidden="1">'HT Express BSC '!$A$1:$Q$3</definedName>
    <definedName name="Z_59066758_08AD_4650_89AD_A1F226AD52BD_.wvu.FilterData" localSheetId="5" hidden="1">'HT Fine Dining'!$A$1:$Q$3</definedName>
    <definedName name="Z_59066758_08AD_4650_89AD_A1F226AD52BD_.wvu.FilterData" localSheetId="4" hidden="1">'HT Stores BSC'!$A$1:$Q$3</definedName>
    <definedName name="Z_59066758_08AD_4650_89AD_A1F226AD52BD_.wvu.FilterData" localSheetId="2" hidden="1">'TSF Prasadam Overall'!$A$1:$AG$7</definedName>
    <definedName name="Z_9674F31F_4D31_4A00_B5FD_742AE41EEC43_.wvu.FilterData" localSheetId="4" hidden="1">'HT Stores BSC'!$A$1:$Q$3</definedName>
    <definedName name="Z_DD1F7198_8B36_4512_8BBD_8050BD05AADA_.wvu.Cols" localSheetId="3" hidden="1">'HT Express BSC '!$D:$H,'HT Express BSC '!$AJ:$BD</definedName>
    <definedName name="Z_DD1F7198_8B36_4512_8BBD_8050BD05AADA_.wvu.Cols" localSheetId="5" hidden="1">'HT Fine Dining'!$D:$G,'HT Fine Dining'!$AJ:$BD</definedName>
    <definedName name="Z_DD1F7198_8B36_4512_8BBD_8050BD05AADA_.wvu.Cols" localSheetId="4" hidden="1">'HT Stores BSC'!$D:$G,'HT Stores BSC'!$AJ:$BD</definedName>
    <definedName name="Z_DD1F7198_8B36_4512_8BBD_8050BD05AADA_.wvu.Cols" localSheetId="2" hidden="1">'TSF Prasadam Overall'!$D:$F,'TSF Prasadam Overall'!$AJ:$BD</definedName>
    <definedName name="Z_DD1F7198_8B36_4512_8BBD_8050BD05AADA_.wvu.FilterData" localSheetId="3" hidden="1">'HT Express BSC '!$A$1:$Q$3</definedName>
    <definedName name="Z_DD1F7198_8B36_4512_8BBD_8050BD05AADA_.wvu.FilterData" localSheetId="5" hidden="1">'HT Fine Dining'!$A$1:$Q$3</definedName>
    <definedName name="Z_DD1F7198_8B36_4512_8BBD_8050BD05AADA_.wvu.FilterData" localSheetId="4" hidden="1">'HT Stores BSC'!$A$1:$Q$3</definedName>
    <definedName name="Z_DD1F7198_8B36_4512_8BBD_8050BD05AADA_.wvu.FilterData" localSheetId="2" hidden="1">'TSF Prasadam Overall'!$A$1:$AG$7</definedName>
    <definedName name="Z_DD1F7198_8B36_4512_8BBD_8050BD05AADA_.wvu.Rows" localSheetId="5" hidden="1">'HT Fine Dining'!$53:$54</definedName>
    <definedName name="Z_DD1F7198_8B36_4512_8BBD_8050BD05AADA_.wvu.Rows" localSheetId="4" hidden="1">'HT Stores BSC'!$83:$84</definedName>
    <definedName name="Z_DD1F7198_8B36_4512_8BBD_8050BD05AADA_.wvu.Rows" localSheetId="2" hidden="1">'TSF Prasadam Overall'!$157:$159</definedName>
    <definedName name="Z_E60EF303_DB33_4C35_807D_7D88710D23FA_.wvu.FilterData" localSheetId="3" hidden="1">'HT Express BSC '!$A$1:$Q$3</definedName>
    <definedName name="Z_E60EF303_DB33_4C35_807D_7D88710D23FA_.wvu.FilterData" localSheetId="2" hidden="1">'TSF Prasadam Overall'!$A$1:$AG$7</definedName>
    <definedName name="Z_E8E739D2_A346_4159_B348_4E46AFE1EC50_.wvu.FilterData" localSheetId="2" hidden="1">'TSF Prasadam Overall'!$A$1:$AG$7</definedName>
    <definedName name="Z_E91D071F_44A9_468D_91FB_157183692975_.wvu.FilterData" localSheetId="5" hidden="1">'HT Fine Dining'!$A$1:$Q$3</definedName>
    <definedName name="Z_E91D071F_44A9_468D_91FB_157183692975_.wvu.FilterData" localSheetId="2" hidden="1">'TSF Prasadam Overall'!$A$1:$AG$7</definedName>
  </definedNames>
  <calcPr calcId="145621"/>
  <customWorkbookViews>
    <customWorkbookView name="Gowri R - Personal View" guid="{40DAEB26-20D3-4AB4-B94D-0ED6F1AA8B5C}" mergeInterval="0" personalView="1" maximized="1" windowWidth="1559" windowHeight="632" tabRatio="808" activeSheetId="3"/>
    <customWorkbookView name="Sanjeevi Sreekanth - Personal View" guid="{DD1F7198-8B36-4512-8BBD-8050BD05AADA}" mergeInterval="0" personalView="1" maximized="1" windowWidth="1584" windowHeight="631" tabRatio="808" activeSheetId="6"/>
  </customWorkbookViews>
</workbook>
</file>

<file path=xl/calcChain.xml><?xml version="1.0" encoding="utf-8"?>
<calcChain xmlns="http://schemas.openxmlformats.org/spreadsheetml/2006/main">
  <c r="AG183" i="3" l="1"/>
  <c r="AG182" i="3"/>
  <c r="AG181" i="3"/>
  <c r="AG179" i="3"/>
  <c r="AG143" i="3"/>
  <c r="AG119" i="3"/>
  <c r="AG118" i="3"/>
  <c r="AG117" i="3"/>
  <c r="AG115" i="3"/>
  <c r="AG114" i="3"/>
  <c r="AG113" i="3"/>
  <c r="AG111" i="3"/>
  <c r="AG110" i="3"/>
  <c r="AG109" i="3"/>
  <c r="AG108" i="3"/>
  <c r="AG98" i="3"/>
  <c r="AG90" i="3"/>
  <c r="AG100" i="3" s="1"/>
  <c r="AG102" i="3" s="1"/>
  <c r="AH89" i="3"/>
  <c r="AG85" i="3"/>
  <c r="AG133" i="3" s="1"/>
  <c r="AH84" i="3"/>
  <c r="AH79" i="3"/>
  <c r="AG79" i="3"/>
  <c r="AH77" i="3"/>
  <c r="AG77" i="3"/>
  <c r="AG76" i="3"/>
  <c r="AH59" i="3"/>
  <c r="AG59" i="3"/>
  <c r="AG55" i="3"/>
  <c r="AH54" i="3"/>
  <c r="AG54" i="3"/>
  <c r="AG53" i="3"/>
  <c r="AH52" i="3"/>
  <c r="AG52" i="3"/>
  <c r="AG50" i="3"/>
  <c r="AG46" i="3"/>
  <c r="AH45" i="3"/>
  <c r="AG42" i="3"/>
  <c r="AG38" i="3"/>
  <c r="AH37" i="3"/>
  <c r="AG34" i="3"/>
  <c r="AG25" i="3"/>
  <c r="AG26" i="3" s="1"/>
  <c r="AG24" i="3"/>
  <c r="AG22" i="3"/>
  <c r="AG21" i="3"/>
  <c r="AH20" i="3"/>
  <c r="AH76" i="3" s="1"/>
  <c r="AG20" i="3"/>
  <c r="AG80" i="3" s="1"/>
  <c r="AG17" i="3"/>
  <c r="AG16" i="3"/>
  <c r="AG18" i="3" s="1"/>
  <c r="AG14" i="3"/>
  <c r="AG6" i="3"/>
  <c r="AA183" i="3"/>
  <c r="AA182" i="3"/>
  <c r="AA181" i="3"/>
  <c r="AA179" i="3"/>
  <c r="AA143" i="3"/>
  <c r="AA119" i="3"/>
  <c r="AA118" i="3"/>
  <c r="AA117" i="3"/>
  <c r="AA115" i="3"/>
  <c r="AA114" i="3"/>
  <c r="AA113" i="3"/>
  <c r="AA111" i="3"/>
  <c r="AA110" i="3"/>
  <c r="AA109" i="3"/>
  <c r="AA108" i="3"/>
  <c r="AA98" i="3"/>
  <c r="AA90" i="3"/>
  <c r="AA100" i="3" s="1"/>
  <c r="AA102" i="3" s="1"/>
  <c r="AB89" i="3"/>
  <c r="AA85" i="3"/>
  <c r="AA133" i="3" s="1"/>
  <c r="AB84" i="3"/>
  <c r="AB79" i="3"/>
  <c r="AA79" i="3"/>
  <c r="AB77" i="3"/>
  <c r="AA77" i="3"/>
  <c r="AB59" i="3"/>
  <c r="AA59" i="3"/>
  <c r="AA55" i="3"/>
  <c r="AB54" i="3"/>
  <c r="AA54" i="3"/>
  <c r="AA53" i="3"/>
  <c r="AB52" i="3"/>
  <c r="AA52" i="3"/>
  <c r="AA50" i="3"/>
  <c r="AA46" i="3"/>
  <c r="AB45" i="3"/>
  <c r="AA42" i="3"/>
  <c r="AA38" i="3"/>
  <c r="AB37" i="3"/>
  <c r="AA34" i="3"/>
  <c r="AA25" i="3"/>
  <c r="AA24" i="3"/>
  <c r="AA26" i="3" s="1"/>
  <c r="AA22" i="3"/>
  <c r="AA21" i="3"/>
  <c r="AB20" i="3"/>
  <c r="AB76" i="3" s="1"/>
  <c r="AA20" i="3"/>
  <c r="AA76" i="3" s="1"/>
  <c r="AA17" i="3"/>
  <c r="AA16" i="3"/>
  <c r="AA18" i="3" s="1"/>
  <c r="AA14" i="3"/>
  <c r="AA6" i="3"/>
  <c r="X183" i="3"/>
  <c r="X182" i="3"/>
  <c r="X181" i="3"/>
  <c r="X179" i="3"/>
  <c r="X143" i="3"/>
  <c r="X119" i="3"/>
  <c r="X118" i="3"/>
  <c r="X117" i="3"/>
  <c r="X115" i="3"/>
  <c r="X114" i="3"/>
  <c r="X113" i="3"/>
  <c r="X111" i="3"/>
  <c r="X110" i="3"/>
  <c r="X109" i="3"/>
  <c r="X108" i="3"/>
  <c r="X98" i="3"/>
  <c r="X90" i="3"/>
  <c r="X100" i="3" s="1"/>
  <c r="X102" i="3" s="1"/>
  <c r="Y89" i="3"/>
  <c r="X85" i="3"/>
  <c r="X133" i="3" s="1"/>
  <c r="Y84" i="3"/>
  <c r="Y79" i="3"/>
  <c r="X79" i="3"/>
  <c r="Y77" i="3"/>
  <c r="X77" i="3"/>
  <c r="X76" i="3"/>
  <c r="Y59" i="3"/>
  <c r="X59" i="3"/>
  <c r="X55" i="3"/>
  <c r="Y54" i="3"/>
  <c r="X54" i="3"/>
  <c r="X53" i="3"/>
  <c r="Y52" i="3"/>
  <c r="X52" i="3"/>
  <c r="X50" i="3"/>
  <c r="X46" i="3"/>
  <c r="Y45" i="3"/>
  <c r="X42" i="3"/>
  <c r="X38" i="3"/>
  <c r="Y37" i="3"/>
  <c r="X34" i="3"/>
  <c r="X25" i="3"/>
  <c r="X26" i="3" s="1"/>
  <c r="X24" i="3"/>
  <c r="X22" i="3"/>
  <c r="X21" i="3"/>
  <c r="Y20" i="3"/>
  <c r="Y80" i="3" s="1"/>
  <c r="X20" i="3"/>
  <c r="X80" i="3" s="1"/>
  <c r="X17" i="3"/>
  <c r="X16" i="3"/>
  <c r="X18" i="3" s="1"/>
  <c r="X14" i="3"/>
  <c r="X6" i="3"/>
  <c r="U183" i="3"/>
  <c r="U182" i="3"/>
  <c r="U181" i="3"/>
  <c r="U179" i="3"/>
  <c r="U143" i="3"/>
  <c r="U119" i="3"/>
  <c r="U118" i="3"/>
  <c r="U117" i="3"/>
  <c r="U115" i="3"/>
  <c r="U114" i="3"/>
  <c r="U113" i="3"/>
  <c r="U111" i="3"/>
  <c r="U110" i="3"/>
  <c r="U109" i="3"/>
  <c r="U108" i="3"/>
  <c r="U98" i="3"/>
  <c r="V89" i="3"/>
  <c r="U85" i="3"/>
  <c r="U133" i="3" s="1"/>
  <c r="V84" i="3"/>
  <c r="V79" i="3"/>
  <c r="U79" i="3"/>
  <c r="V77" i="3"/>
  <c r="U77" i="3"/>
  <c r="V76" i="3"/>
  <c r="V59" i="3"/>
  <c r="U59" i="3"/>
  <c r="U55" i="3"/>
  <c r="V54" i="3"/>
  <c r="U54" i="3"/>
  <c r="U53" i="3"/>
  <c r="V52" i="3"/>
  <c r="U52" i="3"/>
  <c r="U50" i="3"/>
  <c r="U46" i="3"/>
  <c r="V45" i="3"/>
  <c r="U42" i="3"/>
  <c r="U38" i="3"/>
  <c r="V37" i="3"/>
  <c r="U34" i="3"/>
  <c r="U25" i="3"/>
  <c r="U24" i="3"/>
  <c r="U26" i="3" s="1"/>
  <c r="U22" i="3"/>
  <c r="U21" i="3"/>
  <c r="V20" i="3"/>
  <c r="V80" i="3" s="1"/>
  <c r="U20" i="3"/>
  <c r="U80" i="3" s="1"/>
  <c r="U18" i="3"/>
  <c r="U17" i="3"/>
  <c r="U16" i="3"/>
  <c r="U14" i="3"/>
  <c r="U6" i="3"/>
  <c r="O183" i="3"/>
  <c r="O182" i="3"/>
  <c r="O181" i="3"/>
  <c r="O179" i="3"/>
  <c r="O143" i="3"/>
  <c r="O119" i="3"/>
  <c r="O118" i="3"/>
  <c r="O117" i="3"/>
  <c r="O115" i="3"/>
  <c r="O114" i="3"/>
  <c r="O113" i="3"/>
  <c r="O111" i="3"/>
  <c r="O110" i="3"/>
  <c r="O109" i="3"/>
  <c r="O108" i="3"/>
  <c r="O98" i="3"/>
  <c r="O90" i="3"/>
  <c r="O100" i="3" s="1"/>
  <c r="O102" i="3" s="1"/>
  <c r="P89" i="3"/>
  <c r="O85" i="3"/>
  <c r="O133" i="3" s="1"/>
  <c r="P84" i="3"/>
  <c r="P79" i="3"/>
  <c r="O79" i="3"/>
  <c r="P77" i="3"/>
  <c r="O77" i="3"/>
  <c r="O76" i="3"/>
  <c r="P59" i="3"/>
  <c r="O59" i="3"/>
  <c r="O55" i="3"/>
  <c r="P54" i="3"/>
  <c r="O54" i="3"/>
  <c r="O53" i="3"/>
  <c r="P52" i="3"/>
  <c r="O52" i="3"/>
  <c r="O50" i="3"/>
  <c r="O46" i="3"/>
  <c r="P45" i="3"/>
  <c r="O42" i="3"/>
  <c r="O38" i="3"/>
  <c r="P37" i="3"/>
  <c r="O34" i="3"/>
  <c r="O25" i="3"/>
  <c r="O26" i="3" s="1"/>
  <c r="O24" i="3"/>
  <c r="O22" i="3"/>
  <c r="O21" i="3"/>
  <c r="P20" i="3"/>
  <c r="P80" i="3" s="1"/>
  <c r="O20" i="3"/>
  <c r="O80" i="3" s="1"/>
  <c r="O17" i="3"/>
  <c r="O16" i="3"/>
  <c r="O18" i="3" s="1"/>
  <c r="O14" i="3"/>
  <c r="O6" i="3"/>
  <c r="L183" i="3"/>
  <c r="L182" i="3"/>
  <c r="L181" i="3"/>
  <c r="L179" i="3"/>
  <c r="L143" i="3"/>
  <c r="L119" i="3"/>
  <c r="L118" i="3"/>
  <c r="L117" i="3"/>
  <c r="L115" i="3"/>
  <c r="L114" i="3"/>
  <c r="L113" i="3"/>
  <c r="L111" i="3"/>
  <c r="L110" i="3"/>
  <c r="L109" i="3"/>
  <c r="L108" i="3"/>
  <c r="L98" i="3"/>
  <c r="M89" i="3"/>
  <c r="L85" i="3"/>
  <c r="L133" i="3" s="1"/>
  <c r="M84" i="3"/>
  <c r="M79" i="3"/>
  <c r="L79" i="3"/>
  <c r="M77" i="3"/>
  <c r="L77" i="3"/>
  <c r="M59" i="3"/>
  <c r="L59" i="3"/>
  <c r="L55" i="3"/>
  <c r="M54" i="3"/>
  <c r="L54" i="3"/>
  <c r="L53" i="3"/>
  <c r="M52" i="3"/>
  <c r="L52" i="3"/>
  <c r="L50" i="3"/>
  <c r="L46" i="3"/>
  <c r="M45" i="3"/>
  <c r="L42" i="3"/>
  <c r="L38" i="3"/>
  <c r="M37" i="3"/>
  <c r="L34" i="3"/>
  <c r="L25" i="3"/>
  <c r="L24" i="3"/>
  <c r="L26" i="3" s="1"/>
  <c r="L22" i="3"/>
  <c r="L21" i="3"/>
  <c r="M20" i="3"/>
  <c r="M76" i="3" s="1"/>
  <c r="L20" i="3"/>
  <c r="L80" i="3" s="1"/>
  <c r="L18" i="3"/>
  <c r="L17" i="3"/>
  <c r="L16" i="3"/>
  <c r="L14" i="3"/>
  <c r="L6" i="3"/>
  <c r="AH80" i="3" l="1"/>
  <c r="AA80" i="3"/>
  <c r="AB80" i="3"/>
  <c r="Y76" i="3"/>
  <c r="U90" i="3"/>
  <c r="U100" i="3" s="1"/>
  <c r="U102" i="3" s="1"/>
  <c r="U76" i="3"/>
  <c r="P76" i="3"/>
  <c r="M80" i="3"/>
  <c r="L90" i="3"/>
  <c r="L100" i="3" s="1"/>
  <c r="L102" i="3" s="1"/>
  <c r="L76" i="3"/>
  <c r="AA45" i="5" l="1"/>
  <c r="AG5" i="5" l="1"/>
  <c r="AG49" i="5" l="1"/>
  <c r="AD14" i="6" l="1"/>
  <c r="AA81" i="4" l="1"/>
  <c r="AG81" i="4"/>
  <c r="AG73" i="5"/>
  <c r="AA73" i="5"/>
  <c r="AG71" i="5"/>
  <c r="AA46" i="6"/>
  <c r="AG46" i="6"/>
  <c r="AD85" i="4" l="1"/>
  <c r="R85" i="4"/>
  <c r="AG23" i="4" l="1"/>
  <c r="AG19" i="4"/>
  <c r="AG15" i="4"/>
  <c r="AG11" i="4"/>
  <c r="AG6" i="4"/>
  <c r="AG15" i="5" l="1"/>
  <c r="AG11" i="5"/>
  <c r="AG6" i="5"/>
  <c r="AG9" i="4" l="1"/>
  <c r="AG5" i="4"/>
  <c r="AG54" i="4" l="1"/>
  <c r="AG59" i="4" s="1"/>
  <c r="AG68" i="4" s="1"/>
  <c r="AG70" i="4" s="1"/>
  <c r="AG86" i="4"/>
  <c r="AG7" i="4"/>
  <c r="AG27" i="4"/>
  <c r="AG25" i="4"/>
  <c r="AG77" i="4"/>
  <c r="AG28" i="4"/>
  <c r="AG26" i="4"/>
  <c r="AG19" i="5"/>
  <c r="AG9" i="6" l="1"/>
  <c r="AG69" i="5" l="1"/>
  <c r="AG7" i="5"/>
  <c r="AG22" i="5"/>
  <c r="AG46" i="5"/>
  <c r="AG23" i="5"/>
  <c r="AG21" i="5"/>
  <c r="AG5" i="6"/>
  <c r="AG51" i="5" l="1"/>
  <c r="AG81" i="5"/>
  <c r="AG7" i="6"/>
  <c r="AG24" i="6"/>
  <c r="AG61" i="5" l="1"/>
  <c r="AG63" i="5" s="1"/>
  <c r="AG3" i="4"/>
  <c r="AG29" i="6"/>
  <c r="AG38" i="6" s="1"/>
  <c r="AG40" i="6" s="1"/>
  <c r="AG42" i="6"/>
  <c r="AG3" i="5"/>
  <c r="AG3" i="6"/>
  <c r="AH5" i="4" l="1"/>
  <c r="AH5" i="6" l="1"/>
  <c r="AH26" i="6" l="1"/>
  <c r="AH24" i="6"/>
  <c r="AH29" i="6" l="1"/>
  <c r="AH38" i="6" s="1"/>
  <c r="AH40" i="6" s="1"/>
  <c r="AH42" i="6"/>
  <c r="AE17" i="4" l="1"/>
  <c r="AE9" i="4"/>
  <c r="AC17" i="4" l="1"/>
  <c r="AC9" i="4"/>
  <c r="Z17" i="4"/>
  <c r="Z9" i="4"/>
  <c r="AD75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37" i="5" l="1"/>
  <c r="AD36" i="5"/>
  <c r="AD35" i="5"/>
  <c r="AD34" i="5"/>
  <c r="AD33" i="5"/>
  <c r="AD32" i="5"/>
  <c r="AD31" i="5"/>
  <c r="AD30" i="5"/>
  <c r="AD29" i="5"/>
  <c r="AD28" i="5"/>
  <c r="AD27" i="5"/>
  <c r="AD26" i="5"/>
  <c r="AD25" i="5"/>
  <c r="AD65" i="4" l="1"/>
  <c r="AD64" i="4"/>
  <c r="AD63" i="4"/>
  <c r="AD62" i="4"/>
  <c r="AD61" i="4"/>
  <c r="AD58" i="4"/>
  <c r="AD57" i="4"/>
  <c r="AD56" i="4"/>
  <c r="AD53" i="4"/>
  <c r="AD22" i="4"/>
  <c r="AD21" i="4"/>
  <c r="AD18" i="4"/>
  <c r="AD17" i="4"/>
  <c r="AF17" i="4" s="1"/>
  <c r="AD14" i="4"/>
  <c r="AD13" i="4"/>
  <c r="AD10" i="4"/>
  <c r="AD9" i="4"/>
  <c r="AA64" i="4"/>
  <c r="AA71" i="5"/>
  <c r="AA61" i="4"/>
  <c r="Z59" i="4"/>
  <c r="Y59" i="4"/>
  <c r="AA23" i="4"/>
  <c r="AA19" i="4"/>
  <c r="AA15" i="4"/>
  <c r="AA6" i="4"/>
  <c r="AA11" i="4"/>
  <c r="AA5" i="4"/>
  <c r="AE5" i="3"/>
  <c r="AD67" i="5"/>
  <c r="AD66" i="5"/>
  <c r="AD65" i="5"/>
  <c r="AD58" i="5"/>
  <c r="AD57" i="5"/>
  <c r="AD56" i="5"/>
  <c r="AD55" i="5"/>
  <c r="AD54" i="5"/>
  <c r="AD53" i="5"/>
  <c r="AD50" i="5"/>
  <c r="AD49" i="5"/>
  <c r="AD48" i="5"/>
  <c r="AD45" i="5"/>
  <c r="AD18" i="5"/>
  <c r="AD17" i="5"/>
  <c r="AD14" i="5"/>
  <c r="AD13" i="5"/>
  <c r="AD10" i="5"/>
  <c r="AD9" i="5"/>
  <c r="AA86" i="4" l="1"/>
  <c r="AA77" i="4"/>
  <c r="AF9" i="4"/>
  <c r="AD11" i="5"/>
  <c r="AD19" i="5"/>
  <c r="AD15" i="5"/>
  <c r="AA7" i="4"/>
  <c r="AD11" i="4"/>
  <c r="AD19" i="4"/>
  <c r="AD15" i="4"/>
  <c r="AD23" i="4"/>
  <c r="AA26" i="4"/>
  <c r="AA28" i="4"/>
  <c r="AA54" i="4"/>
  <c r="AA59" i="4" s="1"/>
  <c r="AA68" i="4" s="1"/>
  <c r="AA70" i="4" s="1"/>
  <c r="AA25" i="4"/>
  <c r="AA27" i="4"/>
  <c r="AA56" i="5" l="1"/>
  <c r="AA19" i="5"/>
  <c r="AA6" i="5"/>
  <c r="AA15" i="5"/>
  <c r="AA11" i="5"/>
  <c r="AA5" i="5" l="1"/>
  <c r="BE6" i="6"/>
  <c r="AD6" i="6"/>
  <c r="AD35" i="6"/>
  <c r="AD34" i="6"/>
  <c r="AD33" i="6"/>
  <c r="AD32" i="6"/>
  <c r="AD31" i="6"/>
  <c r="AD28" i="6"/>
  <c r="AD27" i="6"/>
  <c r="AD26" i="6"/>
  <c r="AD23" i="6"/>
  <c r="AD11" i="6"/>
  <c r="AD10" i="6"/>
  <c r="AD9" i="6"/>
  <c r="AA69" i="5" l="1"/>
  <c r="AA7" i="5"/>
  <c r="AA23" i="5"/>
  <c r="AA21" i="5"/>
  <c r="AA46" i="5"/>
  <c r="AA22" i="5"/>
  <c r="AA51" i="5" l="1"/>
  <c r="AA61" i="5" s="1"/>
  <c r="AA63" i="5" s="1"/>
  <c r="AA10" i="6" l="1"/>
  <c r="AA5" i="6" s="1"/>
  <c r="AC5" i="6" s="1"/>
  <c r="AA24" i="6" l="1"/>
  <c r="AA7" i="6"/>
  <c r="AC89" i="3"/>
  <c r="R5" i="6"/>
  <c r="AA3" i="6" l="1"/>
  <c r="AA3" i="5"/>
  <c r="AA3" i="4"/>
  <c r="AA42" i="6"/>
  <c r="AA29" i="6"/>
  <c r="AA38" i="6" s="1"/>
  <c r="AA40" i="6" s="1"/>
  <c r="Y17" i="5"/>
  <c r="AB5" i="5"/>
  <c r="AB5" i="4"/>
  <c r="Y5" i="4"/>
  <c r="V9" i="4"/>
  <c r="AB26" i="6"/>
  <c r="AB24" i="6"/>
  <c r="AB29" i="6" s="1"/>
  <c r="AB38" i="6" s="1"/>
  <c r="AB40" i="6" s="1"/>
  <c r="AC5" i="4" l="1"/>
  <c r="AB42" i="6"/>
  <c r="BE17" i="5"/>
  <c r="AE4" i="3" l="1"/>
  <c r="BE60" i="6"/>
  <c r="BE50" i="6"/>
  <c r="BE34" i="6"/>
  <c r="BE33" i="6"/>
  <c r="BE32" i="6"/>
  <c r="BE31" i="6"/>
  <c r="BE28" i="6"/>
  <c r="BE27" i="6"/>
  <c r="BE26" i="6"/>
  <c r="BE11" i="6"/>
  <c r="BE10" i="6"/>
  <c r="BE9" i="6"/>
  <c r="BE58" i="5"/>
  <c r="BE57" i="5"/>
  <c r="BE56" i="5"/>
  <c r="BE55" i="5"/>
  <c r="BE54" i="5"/>
  <c r="BE53" i="5"/>
  <c r="BE50" i="5"/>
  <c r="BE49" i="5"/>
  <c r="BE48" i="5"/>
  <c r="BE45" i="5"/>
  <c r="BE18" i="5"/>
  <c r="BE14" i="5"/>
  <c r="BE13" i="5"/>
  <c r="BE10" i="5"/>
  <c r="BE9" i="5"/>
  <c r="BE64" i="4"/>
  <c r="BE63" i="4"/>
  <c r="BE62" i="4"/>
  <c r="BE61" i="4"/>
  <c r="BE22" i="4" l="1"/>
  <c r="BE21" i="4"/>
  <c r="BE18" i="4"/>
  <c r="BE17" i="4"/>
  <c r="BE14" i="4"/>
  <c r="BE13" i="4"/>
  <c r="BE10" i="4"/>
  <c r="BE9" i="4"/>
  <c r="BE23" i="4" l="1"/>
  <c r="BE75" i="3"/>
  <c r="X49" i="4" l="1"/>
  <c r="X47" i="4"/>
  <c r="X6" i="4" l="1"/>
  <c r="X23" i="4"/>
  <c r="X19" i="4"/>
  <c r="X11" i="4"/>
  <c r="X15" i="4"/>
  <c r="X6" i="5" l="1"/>
  <c r="X19" i="5"/>
  <c r="X15" i="5"/>
  <c r="X11" i="5"/>
  <c r="AD96" i="3" l="1"/>
  <c r="X45" i="5"/>
  <c r="Y5" i="5" l="1"/>
  <c r="X5" i="4" l="1"/>
  <c r="X86" i="4" s="1"/>
  <c r="X7" i="4" l="1"/>
  <c r="Z5" i="4"/>
  <c r="X17" i="5" l="1"/>
  <c r="X56" i="5"/>
  <c r="X55" i="5"/>
  <c r="X54" i="5"/>
  <c r="X53" i="5"/>
  <c r="X64" i="4"/>
  <c r="X63" i="4"/>
  <c r="X61" i="4"/>
  <c r="X9" i="4" l="1"/>
  <c r="X5" i="5" l="1"/>
  <c r="X69" i="5" l="1"/>
  <c r="X7" i="5"/>
  <c r="X46" i="5"/>
  <c r="X22" i="5"/>
  <c r="X21" i="5"/>
  <c r="X23" i="5"/>
  <c r="Y26" i="6"/>
  <c r="Y24" i="6"/>
  <c r="Y42" i="6" s="1"/>
  <c r="X51" i="5" l="1"/>
  <c r="X61" i="5" s="1"/>
  <c r="X63" i="5" s="1"/>
  <c r="Y29" i="6"/>
  <c r="Y38" i="6" s="1"/>
  <c r="Y40" i="6" s="1"/>
  <c r="X5" i="6"/>
  <c r="R10" i="6"/>
  <c r="AD5" i="6" l="1"/>
  <c r="Z5" i="6"/>
  <c r="X24" i="6"/>
  <c r="X7" i="6"/>
  <c r="AD7" i="6" l="1"/>
  <c r="X29" i="6"/>
  <c r="X38" i="6" s="1"/>
  <c r="X40" i="6" s="1"/>
  <c r="X42" i="6"/>
  <c r="X51" i="6"/>
  <c r="O48" i="5"/>
  <c r="U48" i="5"/>
  <c r="AD87" i="3"/>
  <c r="AD40" i="3" l="1"/>
  <c r="AD36" i="3" l="1"/>
  <c r="BE48" i="3"/>
  <c r="AD48" i="3"/>
  <c r="BE49" i="3"/>
  <c r="AD49" i="3"/>
  <c r="AD50" i="3" l="1"/>
  <c r="U49" i="4"/>
  <c r="AD92" i="3" l="1"/>
  <c r="U56" i="5"/>
  <c r="AD95" i="3" s="1"/>
  <c r="AD94" i="3"/>
  <c r="AD93" i="3"/>
  <c r="U5" i="5"/>
  <c r="U17" i="5"/>
  <c r="U69" i="5" l="1"/>
  <c r="AD5" i="5"/>
  <c r="R34" i="4"/>
  <c r="AD69" i="5" l="1"/>
  <c r="AD22" i="5"/>
  <c r="AD21" i="5"/>
  <c r="AD23" i="5"/>
  <c r="AD97" i="3"/>
  <c r="BE98" i="3"/>
  <c r="AD88" i="3"/>
  <c r="AD89" i="3"/>
  <c r="AD84" i="3" l="1"/>
  <c r="R72" i="4"/>
  <c r="V59" i="4"/>
  <c r="BE58" i="4"/>
  <c r="BE57" i="4"/>
  <c r="BE56" i="4"/>
  <c r="BE53" i="4"/>
  <c r="BE67" i="5"/>
  <c r="BE66" i="5"/>
  <c r="BE65" i="5"/>
  <c r="BE5" i="6"/>
  <c r="V5" i="6"/>
  <c r="W5" i="6" l="1"/>
  <c r="AE5" i="6"/>
  <c r="AF5" i="6" s="1"/>
  <c r="U24" i="6"/>
  <c r="AD24" i="6" s="1"/>
  <c r="AD29" i="6" l="1"/>
  <c r="AD38" i="6" s="1"/>
  <c r="AD40" i="6" s="1"/>
  <c r="AD42" i="6"/>
  <c r="U29" i="6"/>
  <c r="U38" i="6" s="1"/>
  <c r="U40" i="6" s="1"/>
  <c r="U51" i="6"/>
  <c r="U42" i="6"/>
  <c r="AD58" i="3"/>
  <c r="AD57" i="3"/>
  <c r="AD45" i="3"/>
  <c r="AD44" i="3"/>
  <c r="AD25" i="3"/>
  <c r="AD24" i="3"/>
  <c r="AD21" i="3"/>
  <c r="AD20" i="3"/>
  <c r="AD17" i="3"/>
  <c r="AD16" i="3"/>
  <c r="U16" i="6"/>
  <c r="U7" i="6"/>
  <c r="V5" i="4"/>
  <c r="V5" i="5"/>
  <c r="U19" i="5"/>
  <c r="U15" i="5"/>
  <c r="U11" i="5"/>
  <c r="U6" i="5"/>
  <c r="AD6" i="5" s="1"/>
  <c r="AD7" i="5" s="1"/>
  <c r="U6" i="4"/>
  <c r="AD6" i="4" s="1"/>
  <c r="W17" i="4"/>
  <c r="W9" i="4"/>
  <c r="U23" i="4"/>
  <c r="O23" i="4"/>
  <c r="U19" i="4"/>
  <c r="U15" i="4"/>
  <c r="U11" i="4"/>
  <c r="AD18" i="3" l="1"/>
  <c r="AD22" i="3"/>
  <c r="AD26" i="3"/>
  <c r="AD59" i="3"/>
  <c r="AE5" i="4"/>
  <c r="AD41" i="3"/>
  <c r="AD42" i="3" s="1"/>
  <c r="AD46" i="3"/>
  <c r="AD37" i="3"/>
  <c r="AD38" i="3" s="1"/>
  <c r="W57" i="3"/>
  <c r="AD13" i="3"/>
  <c r="AD33" i="3"/>
  <c r="AD76" i="3"/>
  <c r="AD77" i="3"/>
  <c r="U7" i="5"/>
  <c r="U46" i="5"/>
  <c r="AD46" i="5" s="1"/>
  <c r="AD51" i="5" s="1"/>
  <c r="AD61" i="5" s="1"/>
  <c r="AD63" i="5" s="1"/>
  <c r="BE42" i="5"/>
  <c r="BE40" i="5"/>
  <c r="V23" i="5"/>
  <c r="U23" i="5"/>
  <c r="V22" i="5"/>
  <c r="U22" i="5"/>
  <c r="U21" i="5"/>
  <c r="U5" i="4"/>
  <c r="U86" i="4" s="1"/>
  <c r="O5" i="4"/>
  <c r="O54" i="4" l="1"/>
  <c r="O86" i="4"/>
  <c r="AD12" i="3"/>
  <c r="U3" i="4"/>
  <c r="AD5" i="4"/>
  <c r="BE5" i="3"/>
  <c r="AD5" i="3"/>
  <c r="W12" i="3"/>
  <c r="W5" i="4"/>
  <c r="U77" i="4"/>
  <c r="U54" i="4"/>
  <c r="U59" i="4" s="1"/>
  <c r="U68" i="4" s="1"/>
  <c r="U70" i="4" s="1"/>
  <c r="U51" i="5"/>
  <c r="V3" i="5"/>
  <c r="AF5" i="4" l="1"/>
  <c r="AD86" i="4"/>
  <c r="AD14" i="3"/>
  <c r="AD29" i="3"/>
  <c r="AD28" i="3"/>
  <c r="AD30" i="3"/>
  <c r="AD77" i="4"/>
  <c r="AD54" i="4"/>
  <c r="AD59" i="4" s="1"/>
  <c r="AD68" i="4" s="1"/>
  <c r="AD70" i="4" s="1"/>
  <c r="AD7" i="4"/>
  <c r="AD25" i="4"/>
  <c r="AD27" i="4"/>
  <c r="AD26" i="4"/>
  <c r="AD28" i="4"/>
  <c r="W89" i="3"/>
  <c r="W32" i="3"/>
  <c r="U3" i="5"/>
  <c r="U61" i="5"/>
  <c r="U63" i="5" s="1"/>
  <c r="W4" i="3"/>
  <c r="U3" i="6"/>
  <c r="U7" i="4"/>
  <c r="U47" i="4" l="1"/>
  <c r="R10" i="4"/>
  <c r="O6" i="4"/>
  <c r="R22" i="4" l="1"/>
  <c r="R18" i="4"/>
  <c r="R14" i="4"/>
  <c r="R21" i="4"/>
  <c r="R17" i="4"/>
  <c r="R13" i="4"/>
  <c r="R9" i="4"/>
  <c r="R178" i="3"/>
  <c r="R171" i="3"/>
  <c r="R156" i="3"/>
  <c r="R155" i="3"/>
  <c r="R150" i="3"/>
  <c r="R149" i="3"/>
  <c r="S145" i="3"/>
  <c r="R145" i="3"/>
  <c r="S144" i="3"/>
  <c r="R144" i="3"/>
  <c r="S143" i="3"/>
  <c r="R143" i="3"/>
  <c r="R141" i="3"/>
  <c r="R140" i="3"/>
  <c r="R139" i="3"/>
  <c r="S134" i="3"/>
  <c r="S132" i="3"/>
  <c r="R134" i="3"/>
  <c r="R132" i="3"/>
  <c r="R106" i="3"/>
  <c r="R105" i="3"/>
  <c r="R104" i="3"/>
  <c r="S75" i="3"/>
  <c r="R75" i="3"/>
  <c r="R105" i="4"/>
  <c r="R104" i="4"/>
  <c r="R99" i="4"/>
  <c r="R98" i="4"/>
  <c r="R89" i="4"/>
  <c r="R88" i="4"/>
  <c r="R53" i="4"/>
  <c r="O49" i="4"/>
  <c r="O45" i="4"/>
  <c r="R42" i="4"/>
  <c r="R41" i="4"/>
  <c r="S17" i="4"/>
  <c r="S9" i="4"/>
  <c r="Q9" i="4"/>
  <c r="R102" i="5"/>
  <c r="R101" i="5"/>
  <c r="R96" i="5"/>
  <c r="R95" i="5"/>
  <c r="R90" i="5"/>
  <c r="R86" i="5"/>
  <c r="R85" i="5"/>
  <c r="R80" i="5"/>
  <c r="R67" i="5"/>
  <c r="R66" i="5"/>
  <c r="R65" i="5"/>
  <c r="R58" i="5"/>
  <c r="R57" i="5"/>
  <c r="R56" i="5"/>
  <c r="R55" i="5"/>
  <c r="R54" i="5"/>
  <c r="R53" i="5"/>
  <c r="R50" i="5"/>
  <c r="R49" i="5"/>
  <c r="R48" i="5"/>
  <c r="R45" i="5"/>
  <c r="O42" i="5"/>
  <c r="S21" i="5"/>
  <c r="Q17" i="5"/>
  <c r="Q13" i="5"/>
  <c r="O19" i="5"/>
  <c r="R18" i="5"/>
  <c r="S17" i="5"/>
  <c r="R17" i="5"/>
  <c r="S13" i="5"/>
  <c r="P5" i="5"/>
  <c r="BF5" i="5" s="1"/>
  <c r="R19" i="4" l="1"/>
  <c r="T17" i="5"/>
  <c r="R15" i="4"/>
  <c r="R23" i="4"/>
  <c r="O46" i="4"/>
  <c r="T17" i="4"/>
  <c r="T9" i="4"/>
  <c r="R19" i="5"/>
  <c r="O47" i="4" l="1"/>
  <c r="R14" i="5"/>
  <c r="R13" i="5"/>
  <c r="R10" i="5"/>
  <c r="R9" i="5"/>
  <c r="R86" i="6"/>
  <c r="R72" i="6"/>
  <c r="R71" i="6"/>
  <c r="R66" i="6"/>
  <c r="R65" i="6"/>
  <c r="R60" i="6"/>
  <c r="R56" i="6"/>
  <c r="R55" i="6"/>
  <c r="O53" i="6"/>
  <c r="R53" i="6" s="1"/>
  <c r="I53" i="6"/>
  <c r="R50" i="6"/>
  <c r="R15" i="5" l="1"/>
  <c r="T13" i="5"/>
  <c r="R11" i="5"/>
  <c r="R6" i="6"/>
  <c r="I7" i="6"/>
  <c r="R35" i="6"/>
  <c r="R34" i="6"/>
  <c r="R33" i="6"/>
  <c r="R32" i="6"/>
  <c r="R31" i="6"/>
  <c r="R28" i="6"/>
  <c r="R27" i="6"/>
  <c r="R26" i="6"/>
  <c r="R65" i="4"/>
  <c r="R63" i="4"/>
  <c r="R62" i="4"/>
  <c r="R61" i="4"/>
  <c r="R58" i="4"/>
  <c r="R57" i="4"/>
  <c r="R56" i="4"/>
  <c r="R75" i="4"/>
  <c r="R74" i="4"/>
  <c r="R73" i="4"/>
  <c r="BE92" i="3" l="1"/>
  <c r="R92" i="3"/>
  <c r="I98" i="3"/>
  <c r="R97" i="3" l="1"/>
  <c r="BE97" i="3"/>
  <c r="R183" i="3"/>
  <c r="R182" i="3"/>
  <c r="R181" i="3"/>
  <c r="I183" i="3"/>
  <c r="I182" i="3"/>
  <c r="I181" i="3"/>
  <c r="I115" i="3"/>
  <c r="I114" i="3"/>
  <c r="I113" i="3"/>
  <c r="I111" i="3"/>
  <c r="I110" i="3"/>
  <c r="I109" i="3"/>
  <c r="I108" i="3"/>
  <c r="J84" i="3"/>
  <c r="J45" i="3"/>
  <c r="J37" i="3"/>
  <c r="J79" i="3"/>
  <c r="I25" i="3"/>
  <c r="I24" i="3"/>
  <c r="J20" i="3"/>
  <c r="I21" i="3"/>
  <c r="I20" i="3"/>
  <c r="I17" i="3"/>
  <c r="I16" i="3"/>
  <c r="P5" i="4"/>
  <c r="S5" i="4" s="1"/>
  <c r="L5" i="4"/>
  <c r="I5" i="4"/>
  <c r="M23" i="5"/>
  <c r="M22" i="5"/>
  <c r="J23" i="5"/>
  <c r="J22" i="5"/>
  <c r="O5" i="5"/>
  <c r="L5" i="5"/>
  <c r="L69" i="5" s="1"/>
  <c r="I5" i="5"/>
  <c r="P5" i="6"/>
  <c r="S5" i="6" s="1"/>
  <c r="L77" i="4" l="1"/>
  <c r="L86" i="4"/>
  <c r="BE21" i="3"/>
  <c r="BE25" i="3"/>
  <c r="BE94" i="3"/>
  <c r="BE5" i="4"/>
  <c r="BE25" i="4" s="1"/>
  <c r="BE89" i="3"/>
  <c r="BE93" i="3"/>
  <c r="BE96" i="3"/>
  <c r="BE58" i="3"/>
  <c r="BE5" i="5"/>
  <c r="BE46" i="5" s="1"/>
  <c r="BE51" i="5" s="1"/>
  <c r="BE61" i="5" s="1"/>
  <c r="BE17" i="3"/>
  <c r="BE24" i="3"/>
  <c r="BE40" i="3"/>
  <c r="BE44" i="3"/>
  <c r="BE87" i="3"/>
  <c r="BE41" i="3"/>
  <c r="BE45" i="3"/>
  <c r="BE88" i="3"/>
  <c r="I76" i="3"/>
  <c r="R76" i="3" s="1"/>
  <c r="BE20" i="3"/>
  <c r="I77" i="3"/>
  <c r="BE36" i="3"/>
  <c r="I69" i="5"/>
  <c r="I118" i="3" s="1"/>
  <c r="R113" i="3"/>
  <c r="U25" i="4"/>
  <c r="U28" i="4"/>
  <c r="U27" i="4"/>
  <c r="U26" i="4"/>
  <c r="I77" i="4"/>
  <c r="I117" i="3" s="1"/>
  <c r="R5" i="4"/>
  <c r="R109" i="3"/>
  <c r="J89" i="3"/>
  <c r="I21" i="5"/>
  <c r="I83" i="5"/>
  <c r="K5" i="5"/>
  <c r="R87" i="3"/>
  <c r="R110" i="3"/>
  <c r="R94" i="3"/>
  <c r="R88" i="3"/>
  <c r="R111" i="3"/>
  <c r="R114" i="3"/>
  <c r="R93" i="3"/>
  <c r="S79" i="3"/>
  <c r="R89" i="3"/>
  <c r="R108" i="3"/>
  <c r="R115" i="3"/>
  <c r="R96" i="3"/>
  <c r="O77" i="4"/>
  <c r="M3" i="5"/>
  <c r="M3" i="4"/>
  <c r="J3" i="4"/>
  <c r="J3" i="5"/>
  <c r="Q5" i="4"/>
  <c r="O83" i="5"/>
  <c r="O69" i="5"/>
  <c r="L83" i="5"/>
  <c r="R5" i="5"/>
  <c r="R69" i="5" s="1"/>
  <c r="N5" i="5"/>
  <c r="P23" i="5"/>
  <c r="S23" i="5" s="1"/>
  <c r="S5" i="5"/>
  <c r="Q5" i="5"/>
  <c r="J3" i="6"/>
  <c r="M3" i="6"/>
  <c r="J59" i="3"/>
  <c r="J54" i="3"/>
  <c r="J52" i="3"/>
  <c r="J77" i="3"/>
  <c r="J76" i="3"/>
  <c r="J80" i="3"/>
  <c r="P22" i="5"/>
  <c r="S22" i="5" s="1"/>
  <c r="T5" i="4" l="1"/>
  <c r="R86" i="4"/>
  <c r="BE27" i="4"/>
  <c r="BE28" i="4"/>
  <c r="BE26" i="4"/>
  <c r="BE13" i="3"/>
  <c r="I52" i="3"/>
  <c r="S77" i="3"/>
  <c r="P3" i="6"/>
  <c r="BF4" i="3"/>
  <c r="S80" i="3"/>
  <c r="R77" i="3"/>
  <c r="S76" i="3"/>
  <c r="S10" i="3"/>
  <c r="R83" i="5"/>
  <c r="R32" i="3"/>
  <c r="R77" i="4"/>
  <c r="R117" i="3"/>
  <c r="O3" i="6"/>
  <c r="O3" i="4"/>
  <c r="S9" i="3"/>
  <c r="S8" i="3"/>
  <c r="P3" i="4"/>
  <c r="S3" i="4" s="1"/>
  <c r="V3" i="4" s="1"/>
  <c r="O3" i="5"/>
  <c r="R118" i="3"/>
  <c r="P3" i="5"/>
  <c r="T5" i="5"/>
  <c r="R179" i="3"/>
  <c r="Q4" i="3"/>
  <c r="O28" i="4" l="1"/>
  <c r="O27" i="4"/>
  <c r="O26" i="4"/>
  <c r="O25" i="4"/>
  <c r="L6" i="4"/>
  <c r="O19" i="4"/>
  <c r="O15" i="4"/>
  <c r="O11" i="4"/>
  <c r="I10" i="4"/>
  <c r="O7" i="4"/>
  <c r="R11" i="4" l="1"/>
  <c r="BE37" i="3"/>
  <c r="I6" i="4"/>
  <c r="BE6" i="4" s="1"/>
  <c r="O64" i="4"/>
  <c r="L64" i="4"/>
  <c r="R6" i="4" l="1"/>
  <c r="R7" i="4" s="1"/>
  <c r="R64" i="4"/>
  <c r="BE95" i="3"/>
  <c r="L40" i="4"/>
  <c r="L39" i="4"/>
  <c r="R39" i="4" s="1"/>
  <c r="L38" i="4"/>
  <c r="L37" i="4"/>
  <c r="R37" i="4" s="1"/>
  <c r="L36" i="4"/>
  <c r="L35" i="4"/>
  <c r="R35" i="4" s="1"/>
  <c r="L34" i="4"/>
  <c r="L33" i="4"/>
  <c r="R33" i="4" s="1"/>
  <c r="L32" i="4"/>
  <c r="L31" i="4"/>
  <c r="R31" i="4" s="1"/>
  <c r="L30" i="4"/>
  <c r="I40" i="4"/>
  <c r="I39" i="4"/>
  <c r="I38" i="4"/>
  <c r="I37" i="4"/>
  <c r="I36" i="4"/>
  <c r="I35" i="4"/>
  <c r="I34" i="4"/>
  <c r="I33" i="4"/>
  <c r="I32" i="4"/>
  <c r="I31" i="4"/>
  <c r="I30" i="4"/>
  <c r="R33" i="3" l="1"/>
  <c r="BE33" i="3"/>
  <c r="R95" i="3"/>
  <c r="R30" i="4"/>
  <c r="R32" i="4"/>
  <c r="R36" i="4"/>
  <c r="R38" i="4"/>
  <c r="R40" i="4"/>
  <c r="I23" i="4"/>
  <c r="L28" i="4"/>
  <c r="L27" i="4"/>
  <c r="L26" i="4"/>
  <c r="L25" i="4"/>
  <c r="I28" i="4" l="1"/>
  <c r="R28" i="4" s="1"/>
  <c r="I27" i="4"/>
  <c r="R27" i="4" s="1"/>
  <c r="I26" i="4"/>
  <c r="R26" i="4" s="1"/>
  <c r="I25" i="4"/>
  <c r="R25" i="4" s="1"/>
  <c r="K68" i="4"/>
  <c r="J68" i="4"/>
  <c r="L54" i="4"/>
  <c r="I54" i="4"/>
  <c r="L50" i="4"/>
  <c r="I50" i="4"/>
  <c r="L49" i="4"/>
  <c r="I49" i="4"/>
  <c r="L45" i="4"/>
  <c r="I45" i="4"/>
  <c r="L23" i="4"/>
  <c r="L19" i="4"/>
  <c r="I19" i="4"/>
  <c r="BF17" i="4"/>
  <c r="N17" i="4"/>
  <c r="K17" i="4"/>
  <c r="L15" i="4"/>
  <c r="I15" i="4"/>
  <c r="L11" i="4"/>
  <c r="I11" i="4"/>
  <c r="BF9" i="4"/>
  <c r="N9" i="4"/>
  <c r="K9" i="4"/>
  <c r="L7" i="4"/>
  <c r="I7" i="4"/>
  <c r="BF5" i="4"/>
  <c r="N5" i="4"/>
  <c r="K5" i="4"/>
  <c r="L3" i="4"/>
  <c r="I3" i="4"/>
  <c r="I46" i="4" l="1"/>
  <c r="I47" i="4" s="1"/>
  <c r="BE45" i="4"/>
  <c r="I59" i="4"/>
  <c r="I68" i="4" s="1"/>
  <c r="I70" i="4" s="1"/>
  <c r="R49" i="4"/>
  <c r="O59" i="4"/>
  <c r="O68" i="4" s="1"/>
  <c r="O70" i="4" s="1"/>
  <c r="R54" i="4"/>
  <c r="R59" i="4" s="1"/>
  <c r="R68" i="4" s="1"/>
  <c r="R70" i="4" s="1"/>
  <c r="L46" i="4"/>
  <c r="R45" i="4"/>
  <c r="R3" i="4"/>
  <c r="BE19" i="4"/>
  <c r="BE11" i="4"/>
  <c r="L59" i="4"/>
  <c r="L68" i="4" s="1"/>
  <c r="L70" i="4" s="1"/>
  <c r="BE15" i="4"/>
  <c r="BG9" i="4"/>
  <c r="BG17" i="4"/>
  <c r="BE46" i="4" l="1"/>
  <c r="L47" i="4"/>
  <c r="R47" i="4" s="1"/>
  <c r="R46" i="4"/>
  <c r="O23" i="5"/>
  <c r="O22" i="5"/>
  <c r="O21" i="5"/>
  <c r="O40" i="5"/>
  <c r="O15" i="5"/>
  <c r="O6" i="5"/>
  <c r="O7" i="5" s="1"/>
  <c r="L6" i="5"/>
  <c r="I6" i="5"/>
  <c r="O11" i="5"/>
  <c r="BE6" i="5" l="1"/>
  <c r="BE47" i="4"/>
  <c r="R6" i="5"/>
  <c r="R7" i="5" s="1"/>
  <c r="L7" i="5"/>
  <c r="O46" i="5"/>
  <c r="O51" i="5" l="1"/>
  <c r="O61" i="5" s="1"/>
  <c r="O63" i="5" s="1"/>
  <c r="R81" i="5"/>
  <c r="L5" i="6"/>
  <c r="L53" i="6" s="1"/>
  <c r="BE57" i="3" l="1"/>
  <c r="R7" i="6"/>
  <c r="T5" i="6"/>
  <c r="R10" i="3"/>
  <c r="R9" i="3"/>
  <c r="R8" i="3"/>
  <c r="O24" i="6"/>
  <c r="O51" i="6" s="1"/>
  <c r="R51" i="6" s="1"/>
  <c r="O29" i="6" l="1"/>
  <c r="O38" i="6" s="1"/>
  <c r="O40" i="6" s="1"/>
  <c r="O42" i="6"/>
  <c r="O11" i="6"/>
  <c r="O9" i="6"/>
  <c r="O10" i="6"/>
  <c r="O7" i="6"/>
  <c r="O18" i="6" l="1"/>
  <c r="N5" i="6"/>
  <c r="K5" i="6"/>
  <c r="BF5" i="6"/>
  <c r="BF17" i="5"/>
  <c r="BE23" i="5"/>
  <c r="N17" i="5"/>
  <c r="K17" i="5"/>
  <c r="BF13" i="5"/>
  <c r="BE22" i="5"/>
  <c r="N13" i="5"/>
  <c r="K13" i="5"/>
  <c r="BE21" i="5"/>
  <c r="BF58" i="3"/>
  <c r="BF57" i="3"/>
  <c r="BF49" i="3"/>
  <c r="BF45" i="3"/>
  <c r="BF44" i="3"/>
  <c r="BF41" i="3"/>
  <c r="BF37" i="3"/>
  <c r="BF36" i="3"/>
  <c r="BF33" i="3"/>
  <c r="BF32" i="3"/>
  <c r="BF25" i="3"/>
  <c r="BF24" i="3"/>
  <c r="BF21" i="3"/>
  <c r="BF20" i="3"/>
  <c r="BF17" i="3"/>
  <c r="BE16" i="3"/>
  <c r="BE18" i="3" s="1"/>
  <c r="BF13" i="3"/>
  <c r="BF12" i="3"/>
  <c r="BE12" i="3"/>
  <c r="S3" i="6"/>
  <c r="L141" i="8"/>
  <c r="F73" i="8"/>
  <c r="N101" i="6"/>
  <c r="N100" i="6"/>
  <c r="N99" i="6"/>
  <c r="BF22" i="5" l="1"/>
  <c r="BF23" i="5"/>
  <c r="O20" i="6"/>
  <c r="BG44" i="3"/>
  <c r="BG36" i="3"/>
  <c r="BG24" i="3"/>
  <c r="BG20" i="3"/>
  <c r="BG12" i="3"/>
  <c r="BE7" i="5"/>
  <c r="BE15" i="5"/>
  <c r="BE7" i="6"/>
  <c r="BG57" i="3"/>
  <c r="BE19" i="5"/>
  <c r="O100" i="6"/>
  <c r="BG5" i="6"/>
  <c r="O99" i="6"/>
  <c r="BG17" i="5"/>
  <c r="BG5" i="5"/>
  <c r="BE11" i="5"/>
  <c r="BG13" i="5"/>
  <c r="L97" i="6"/>
  <c r="I96" i="6"/>
  <c r="I23" i="6"/>
  <c r="BE23" i="6" s="1"/>
  <c r="BE24" i="6" s="1"/>
  <c r="BE29" i="6" s="1"/>
  <c r="BE38" i="6" s="1"/>
  <c r="I11" i="6"/>
  <c r="R11" i="6" s="1"/>
  <c r="L10" i="6"/>
  <c r="I10" i="6"/>
  <c r="L9" i="6"/>
  <c r="I9" i="6"/>
  <c r="R9" i="6" l="1"/>
  <c r="R23" i="6"/>
  <c r="BE84" i="3"/>
  <c r="O15" i="6"/>
  <c r="I18" i="6"/>
  <c r="L24" i="6"/>
  <c r="R84" i="3" l="1"/>
  <c r="O16" i="6"/>
  <c r="L42" i="6"/>
  <c r="I24" i="6"/>
  <c r="I29" i="6" s="1"/>
  <c r="L29" i="6"/>
  <c r="L38" i="6" s="1"/>
  <c r="L40" i="6" s="1"/>
  <c r="L51" i="6"/>
  <c r="L7" i="6"/>
  <c r="L3" i="6"/>
  <c r="I42" i="6" l="1"/>
  <c r="I119" i="3" s="1"/>
  <c r="R119" i="3" s="1"/>
  <c r="I51" i="6"/>
  <c r="R24" i="6"/>
  <c r="R42" i="6" s="1"/>
  <c r="I3" i="6"/>
  <c r="R29" i="6" l="1"/>
  <c r="R38" i="6" s="1"/>
  <c r="R40" i="6" s="1"/>
  <c r="BE42" i="6"/>
  <c r="BE40" i="6"/>
  <c r="L46" i="5"/>
  <c r="L42" i="5"/>
  <c r="I42" i="5"/>
  <c r="L23" i="5"/>
  <c r="I23" i="5"/>
  <c r="L22" i="5"/>
  <c r="I22" i="5"/>
  <c r="R23" i="5" l="1"/>
  <c r="R22" i="5"/>
  <c r="R42" i="5"/>
  <c r="U42" i="5" s="1"/>
  <c r="L51" i="5"/>
  <c r="L61" i="5" s="1"/>
  <c r="L63" i="5" s="1"/>
  <c r="I46" i="5"/>
  <c r="L81" i="5"/>
  <c r="L21" i="5"/>
  <c r="R21" i="5" s="1"/>
  <c r="I51" i="5" l="1"/>
  <c r="BE63" i="5"/>
  <c r="R46" i="5"/>
  <c r="I81" i="5"/>
  <c r="L19" i="5"/>
  <c r="I19" i="5"/>
  <c r="R51" i="5" l="1"/>
  <c r="R61" i="5" s="1"/>
  <c r="R63" i="5" s="1"/>
  <c r="U81" i="5"/>
  <c r="L15" i="5"/>
  <c r="I15" i="5"/>
  <c r="L11" i="5"/>
  <c r="I11" i="5"/>
  <c r="I7" i="5"/>
  <c r="L3" i="5"/>
  <c r="I3" i="5"/>
  <c r="I179" i="3" l="1"/>
  <c r="I143" i="3"/>
  <c r="BG96" i="3" l="1"/>
  <c r="BG95" i="3"/>
  <c r="BG94" i="3"/>
  <c r="BG93" i="3"/>
  <c r="BG89" i="3"/>
  <c r="BG88" i="3"/>
  <c r="BG87" i="3"/>
  <c r="BG92" i="3" l="1"/>
  <c r="I80" i="3"/>
  <c r="R80" i="3" s="1"/>
  <c r="I79" i="3"/>
  <c r="R79" i="3" l="1"/>
  <c r="BE59" i="3" l="1"/>
  <c r="I59" i="3"/>
  <c r="R58" i="3" l="1"/>
  <c r="S57" i="3" l="1"/>
  <c r="R57" i="3"/>
  <c r="N57" i="3"/>
  <c r="K57" i="3"/>
  <c r="I55" i="3"/>
  <c r="I54" i="3"/>
  <c r="I53" i="3"/>
  <c r="BE52" i="3"/>
  <c r="BE50" i="3"/>
  <c r="I50" i="3"/>
  <c r="R49" i="3"/>
  <c r="R48" i="3"/>
  <c r="BE46" i="3"/>
  <c r="I46" i="3"/>
  <c r="R45" i="3"/>
  <c r="S44" i="3"/>
  <c r="R44" i="3"/>
  <c r="N44" i="3"/>
  <c r="T57" i="3" l="1"/>
  <c r="T44" i="3"/>
  <c r="R46" i="3"/>
  <c r="R50" i="3"/>
  <c r="K44" i="3"/>
  <c r="BE42" i="3"/>
  <c r="I42" i="3"/>
  <c r="R41" i="3"/>
  <c r="R40" i="3"/>
  <c r="R42" i="3" l="1"/>
  <c r="BE38" i="3"/>
  <c r="I38" i="3"/>
  <c r="R37" i="3"/>
  <c r="S36" i="3"/>
  <c r="R36" i="3"/>
  <c r="R52" i="3" s="1"/>
  <c r="N36" i="3"/>
  <c r="K36" i="3"/>
  <c r="I34" i="3"/>
  <c r="N32" i="3"/>
  <c r="K32" i="3"/>
  <c r="BE30" i="3" s="1"/>
  <c r="BE29" i="3"/>
  <c r="BE28" i="3"/>
  <c r="BE26" i="3"/>
  <c r="I26" i="3"/>
  <c r="R25" i="3"/>
  <c r="S24" i="3"/>
  <c r="R24" i="3"/>
  <c r="N24" i="3"/>
  <c r="K24" i="3"/>
  <c r="BE22" i="3"/>
  <c r="I22" i="3"/>
  <c r="R21" i="3"/>
  <c r="S20" i="3"/>
  <c r="R20" i="3"/>
  <c r="N20" i="3"/>
  <c r="K20" i="3"/>
  <c r="I18" i="3"/>
  <c r="R17" i="3"/>
  <c r="R16" i="3"/>
  <c r="BE14" i="3" s="1"/>
  <c r="I14" i="3"/>
  <c r="R13" i="3"/>
  <c r="S12" i="3"/>
  <c r="R12" i="3"/>
  <c r="N12" i="3"/>
  <c r="K12" i="3"/>
  <c r="R30" i="3" l="1"/>
  <c r="T36" i="3"/>
  <c r="R38" i="3"/>
  <c r="T24" i="3"/>
  <c r="T20" i="3"/>
  <c r="R55" i="3"/>
  <c r="R54" i="3"/>
  <c r="R29" i="3"/>
  <c r="T12" i="3"/>
  <c r="R14" i="3"/>
  <c r="R28" i="3"/>
  <c r="T32" i="3"/>
  <c r="R34" i="3"/>
  <c r="R53" i="3"/>
  <c r="I6" i="3" l="1"/>
  <c r="S5" i="3"/>
  <c r="R5" i="3"/>
  <c r="BB4" i="3"/>
  <c r="AQ4" i="3"/>
  <c r="AP4" i="3"/>
  <c r="S4" i="3"/>
  <c r="S3" i="5" s="1"/>
  <c r="R4" i="3"/>
  <c r="S89" i="3" s="1"/>
  <c r="N4" i="3"/>
  <c r="K4" i="3"/>
  <c r="R85" i="3" l="1"/>
  <c r="R90" i="3" s="1"/>
  <c r="R6" i="3"/>
  <c r="R3" i="5"/>
  <c r="BF5" i="3"/>
  <c r="T4" i="3"/>
  <c r="I61" i="5"/>
  <c r="I63" i="5" s="1"/>
  <c r="L18" i="6"/>
  <c r="I20" i="6"/>
  <c r="I15" i="6" s="1"/>
  <c r="M96" i="6"/>
  <c r="N96" i="6" s="1"/>
  <c r="O96" i="6" s="1"/>
  <c r="M97" i="6"/>
  <c r="N97" i="6" s="1"/>
  <c r="O97" i="6" s="1"/>
  <c r="O101" i="6"/>
  <c r="O102" i="6" s="1"/>
  <c r="I38" i="6"/>
  <c r="I40" i="6" s="1"/>
  <c r="T90" i="3" l="1"/>
  <c r="R100" i="3"/>
  <c r="R102" i="3" s="1"/>
  <c r="L20" i="6"/>
  <c r="R18" i="6"/>
  <c r="O98" i="6"/>
  <c r="L15" i="6" l="1"/>
  <c r="R15" i="6" s="1"/>
  <c r="R20" i="6"/>
  <c r="I85" i="3"/>
  <c r="I90" i="3" s="1"/>
  <c r="N100" i="3" l="1"/>
  <c r="N90" i="3"/>
  <c r="I133" i="3"/>
  <c r="I100" i="3"/>
  <c r="K90" i="3"/>
  <c r="R133" i="3" l="1"/>
  <c r="I102" i="3"/>
  <c r="I14" i="6"/>
  <c r="I39" i="5"/>
  <c r="L14" i="6"/>
  <c r="L39" i="5"/>
  <c r="BE76" i="3"/>
  <c r="R14" i="6" l="1"/>
  <c r="R16" i="6" s="1"/>
  <c r="I40" i="5"/>
  <c r="BE39" i="5"/>
  <c r="BE14" i="6"/>
  <c r="I16" i="6"/>
  <c r="L40" i="5"/>
  <c r="R40" i="5" s="1"/>
  <c r="U40" i="5" s="1"/>
  <c r="R39" i="5"/>
  <c r="L16" i="6"/>
  <c r="BE77" i="3"/>
  <c r="X26" i="4"/>
  <c r="AD4" i="3" l="1"/>
  <c r="X54" i="4"/>
  <c r="X59" i="4" s="1"/>
  <c r="X27" i="4"/>
  <c r="X28" i="4"/>
  <c r="X77" i="4"/>
  <c r="X25" i="4"/>
  <c r="BE32" i="3" l="1"/>
  <c r="BE54" i="3" s="1"/>
  <c r="AD32" i="3"/>
  <c r="AD3" i="5"/>
  <c r="AD10" i="3"/>
  <c r="AD8" i="3"/>
  <c r="AD3" i="6"/>
  <c r="AD85" i="3"/>
  <c r="AD90" i="3" s="1"/>
  <c r="AD100" i="3" s="1"/>
  <c r="AD102" i="3" s="1"/>
  <c r="AD9" i="3"/>
  <c r="AF4" i="3"/>
  <c r="AD6" i="3"/>
  <c r="AD3" i="4"/>
  <c r="Z4" i="3"/>
  <c r="Z89" i="3"/>
  <c r="X3" i="6"/>
  <c r="X3" i="5"/>
  <c r="X3" i="4"/>
  <c r="BE7" i="4"/>
  <c r="BG5" i="4"/>
  <c r="X68" i="4"/>
  <c r="X70" i="4" s="1"/>
  <c r="BE54" i="4"/>
  <c r="BE59" i="4" s="1"/>
  <c r="BE4" i="3"/>
  <c r="BE53" i="3" l="1"/>
  <c r="AD34" i="3"/>
  <c r="AD53" i="3"/>
  <c r="AD55" i="3"/>
  <c r="AD52" i="3"/>
  <c r="AD54" i="3"/>
  <c r="BE68" i="4"/>
  <c r="BE70" i="4" s="1"/>
  <c r="BH4" i="3"/>
  <c r="BE3" i="5"/>
  <c r="BE85" i="3"/>
  <c r="BE90" i="3" s="1"/>
  <c r="BE3" i="4"/>
  <c r="BE55" i="3"/>
  <c r="BE34" i="3"/>
  <c r="BG32" i="3"/>
  <c r="BE3" i="6"/>
  <c r="BG4" i="3"/>
  <c r="R3" i="6"/>
  <c r="BE6" i="3"/>
  <c r="BE100" i="3" l="1"/>
  <c r="BG90" i="3"/>
  <c r="BG100" i="3" l="1"/>
  <c r="BE102" i="3"/>
</calcChain>
</file>

<file path=xl/comments1.xml><?xml version="1.0" encoding="utf-8"?>
<comments xmlns="http://schemas.openxmlformats.org/spreadsheetml/2006/main">
  <authors>
    <author>Windows User</author>
    <author>Krishna Murthy BG.</author>
    <author>Ashok Kumar K M</author>
    <author>Ganesh Mavathur</author>
  </authors>
  <commentList>
    <comment ref="A61" authorId="0" guid="{E3D97CE5-B87E-4FDA-A76A-D90E5F80B20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Systems to be implemented</t>
        </r>
      </text>
    </comment>
    <comment ref="I92" authorId="1" guid="{52C46AA5-B13E-420F-B391-E801FD413496}">
      <text>
        <r>
          <rPr>
            <sz val="9"/>
            <color indexed="81"/>
            <rFont val="Tahoma"/>
            <family val="2"/>
          </rPr>
          <t>Due to Labour charges of Rs 9,09,911</t>
        </r>
      </text>
    </comment>
    <comment ref="L92" authorId="1" guid="{0C19A4A9-394C-4245-9488-CBD6BC604E2A}">
      <text>
        <r>
          <rPr>
            <sz val="9"/>
            <color indexed="81"/>
            <rFont val="Tahoma"/>
            <family val="2"/>
          </rPr>
          <t xml:space="preserve">Due to Labour charges of Rs 9,09,911
</t>
        </r>
      </text>
    </comment>
    <comment ref="O92" authorId="1" guid="{46A94A10-98BB-4996-92D7-85C4EEC1CDD1}">
      <text>
        <r>
          <rPr>
            <sz val="9"/>
            <color indexed="81"/>
            <rFont val="Tahoma"/>
            <family val="2"/>
          </rPr>
          <t xml:space="preserve">Due to Labour charges of Rs 9,09,911
</t>
        </r>
      </text>
    </comment>
    <comment ref="U92" authorId="1" guid="{C490DE5B-1A14-4F4B-A1EE-C48EB18A1AEA}">
      <text>
        <r>
          <rPr>
            <sz val="9"/>
            <color indexed="81"/>
            <rFont val="Tahoma"/>
            <family val="2"/>
          </rPr>
          <t xml:space="preserve">Due to Labour charges of Rs 9,09,911
</t>
        </r>
      </text>
    </comment>
    <comment ref="X92" authorId="1" guid="{8E1EA9F0-84DE-4E8D-8216-01D78F40163C}">
      <text>
        <r>
          <rPr>
            <sz val="9"/>
            <color indexed="81"/>
            <rFont val="Tahoma"/>
            <family val="2"/>
          </rPr>
          <t xml:space="preserve">Due to Labour charges of Rs 9,09,911
</t>
        </r>
      </text>
    </comment>
    <comment ref="AA92" authorId="1" guid="{36DDEBAF-8DEA-432E-804B-7AD8D8640947}">
      <text>
        <r>
          <rPr>
            <sz val="9"/>
            <color indexed="81"/>
            <rFont val="Tahoma"/>
            <family val="2"/>
          </rPr>
          <t xml:space="preserve">Due to Labour charges of Rs 9,09,911
</t>
        </r>
      </text>
    </comment>
    <comment ref="AG92" authorId="1" guid="{6418B164-ACDC-40A3-9592-C6F1A2B98B2E}">
      <text>
        <r>
          <rPr>
            <sz val="9"/>
            <color indexed="81"/>
            <rFont val="Tahoma"/>
            <family val="2"/>
          </rPr>
          <t xml:space="preserve">Due to Labour charges of Rs 9,09,911
</t>
        </r>
      </text>
    </comment>
    <comment ref="C97" authorId="1" guid="{9EAB221E-CE5E-42B7-A96A-34531D96E024}">
      <text>
        <r>
          <rPr>
            <sz val="9"/>
            <color indexed="81"/>
            <rFont val="Tahoma"/>
            <family val="2"/>
          </rPr>
          <t>Provisional electricity charges for Malleshwaram shop</t>
        </r>
      </text>
    </comment>
    <comment ref="C98" authorId="1" guid="{FF0BB062-B266-4D73-A165-E7016979EABE}">
      <text>
        <r>
          <rPr>
            <sz val="9"/>
            <color indexed="81"/>
            <rFont val="Tahoma"/>
            <family val="2"/>
          </rPr>
          <t xml:space="preserve">Donation of material from IF 21,08,088+ other Income20173
</t>
        </r>
      </text>
    </comment>
    <comment ref="C100" authorId="1" guid="{92F60B68-E4E8-44E8-84C3-49A70053B14A}">
      <text>
        <r>
          <rPr>
            <sz val="9"/>
            <color indexed="81"/>
            <rFont val="Tahoma"/>
            <family val="2"/>
          </rPr>
          <t xml:space="preserve">arrived as per Orgn structure hance KM income is not considered </t>
        </r>
      </text>
    </comment>
    <comment ref="C104" authorId="1" guid="{371AC33D-EC9B-4ED4-9E1F-159DACA08841}">
      <text>
        <r>
          <rPr>
            <sz val="9"/>
            <color indexed="81"/>
            <rFont val="Tahoma"/>
            <family val="2"/>
          </rPr>
          <t xml:space="preserve">om is arrived by respective units contribution/total sales of all units. Level 1 om will be different from level 2 aggregate om since at level 1 corporate expenses are added 
</t>
        </r>
      </text>
    </comment>
    <comment ref="C113" authorId="1" guid="{371F00E9-E741-4AA5-A878-6CB57714DA44}">
      <text>
        <r>
          <rPr>
            <sz val="9"/>
            <color indexed="81"/>
            <rFont val="Tahoma"/>
            <family val="2"/>
          </rPr>
          <t xml:space="preserve">respective unit profit/ respective unit sales
</t>
        </r>
      </text>
    </comment>
    <comment ref="I151" authorId="2" guid="{3229D663-0027-47CC-8DE9-432E2A207BFB}">
      <text>
        <r>
          <rPr>
            <b/>
            <sz val="8"/>
            <color indexed="81"/>
            <rFont val="Tahoma"/>
            <family val="2"/>
          </rPr>
          <t>Ashok Kumar K M:</t>
        </r>
        <r>
          <rPr>
            <sz val="8"/>
            <color indexed="81"/>
            <rFont val="Tahoma"/>
            <family val="2"/>
          </rPr>
          <t xml:space="preserve">
EmpCode    EmpName                        Dpt.Name                       Designation        OT Hrs    OT Amt.
TSF-0202    BALASUBRAMANYAM R  Fleet Management          Auto Driver        115.25    11147
TSF-0283    NAVEEN                          Material Management     Helper                 93.5       4736
TSF-0179    JATHAPPA K.M.              Fleet Management         Auto Driver         80.5       7995
TSF-0178    BEEREGOWDA                FGA                                Supervisor           64          6837
TSF-0226    RAJESH R                       Fleet Management         Car Driver            55          5527</t>
        </r>
      </text>
    </comment>
    <comment ref="L151" authorId="2" guid="{ED4B3E4B-A375-4E49-AFF1-7FF2D672C111}">
      <text>
        <r>
          <rPr>
            <b/>
            <sz val="8"/>
            <color indexed="81"/>
            <rFont val="Tahoma"/>
            <family val="2"/>
          </rPr>
          <t>Ashok Kumar K M:</t>
        </r>
        <r>
          <rPr>
            <sz val="8"/>
            <color indexed="81"/>
            <rFont val="Tahoma"/>
            <family val="2"/>
          </rPr>
          <t xml:space="preserve">
EmpCode    EmpName                        Dpt.Name                       Designation        OT Hrs    OT Amt.
TSF-0202    BALASUBRAMANYAM R  Fleet Management          Auto Driver        115.25    11147
TSF-0283    NAVEEN                          Material Management     Helper                 93.5       4736
TSF-0179    JATHAPPA K.M.              Fleet Management         Auto Driver         80.5       7995
TSF-0178    BEEREGOWDA                FGA                                Supervisor           64          6837
TSF-0226    RAJESH R                       Fleet Management         Car Driver            55          5527
</t>
        </r>
      </text>
    </comment>
    <comment ref="O151" authorId="2" guid="{06573F10-5691-4FA8-A002-70DDF771FBC8}">
      <text>
        <r>
          <rPr>
            <b/>
            <sz val="8"/>
            <color indexed="81"/>
            <rFont val="Tahoma"/>
            <family val="2"/>
          </rPr>
          <t>Ashok Kumar K M:</t>
        </r>
        <r>
          <rPr>
            <sz val="8"/>
            <color indexed="81"/>
            <rFont val="Tahoma"/>
            <family val="2"/>
          </rPr>
          <t xml:space="preserve">
EmpCode    EmpName                        Dpt.Name                       Designation        OT Hrs    OT Amt.
TSF-0202    BALASUBRAMANYAM R  Fleet Management          Auto Driver        115.25    11147
TSF-0283    NAVEEN                          Material Management     Helper                 93.5       4736
TSF-0179    JATHAPPA K.M.              Fleet Management         Auto Driver         80.5       7995
TSF-0178    BEEREGOWDA                FGA                                Supervisor           64          6837
TSF-0226    RAJESH R                       Fleet Management         Car Driver            55          5527
</t>
        </r>
      </text>
    </comment>
    <comment ref="R151" authorId="3" guid="{C1DC5245-789F-4FED-B5B1-F8E2B6E24010}">
      <text>
        <r>
          <rPr>
            <b/>
            <sz val="9"/>
            <color indexed="81"/>
            <rFont val="Tahoma"/>
            <family val="2"/>
          </rPr>
          <t xml:space="preserve">Employee Name             OT Amout
Jatappa K M                    10180
Balasubramanyam R           9575
Beera Gowda                     6410
Prabhakar J                       5404
Rajesh R                            4622
</t>
        </r>
      </text>
    </comment>
    <comment ref="U151" authorId="2" guid="{2CDF3513-EE8C-4CED-A748-9AEEED932462}">
      <text>
        <r>
          <rPr>
            <b/>
            <sz val="8"/>
            <color indexed="81"/>
            <rFont val="Tahoma"/>
            <family val="2"/>
          </rPr>
          <t>Ashok Kumar K M:</t>
        </r>
        <r>
          <rPr>
            <sz val="8"/>
            <color indexed="81"/>
            <rFont val="Tahoma"/>
            <family val="2"/>
          </rPr>
          <t xml:space="preserve">
EmpCode    EmpName                        Dpt.Name                       Designation        OT Hrs    OT Amt.
TSF-0202    BALASUBRAMANYAM R  Fleet Management          Auto Driver        115.25    11147
TSF-0283    NAVEEN                          Material Management     Helper                 93.5       4736
TSF-0179    JATHAPPA K.M.              Fleet Management         Auto Driver         80.5       7995
TSF-0178    BEEREGOWDA                FGA                                Supervisor           64          6837
TSF-0226    RAJESH R                       Fleet Management         Car Driver            55          5527
</t>
        </r>
      </text>
    </comment>
    <comment ref="X151" authorId="2" guid="{4FBD5253-77CB-400A-9713-732B4E9C67FC}">
      <text>
        <r>
          <rPr>
            <b/>
            <sz val="8"/>
            <color indexed="81"/>
            <rFont val="Tahoma"/>
            <family val="2"/>
          </rPr>
          <t>Ashok Kumar K M:</t>
        </r>
        <r>
          <rPr>
            <sz val="8"/>
            <color indexed="81"/>
            <rFont val="Tahoma"/>
            <family val="2"/>
          </rPr>
          <t xml:space="preserve">
EmpCode    EmpName                        Dpt.Name                       Designation        OT Hrs    OT Amt.
TSF-0202    BALASUBRAMANYAM R  Fleet Management          Auto Driver        115.25    11147
TSF-0283    NAVEEN                          Material Management     Helper                 93.5       4736
TSF-0179    JATHAPPA K.M.              Fleet Management         Auto Driver         80.5       7995
TSF-0178    BEEREGOWDA                FGA                                Supervisor           64          6837
TSF-0226    RAJESH R                       Fleet Management         Car Driver            55          5527
</t>
        </r>
      </text>
    </comment>
    <comment ref="AA151" authorId="2" guid="{35C2E897-56A7-4997-9A0A-1E7732CBA06B}">
      <text>
        <r>
          <rPr>
            <b/>
            <sz val="8"/>
            <color indexed="81"/>
            <rFont val="Tahoma"/>
            <family val="2"/>
          </rPr>
          <t>Ashok Kumar K M:</t>
        </r>
        <r>
          <rPr>
            <sz val="8"/>
            <color indexed="81"/>
            <rFont val="Tahoma"/>
            <family val="2"/>
          </rPr>
          <t xml:space="preserve">
EmpCode    EmpName                        Dpt.Name                       Designation        OT Hrs    OT Amt.
TSF-0202    BALASUBRAMANYAM R  Fleet Management          Auto Driver        115.25    11147
TSF-0283    NAVEEN                          Material Management     Helper                 93.5       4736
TSF-0179    JATHAPPA K.M.              Fleet Management         Auto Driver         80.5       7995
TSF-0178    BEEREGOWDA                FGA                                Supervisor           64          6837
TSF-0226    RAJESH R                       Fleet Management         Car Driver            55          5527
</t>
        </r>
      </text>
    </comment>
    <comment ref="AG151" authorId="2" guid="{CAE3DFE0-7187-4FDD-AD66-ABD514F4EAFD}">
      <text>
        <r>
          <rPr>
            <b/>
            <sz val="8"/>
            <color indexed="81"/>
            <rFont val="Tahoma"/>
            <family val="2"/>
          </rPr>
          <t>Ashok Kumar K M:</t>
        </r>
        <r>
          <rPr>
            <sz val="8"/>
            <color indexed="81"/>
            <rFont val="Tahoma"/>
            <family val="2"/>
          </rPr>
          <t xml:space="preserve">
EmpCode    EmpName                        Dpt.Name                       Designation        OT Hrs    OT Amt.
TSF-0202    BALASUBRAMANYAM R  Fleet Management          Auto Driver        115.25    11147
TSF-0283    NAVEEN                          Material Management     Helper                 93.5       4736
TSF-0179    JATHAPPA K.M.              Fleet Management         Auto Driver         80.5       7995
TSF-0178    BEEREGOWDA                FGA                                Supervisor           64          6837
TSF-0226    RAJESH R                       Fleet Management         Car Driver            55          5527
</t>
        </r>
      </text>
    </comment>
    <comment ref="C176" authorId="0" guid="{5708611E-2E55-4F04-84EA-AAD9C424149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Predefined threshold of maximum number of days a SKU can remain unsold and what the appropriate promotional scheme should be.</t>
        </r>
      </text>
    </comment>
    <comment ref="A181" authorId="1" guid="{8767892E-A4EA-469D-89CE-9BC038DD4795}">
      <text>
        <r>
          <rPr>
            <sz val="9"/>
            <color indexed="81"/>
            <rFont val="Tahoma"/>
            <family val="2"/>
          </rPr>
          <t xml:space="preserve">April month audit report has not come yet
</t>
        </r>
      </text>
    </comment>
  </commentList>
</comments>
</file>

<file path=xl/comments2.xml><?xml version="1.0" encoding="utf-8"?>
<comments xmlns="http://schemas.openxmlformats.org/spreadsheetml/2006/main">
  <authors>
    <author>Sanjeevi Sreekanth</author>
    <author>Krishna Murthy BG.</author>
    <author>Ganesh Mavathur</author>
    <author>Windows User</author>
  </authors>
  <commentList>
    <comment ref="V9" authorId="0" guid="{EE20F88D-DCDB-4421-87C5-5A879BF79E73}">
      <text>
        <r>
          <rPr>
            <b/>
            <sz val="9"/>
            <color indexed="81"/>
            <rFont val="Tahoma"/>
            <family val="2"/>
          </rPr>
          <t xml:space="preserve">tsf &amp; ic
</t>
        </r>
      </text>
    </comment>
    <comment ref="AA9" authorId="0" guid="{275C589A-16A5-46E1-8D62-439F2622B6CF}">
      <text>
        <r>
          <rPr>
            <b/>
            <sz val="9"/>
            <color indexed="81"/>
            <rFont val="Tahoma"/>
            <family val="2"/>
          </rPr>
          <t xml:space="preserve">bsc catering Rs.260500
</t>
        </r>
      </text>
    </comment>
    <comment ref="AA22" authorId="0" guid="{9117C0FF-F633-4F00-8994-BDB540F5FBDE}">
      <text>
        <r>
          <rPr>
            <b/>
            <sz val="9"/>
            <color indexed="81"/>
            <rFont val="Tahoma"/>
            <family val="2"/>
          </rPr>
          <t>target was not fixed as per the file.</t>
        </r>
      </text>
    </comment>
    <comment ref="C70" authorId="1" guid="{A0C95847-2C59-4F28-8ABE-4C210A5A232F}">
      <text>
        <r>
          <rPr>
            <sz val="9"/>
            <color indexed="81"/>
            <rFont val="Tahoma"/>
            <family val="2"/>
          </rPr>
          <t xml:space="preserve">3% difference between level 2 and 3 is due to level 2 expenses seperately considered at level 2
</t>
        </r>
      </text>
    </comment>
    <comment ref="C72" authorId="1" guid="{B70EF172-E5D9-4D9E-B188-5336336E0D82}">
      <text>
        <r>
          <rPr>
            <sz val="9"/>
            <color indexed="81"/>
            <rFont val="Tahoma"/>
            <family val="2"/>
          </rPr>
          <t xml:space="preserve">respective units contribution/total revenue 
</t>
        </r>
      </text>
    </comment>
    <comment ref="X99" authorId="2" guid="{CCB2E4F6-E823-4273-83EE-762E790900EF}">
      <text>
        <r>
          <rPr>
            <b/>
            <sz val="9"/>
            <color indexed="81"/>
            <rFont val="Tahoma"/>
            <family val="2"/>
          </rPr>
          <t xml:space="preserve">Employee Name                 OT Amount
Anand Kumar G                   784
Sudam Das                          455
Ravindra Kotari                   393
Guru Murthy                       379
Anupam Maity                    373
</t>
        </r>
      </text>
    </comment>
    <comment ref="U100" authorId="2" guid="{F07B9FA4-FCCC-4BC9-AFC8-79221C318008}">
      <text>
        <r>
          <rPr>
            <b/>
            <sz val="9"/>
            <color indexed="81"/>
            <rFont val="Tahoma"/>
            <family val="2"/>
          </rPr>
          <t xml:space="preserve">Emp Name                       OT Amt
Prabhakar    J                      6506
BeereGowda                        3929
Rohit Kumar DB                   3847
Ravi Kumar                          3560
KaliDas                                 3366
</t>
        </r>
      </text>
    </comment>
    <comment ref="C121" authorId="3" guid="{2E1B5F86-46F5-4A90-9B82-DE72452F3B4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Predefined threshold of maximum number of days a SKU can remain unsold and what the appropriate promotional scheme should be.</t>
        </r>
      </text>
    </comment>
  </commentList>
</comments>
</file>

<file path=xl/comments3.xml><?xml version="1.0" encoding="utf-8"?>
<comments xmlns="http://schemas.openxmlformats.org/spreadsheetml/2006/main">
  <authors>
    <author>Krishna Murthy BG.</author>
    <author>Sanjeevi Sreekanth</author>
    <author>Ganesh Mavathur</author>
    <author>Windows User</author>
  </authors>
  <commentList>
    <comment ref="B17" authorId="0" guid="{4C438530-6403-4910-B5FA-437747D0F68F}">
      <text>
        <r>
          <rPr>
            <sz val="9"/>
            <color indexed="81"/>
            <rFont val="Tahoma"/>
            <family val="2"/>
          </rPr>
          <t xml:space="preserve">includes HTPP/HTFS/ISS/Press club
</t>
        </r>
      </text>
    </comment>
    <comment ref="X17" authorId="1" guid="{90206750-DD83-428D-8DF9-05D7E0BBA142}">
      <text>
        <r>
          <rPr>
            <b/>
            <sz val="9"/>
            <color indexed="81"/>
            <rFont val="Tahoma"/>
            <family val="2"/>
          </rPr>
          <t xml:space="preserve">Added: Packing &amp; forwarding Rs.12487 in catering and Rs.4000/- in Non- Catering
</t>
        </r>
      </text>
    </comment>
    <comment ref="I53" authorId="0" guid="{7DF052F6-B842-4296-8DA3-3471544311FA}">
      <text>
        <r>
          <rPr>
            <sz val="9"/>
            <color indexed="81"/>
            <rFont val="Tahoma"/>
            <family val="2"/>
          </rPr>
          <t>Due to Labour charges of Rs 6,47,516 for election catering</t>
        </r>
      </text>
    </comment>
    <comment ref="U97" authorId="2" guid="{C7BCCC87-AB8D-4C54-9377-BD3C89161AC8}">
      <text>
        <r>
          <rPr>
            <sz val="9"/>
            <color indexed="81"/>
            <rFont val="Tahoma"/>
            <family val="2"/>
          </rPr>
          <t xml:space="preserve">Employee Name                  OT Amount
Thippesanna   S K                 1058
Eshwar Acharaya                   1055
Kongress kumar                      993
Krishna Gopala Sen                  992
Sharanappa Adappa                 953
</t>
        </r>
      </text>
    </comment>
    <comment ref="X97" authorId="2" guid="{64FD052A-2F0E-4E5B-B527-3BB88C040AAE}">
      <text>
        <r>
          <rPr>
            <b/>
            <sz val="9"/>
            <color indexed="81"/>
            <rFont val="Tahoma"/>
            <family val="2"/>
          </rPr>
          <t xml:space="preserve">Employee Name                       OT Amount
Prabhakar J                                   5377
Raghu                                           4999
Kalidas                                           4208
Rohit Kumar DV                             3957
Srinath N                                       3083
</t>
        </r>
      </text>
    </comment>
    <comment ref="AA97" authorId="2" guid="{EC3A85A3-1346-44DD-BB15-962584BA3D51}">
      <text>
        <r>
          <rPr>
            <sz val="9"/>
            <color indexed="81"/>
            <rFont val="Tahoma"/>
            <family val="2"/>
          </rPr>
          <t xml:space="preserve">Employee Name                                     Amount
Prabhakar J                                            3016
Gouranga Sundara Bera                           2119
Kannan G V                                           1481
Shivakumar L V                                      1290
Bhujanga Shetty                                      986
</t>
        </r>
      </text>
    </comment>
    <comment ref="AG97" authorId="2" guid="{C6F6C14F-9AC3-4556-B15C-F2F132EF9617}">
      <text>
        <r>
          <rPr>
            <sz val="9"/>
            <color indexed="81"/>
            <rFont val="Tahoma"/>
            <family val="2"/>
          </rPr>
          <t xml:space="preserve">Emp Name                 Amount
Rajesh R                     6029
Prabhakar J                 4135
Jatappa K M                3941
Balasubramanyam  R     3276
Suresh  C                    2268
</t>
        </r>
      </text>
    </comment>
    <comment ref="C114" authorId="3" guid="{F62B7DD6-411C-48D7-ACFB-4DE3828DF61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Predefined threshold of maximum number of days a SKU can remain unsold and what the appropriate promotional scheme should be.</t>
        </r>
      </text>
    </comment>
  </commentList>
</comments>
</file>

<file path=xl/comments4.xml><?xml version="1.0" encoding="utf-8"?>
<comments xmlns="http://schemas.openxmlformats.org/spreadsheetml/2006/main">
  <authors>
    <author>Ganesh Mavathur</author>
    <author>Windows User</author>
  </authors>
  <commentList>
    <comment ref="X67" authorId="0" guid="{B17CEA50-645E-4F6D-B549-07415C641DF9}">
      <text>
        <r>
          <rPr>
            <b/>
            <sz val="9"/>
            <color indexed="81"/>
            <rFont val="Tahoma"/>
            <family val="2"/>
          </rPr>
          <t xml:space="preserve">Employee Name                    OT Amout
Mariswamy  S                        2862
Mangalamma                           784
Shivaraj R                               392
</t>
        </r>
      </text>
    </comment>
    <comment ref="C84" authorId="1" guid="{63B3DF27-2056-4D09-8354-BD054F1EF27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Predefined threshold of maximum number of days a SKU can remain unsold and what the appropriate promotional scheme should be.</t>
        </r>
      </text>
    </comment>
    <comment ref="R86" authorId="1" guid="{9F9FA19A-A57C-447C-9848-B6A1489A94A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June Data not available</t>
        </r>
      </text>
    </comment>
  </commentList>
</comments>
</file>

<file path=xl/comments5.xml><?xml version="1.0" encoding="utf-8"?>
<comments xmlns="http://schemas.openxmlformats.org/spreadsheetml/2006/main">
  <authors>
    <author>Ashok Kumar K M</author>
  </authors>
  <commentList>
    <comment ref="F5" authorId="0" guid="{3A3959FF-45A5-4D02-A698-468DEDC3434F}">
      <text>
        <r>
          <rPr>
            <b/>
            <sz val="8"/>
            <color indexed="81"/>
            <rFont val="Tahoma"/>
            <family val="2"/>
          </rPr>
          <t>Ashok Kumar K M:</t>
        </r>
        <r>
          <rPr>
            <sz val="8"/>
            <color indexed="81"/>
            <rFont val="Tahoma"/>
            <family val="2"/>
          </rPr>
          <t xml:space="preserve">
Retention Bonus</t>
        </r>
      </text>
    </comment>
  </commentList>
</comments>
</file>

<file path=xl/sharedStrings.xml><?xml version="1.0" encoding="utf-8"?>
<sst xmlns="http://schemas.openxmlformats.org/spreadsheetml/2006/main" count="2905" uniqueCount="740">
  <si>
    <t xml:space="preserve">AUTHORISED BY: </t>
  </si>
  <si>
    <t>Strategic Objective</t>
  </si>
  <si>
    <t>Measures</t>
  </si>
  <si>
    <t>PREPARED BY: Autumn Leaf</t>
  </si>
  <si>
    <t>MAINTAINED BY:</t>
  </si>
  <si>
    <t>VERSION DATED : 12th NOVEMBER, 2013</t>
  </si>
  <si>
    <t>LEARNING &amp; DEVELOPMENT</t>
  </si>
  <si>
    <t>April</t>
  </si>
  <si>
    <t>May</t>
  </si>
  <si>
    <t>FINANCIAL- Revenue</t>
  </si>
  <si>
    <t>FINANCIAL- Profitability</t>
  </si>
  <si>
    <t>CUSTOMER-DONOR &amp; VISITOR</t>
  </si>
  <si>
    <t>Employee Retention</t>
  </si>
  <si>
    <t xml:space="preserve">Net Donation for Charitable Activities </t>
  </si>
  <si>
    <t>No of Mandays of training YTD</t>
  </si>
  <si>
    <t>No of training program orgainzed</t>
  </si>
  <si>
    <t>Total people Joined YTD</t>
  </si>
  <si>
    <t>Total left YTD</t>
  </si>
  <si>
    <t>Net YTD Amount given for temple activities/ total revenue YTD (%)</t>
  </si>
  <si>
    <t>Attrition Rate
(Employees Left)/
(Average of opening employee count and closing employee count)</t>
  </si>
  <si>
    <t>INTERNAL BUSINESS PROCESS</t>
  </si>
  <si>
    <t>June</t>
  </si>
  <si>
    <t>July</t>
  </si>
  <si>
    <t>August</t>
  </si>
  <si>
    <t>September</t>
  </si>
  <si>
    <t>October</t>
  </si>
  <si>
    <t>Total Number of Visitors for the month</t>
  </si>
  <si>
    <t>Revenue by sqft</t>
  </si>
  <si>
    <t>Total Manpower Cost</t>
  </si>
  <si>
    <t>Manpower Cost Split</t>
  </si>
  <si>
    <t>No of Permanent Employee ESI</t>
  </si>
  <si>
    <t>No of Permanent Employee Non-ESI</t>
  </si>
  <si>
    <t>No of Fixed Term Contract</t>
  </si>
  <si>
    <t>Contract Labourers</t>
  </si>
  <si>
    <t>Number of Employees</t>
  </si>
  <si>
    <t>Total CTC of Permanent Employee ESI</t>
  </si>
  <si>
    <t>Total CTC of Non Permanent Employee ESI</t>
  </si>
  <si>
    <t>Total CTC of Fixed Term Contract</t>
  </si>
  <si>
    <t>Total Payout to Contract Labourers</t>
  </si>
  <si>
    <t>Overtime Hours</t>
  </si>
  <si>
    <t>Total Overtime hrs for the month</t>
  </si>
  <si>
    <t>Total Overtime payout for the month</t>
  </si>
  <si>
    <t>Overall Manpower Cost 
&amp;
Employee Productivity</t>
  </si>
  <si>
    <t xml:space="preserve">Number of complaints received from External Customers </t>
  </si>
  <si>
    <t xml:space="preserve">Number of complaints received from Temple </t>
  </si>
  <si>
    <t>Inventory</t>
  </si>
  <si>
    <t>Projected Funnel for the next three months( Value)</t>
  </si>
  <si>
    <t>Projected Funnel for the next three months( no &amp; name of clients)</t>
  </si>
  <si>
    <t>Senior &amp; Middle Management Training Manhours</t>
  </si>
  <si>
    <t>Other Employee Training Manhours</t>
  </si>
  <si>
    <t>VERSION DATED : 30th MAY, 2014</t>
  </si>
  <si>
    <t>Temple Stores Revenue per visitor</t>
  </si>
  <si>
    <t>Annakutta Revenue per visitor</t>
  </si>
  <si>
    <t>Net Donation from TSF(Prasadam)</t>
  </si>
  <si>
    <t xml:space="preserve">Food Cost as a % of Plantwise Revenue
(COGs + Fuel Cost+ Consumables)- Seperate
</t>
  </si>
  <si>
    <t>Total Manpower Cost against Revenue (%)</t>
  </si>
  <si>
    <t>Names of Top 5 Employees with highest overtime with OT amount</t>
  </si>
  <si>
    <t>Quality of Service Offering and Visitor/External Customer Satisfaction on Same at level 3</t>
  </si>
  <si>
    <t>LEVEL 1</t>
  </si>
  <si>
    <t>LEVEL 2</t>
  </si>
  <si>
    <t>LEVEL 3</t>
  </si>
  <si>
    <r>
      <t xml:space="preserve">Overall Revenue
</t>
    </r>
    <r>
      <rPr>
        <sz val="9"/>
        <color theme="1"/>
        <rFont val="Calibri"/>
        <family val="2"/>
        <scheme val="minor"/>
      </rPr>
      <t>TSF Prasadam</t>
    </r>
  </si>
  <si>
    <t>Split %
@ Level 2</t>
  </si>
  <si>
    <r>
      <t xml:space="preserve">Overall Revenue &amp; </t>
    </r>
    <r>
      <rPr>
        <b/>
        <u/>
        <sz val="9"/>
        <color theme="1"/>
        <rFont val="Calibri"/>
        <family val="2"/>
        <scheme val="minor"/>
      </rPr>
      <t>Split across Level 2</t>
    </r>
  </si>
  <si>
    <t>Revenue Annakuta Restaurant</t>
  </si>
  <si>
    <t>Revenue from Amazon</t>
  </si>
  <si>
    <t>Revenue from Mindtree</t>
  </si>
  <si>
    <t>Revenue from Emphasis</t>
  </si>
  <si>
    <t>Split % of HT Express Units</t>
  </si>
  <si>
    <r>
      <t xml:space="preserve">Revenue from HT Express
</t>
    </r>
    <r>
      <rPr>
        <sz val="9"/>
        <color theme="1"/>
        <rFont val="Calibri"/>
        <family val="2"/>
        <scheme val="minor"/>
      </rPr>
      <t>- Annakutta Resturant
- Amazon
- Mindtree
- Emphasis</t>
    </r>
  </si>
  <si>
    <t>Revenue from HT Express</t>
  </si>
  <si>
    <t>Revenue from HT Stores</t>
  </si>
  <si>
    <t>Revenue Malleswaram Restaurant</t>
  </si>
  <si>
    <t>Revenue from Temple Stores</t>
  </si>
  <si>
    <t>Revenue from Catering</t>
  </si>
  <si>
    <t>Split % of HT Stores Units</t>
  </si>
  <si>
    <r>
      <t xml:space="preserve">Revenue from HT Stores
</t>
    </r>
    <r>
      <rPr>
        <sz val="9"/>
        <color theme="1"/>
        <rFont val="Calibri"/>
        <family val="2"/>
        <scheme val="minor"/>
      </rPr>
      <t>- Malleswaram
-Temple Stores
- Catering</t>
    </r>
  </si>
  <si>
    <t>Revenue from Higher Taste Fine Dining</t>
  </si>
  <si>
    <r>
      <t xml:space="preserve">Revenue By Kitchen within HT Stores
Plant 1 and Plant 2
Split %
</t>
    </r>
    <r>
      <rPr>
        <b/>
        <sz val="9"/>
        <color rgb="FFFF0000"/>
        <rFont val="Calibri"/>
        <family val="2"/>
        <scheme val="minor"/>
      </rPr>
      <t xml:space="preserve">
(Data to be gathered once a quarter)</t>
    </r>
  </si>
  <si>
    <t>Revenue per Sqft for Annakutta</t>
  </si>
  <si>
    <t>Revenue per Sqft for Temple Stores</t>
  </si>
  <si>
    <t>Total Tax</t>
  </si>
  <si>
    <t>Net Revenue less Tax</t>
  </si>
  <si>
    <t>COGS</t>
  </si>
  <si>
    <t>Power &amp; Fuel</t>
  </si>
  <si>
    <t>Consumables</t>
  </si>
  <si>
    <t>Gross Margin</t>
  </si>
  <si>
    <t>Operating Margin</t>
  </si>
  <si>
    <t>Operating Margin %</t>
  </si>
  <si>
    <t>P&amp;L for TSF Prasadam</t>
  </si>
  <si>
    <t>Operating Margin Split @ Level 2</t>
  </si>
  <si>
    <t>OM % Higher Taste Express</t>
  </si>
  <si>
    <t>OM % Higher Taste Stores</t>
  </si>
  <si>
    <t>OM % Higher Taste Fine Dining</t>
  </si>
  <si>
    <t>OM% Annakutta Restaurant</t>
  </si>
  <si>
    <t>OM% Amazon</t>
  </si>
  <si>
    <t>OM% Mindtree</t>
  </si>
  <si>
    <t>OM% Emphasis</t>
  </si>
  <si>
    <t>OM% HT Stores</t>
  </si>
  <si>
    <t>OM % Malleswaram</t>
  </si>
  <si>
    <t>OM % Temple Stores</t>
  </si>
  <si>
    <t>OM % Catering</t>
  </si>
  <si>
    <t>Operating Margin % Spilt @ Level 3</t>
  </si>
  <si>
    <t>% Food Cost HT Express</t>
  </si>
  <si>
    <t>% Food Cost HT Stores</t>
  </si>
  <si>
    <t>% Food Cost HT Fine Dining</t>
  </si>
  <si>
    <t>Total Wastage in INR</t>
  </si>
  <si>
    <t>Wastage as % of Total Purchase for the month</t>
  </si>
  <si>
    <t>Wastage as % of Plant 1 Kitchen Production</t>
  </si>
  <si>
    <t>Wastage as % of Plant 2 Kitchen Production</t>
  </si>
  <si>
    <t>Wastage as % of Plant 3 Kitchen Production</t>
  </si>
  <si>
    <t>Wastage as % of Plant 4 Kitchen Production</t>
  </si>
  <si>
    <t>FGA Wastage as % of Temple Counter Sales</t>
  </si>
  <si>
    <t>Wastage</t>
  </si>
  <si>
    <t>Total Manpower Cost of HT Stores against Revenue (%)</t>
  </si>
  <si>
    <t>Total Manpower Cost of HT Fine Dining against Revenue (%)</t>
  </si>
  <si>
    <t>Manpower Cost  @ Level 2</t>
  </si>
  <si>
    <t>Absentism</t>
  </si>
  <si>
    <t>Key Concerns on absentism in Division if any</t>
  </si>
  <si>
    <t>Incentive Payout</t>
  </si>
  <si>
    <t>Total Incentive Payout for the month</t>
  </si>
  <si>
    <t>Names of Performers</t>
  </si>
  <si>
    <t>Comp Off</t>
  </si>
  <si>
    <t>Leave Accumulation YTD</t>
  </si>
  <si>
    <t>No of Employees who have availed in the month</t>
  </si>
  <si>
    <t>Receivables</t>
  </si>
  <si>
    <t>Total Receivables- Value</t>
  </si>
  <si>
    <t>Receivables 60 to 90 days</t>
  </si>
  <si>
    <t>Receivables 91 to 180 days</t>
  </si>
  <si>
    <t>Receivables more than 181 days</t>
  </si>
  <si>
    <t>Value of Un-accounted Stock (System - Physical)</t>
  </si>
  <si>
    <t>Inventory to Sales (Inventory Turns)</t>
  </si>
  <si>
    <t>Audit</t>
  </si>
  <si>
    <t>No of NCs raised YTD</t>
  </si>
  <si>
    <t>No of Open NCs YTD</t>
  </si>
  <si>
    <t>No of Clossed NCs YTD</t>
  </si>
  <si>
    <t>Reduction in usage of material and applying disposal methods that spreads environmental pollution</t>
  </si>
  <si>
    <t>Value of Scrap Sales in the Month</t>
  </si>
  <si>
    <t>% of degradable v/s total carry bags purchased</t>
  </si>
  <si>
    <t>Data Available
Y or N</t>
  </si>
  <si>
    <t>Data Source
Tally/Trend/
Excel</t>
  </si>
  <si>
    <t>Data Provider
Name &amp; Department</t>
  </si>
  <si>
    <t>Process Owner</t>
  </si>
  <si>
    <t xml:space="preserve">Higher Taste Express Revenue against Total TSF Prasadam Revenue </t>
  </si>
  <si>
    <t>YTD Higher Taste Express against Total (%)</t>
  </si>
  <si>
    <t>YTD Higher Taste Stores against Total  (%)</t>
  </si>
  <si>
    <t>YTD Higher Taste Fine Dining against Total (%)</t>
  </si>
  <si>
    <t>Coupon  Sales -S.Corn (%)</t>
  </si>
  <si>
    <t>Coupon Sales - Bajji Bonda (%)</t>
  </si>
  <si>
    <t>Coupon Sales - Softy Ice-Cream (%)</t>
  </si>
  <si>
    <t>Coupon Sales - Soda Lime (%)</t>
  </si>
  <si>
    <t>Revenue by Counter as a % of Total Annakutta Restaurant Sales by month</t>
  </si>
  <si>
    <t>Revenue by Visitor</t>
  </si>
  <si>
    <t>P&amp;L for HT Express</t>
  </si>
  <si>
    <t>OM% @ HT Express Units</t>
  </si>
  <si>
    <t>Wastage at Plant 3</t>
  </si>
  <si>
    <t>Overall Manpower Cost (HT Express)
&amp;
Employee Productivity</t>
  </si>
  <si>
    <t>Value of Slow Moving Stock and no of SKUs</t>
  </si>
  <si>
    <t>Timeliness of Reports</t>
  </si>
  <si>
    <t>No of Reports not received</t>
  </si>
  <si>
    <t xml:space="preserve">Higher Taste Stores Revenue against Total TSF Prasadam Revenue </t>
  </si>
  <si>
    <t>Inventory @ Plant 1 and Plant 2</t>
  </si>
  <si>
    <t xml:space="preserve">Higher Taste Fine Dining Revenue against Total TSF Prasadam Revenue </t>
  </si>
  <si>
    <t>Sales from Restaurant</t>
  </si>
  <si>
    <t>Sales from Bento Box</t>
  </si>
  <si>
    <t>Sales from HT Restaurant Catering</t>
  </si>
  <si>
    <t>Sales to Touch Stone Foundation</t>
  </si>
  <si>
    <t>Revenue Break-up</t>
  </si>
  <si>
    <t>Total Sales by Front Desk Staff (Steward + Captain)</t>
  </si>
  <si>
    <t>Total Seats available</t>
  </si>
  <si>
    <t>Revenue by available resource</t>
  </si>
  <si>
    <t>Wastage @ Plant 4</t>
  </si>
  <si>
    <t>Projected Sales Funnel for Catering</t>
  </si>
  <si>
    <t>Inventory @ Plant 4</t>
  </si>
  <si>
    <t>Tally</t>
  </si>
  <si>
    <t>KYPD</t>
  </si>
  <si>
    <t>Y</t>
  </si>
  <si>
    <t xml:space="preserve"> </t>
  </si>
  <si>
    <t>Giridharan</t>
  </si>
  <si>
    <t>Vijayrajesh</t>
  </si>
  <si>
    <t>Maqbool</t>
  </si>
  <si>
    <t>Gopikrishan</t>
  </si>
  <si>
    <t>Mandanna</t>
  </si>
  <si>
    <t>Accounts -Aithal</t>
  </si>
  <si>
    <t>N</t>
  </si>
  <si>
    <t xml:space="preserve">  </t>
  </si>
  <si>
    <t>November</t>
  </si>
  <si>
    <t>December</t>
  </si>
  <si>
    <t>January</t>
  </si>
  <si>
    <t>February</t>
  </si>
  <si>
    <t>March</t>
  </si>
  <si>
    <t>Bento</t>
  </si>
  <si>
    <t>Catering</t>
  </si>
  <si>
    <t>Rest</t>
  </si>
  <si>
    <t>NA</t>
  </si>
  <si>
    <t>FY 14-15</t>
  </si>
  <si>
    <t>FY 13-14</t>
  </si>
  <si>
    <t>Variance %</t>
  </si>
  <si>
    <t>Quarter 4</t>
  </si>
  <si>
    <t>Quarter 1</t>
  </si>
  <si>
    <t>Quarter 2</t>
  </si>
  <si>
    <t>Quarter 3</t>
  </si>
  <si>
    <t>Revenue</t>
  </si>
  <si>
    <t>Target</t>
  </si>
  <si>
    <t>Revenue Achievement against Target %</t>
  </si>
  <si>
    <t>Higher Taste Stores against Total  (%)</t>
  </si>
  <si>
    <t>Higher Taste Express against Total (%)</t>
  </si>
  <si>
    <t>Higher Taste Fine Dining against Total (%)</t>
  </si>
  <si>
    <t>Annakutta Revenue against Total HT Express Revenue (%)</t>
  </si>
  <si>
    <t>Amazon Revenue against Total HT Express Revenue (%)</t>
  </si>
  <si>
    <t>Mindtree Revenue against Total HT Express Revenue (%)</t>
  </si>
  <si>
    <t>Emphasis Revenue against Total HT Express Revenue (%)</t>
  </si>
  <si>
    <t>Malleswaram Revenue against Total HT Stores (%)</t>
  </si>
  <si>
    <t>Temple Stores Revenue against Total HT Stores(%)</t>
  </si>
  <si>
    <t>Catering Revenue against Total HT Stores (%)</t>
  </si>
  <si>
    <t xml:space="preserve"> Revenue from Laddu Kitchen against HT Stores</t>
  </si>
  <si>
    <t xml:space="preserve"> Revenue from North Indian Sweets Kitchen against HT Stores</t>
  </si>
  <si>
    <t xml:space="preserve"> Revenue from Bengali Sweets Kitchen against HT Stores</t>
  </si>
  <si>
    <t xml:space="preserve"> Revenue from Plant 2 against HT Stores</t>
  </si>
  <si>
    <t xml:space="preserve"> Revenue from Mixture Kitchen against HT Stores</t>
  </si>
  <si>
    <t xml:space="preserve"> Revenue from Store against HT Stores</t>
  </si>
  <si>
    <t xml:space="preserve"> Revenue from Samosa kitchen against HT Stores</t>
  </si>
  <si>
    <t xml:space="preserve"> Revenue from South Indian kitchen against HT Stores</t>
  </si>
  <si>
    <t xml:space="preserve"> Revenue from Bhajji kitchen against HT Stores</t>
  </si>
  <si>
    <t xml:space="preserve"> Revenue from Rice kitchen against HT Stores</t>
  </si>
  <si>
    <t xml:space="preserve"> Revenue from Home Made kitchen against HT Stores</t>
  </si>
  <si>
    <t xml:space="preserve"> Revenue from Special Chinese kitchen against HT Stores</t>
  </si>
  <si>
    <t xml:space="preserve"> Revenue from Traded against HT Stores</t>
  </si>
  <si>
    <t>Total Employees</t>
  </si>
  <si>
    <t>Pending</t>
  </si>
  <si>
    <t>% of total hours lost to absenteeism</t>
  </si>
  <si>
    <t>Total</t>
  </si>
  <si>
    <t>Revenue from HT Express
- Annakutta Resturant
- Amazon
- Mindtree
- Emphasis</t>
  </si>
  <si>
    <t>Revenue Achievement against YTD Target (%)</t>
  </si>
  <si>
    <t xml:space="preserve"> Revenue from Malleswaram against Total HT Stores (%)</t>
  </si>
  <si>
    <t xml:space="preserve"> Revenue from Temple Stores against Total HT Stores
(%)</t>
  </si>
  <si>
    <t xml:space="preserve"> Revenue from Catering against Total HT Stores
(%)</t>
  </si>
  <si>
    <t xml:space="preserve"> Revenue from Laddu Kitchen against HT Stores (%)</t>
  </si>
  <si>
    <t xml:space="preserve"> Revenue from North Indian Sweets Kitchen against HT Stores(%)</t>
  </si>
  <si>
    <t xml:space="preserve"> Revenue from Bengali Sweets Kitchen against HT Stores(%)</t>
  </si>
  <si>
    <t xml:space="preserve"> Revenue from Plant 2 against HT Stores(%)</t>
  </si>
  <si>
    <t xml:space="preserve"> Revenue from Mixture Kitchen against HT Stores(%)</t>
  </si>
  <si>
    <t xml:space="preserve"> Revenue from Store against HT Stores(%)</t>
  </si>
  <si>
    <t xml:space="preserve"> Revenue from Samosa kitchen against HT Stores(%)</t>
  </si>
  <si>
    <t xml:space="preserve"> Revenue from South Indian kitchen against HT Stores
(%)</t>
  </si>
  <si>
    <t xml:space="preserve"> Revenue from Bhajji kitchen against HT Stores(%)</t>
  </si>
  <si>
    <t xml:space="preserve"> Revenue from Rice kitchen against HT Stores(%)</t>
  </si>
  <si>
    <t xml:space="preserve"> Revenue from Home Made kitchen against HT Stores
(%)</t>
  </si>
  <si>
    <t xml:space="preserve"> Revenue from Special Chinese kitchen against HT Stores(%)</t>
  </si>
  <si>
    <t xml:space="preserve"> Revenue from Traded against HT Stores (%)</t>
  </si>
  <si>
    <t>P&amp;L for HT Stores (Level 2)</t>
  </si>
  <si>
    <t>Total Sales by seat by day</t>
  </si>
  <si>
    <t>P&amp;L for TSF Prasadam (Level 2)</t>
  </si>
  <si>
    <t xml:space="preserve">Total Manpower Cost of HT Express </t>
  </si>
  <si>
    <t xml:space="preserve">Total Manpower Cost of HT Stores </t>
  </si>
  <si>
    <t xml:space="preserve">Total Manpower Cost of HT Fine Dining </t>
  </si>
  <si>
    <t>Updated in Comment</t>
  </si>
  <si>
    <t>Incentive Data for Apr-14</t>
  </si>
  <si>
    <t>Incentive Data for May-14</t>
  </si>
  <si>
    <t>EmpCode</t>
  </si>
  <si>
    <t>EmpName</t>
  </si>
  <si>
    <t>Department Name</t>
  </si>
  <si>
    <t>Designation</t>
  </si>
  <si>
    <t>Incentive</t>
  </si>
  <si>
    <t>TSF-0249</t>
  </si>
  <si>
    <t>ASHOK KUMAR K M</t>
  </si>
  <si>
    <t>Human Resources</t>
  </si>
  <si>
    <t>Sr.Executive HR-Compensation &amp; Benefits</t>
  </si>
  <si>
    <t>TSF-0056</t>
  </si>
  <si>
    <t>GURUPADA JANA</t>
  </si>
  <si>
    <t>HTR Gods Cuisine</t>
  </si>
  <si>
    <t>Steward</t>
  </si>
  <si>
    <t>TSF-0235</t>
  </si>
  <si>
    <t>VIJAY RAJESH KUMAR</t>
  </si>
  <si>
    <t>Temple Stores</t>
  </si>
  <si>
    <t>Asst. Manager</t>
  </si>
  <si>
    <t>TSF-0070</t>
  </si>
  <si>
    <t>KSHIROD KUMAR SAMAL</t>
  </si>
  <si>
    <t>TSF-0181</t>
  </si>
  <si>
    <t>MADAMMA</t>
  </si>
  <si>
    <t>Production Plant 1</t>
  </si>
  <si>
    <t>Helper</t>
  </si>
  <si>
    <t>TSF-0031</t>
  </si>
  <si>
    <t>SATYAJIT MALI</t>
  </si>
  <si>
    <t>TSF-0207</t>
  </si>
  <si>
    <t>KRISHNA VENI</t>
  </si>
  <si>
    <t>TSF-0050</t>
  </si>
  <si>
    <t>RAJENDRA SINGH METWAL</t>
  </si>
  <si>
    <t>Asst. Cook</t>
  </si>
  <si>
    <t>TSF-0254</t>
  </si>
  <si>
    <t>SALAMMA</t>
  </si>
  <si>
    <t>TSF-0062</t>
  </si>
  <si>
    <t>HEMANTH SINGH C</t>
  </si>
  <si>
    <t>TSF-0247</t>
  </si>
  <si>
    <t>REVANNA</t>
  </si>
  <si>
    <t>TSF-0084</t>
  </si>
  <si>
    <t>SEHAN YADAV</t>
  </si>
  <si>
    <t>House Keeper</t>
  </si>
  <si>
    <t>TSF-0067</t>
  </si>
  <si>
    <t>SANTHOSH P</t>
  </si>
  <si>
    <t>THT Store - Malleswaram</t>
  </si>
  <si>
    <t>Executive - Stores</t>
  </si>
  <si>
    <t>TSF-0130</t>
  </si>
  <si>
    <t>SUNIL SINGH</t>
  </si>
  <si>
    <t>North Indian Cook</t>
  </si>
  <si>
    <t>TSF-0147</t>
  </si>
  <si>
    <t>NARENDRA</t>
  </si>
  <si>
    <t>Annakuta</t>
  </si>
  <si>
    <t>TSF-0145</t>
  </si>
  <si>
    <t>SHIVAKUMAR</t>
  </si>
  <si>
    <t>House Keeping Supervisor</t>
  </si>
  <si>
    <t>TSF-0265</t>
  </si>
  <si>
    <t>HANUMAYYA</t>
  </si>
  <si>
    <t>TSF-0060</t>
  </si>
  <si>
    <t>SHEKHER RAI</t>
  </si>
  <si>
    <t>TSF-0248</t>
  </si>
  <si>
    <t>ANANDA KUMAR G</t>
  </si>
  <si>
    <t>TSF-0030</t>
  </si>
  <si>
    <t>GAMBHIR KHAWAS</t>
  </si>
  <si>
    <t>Captain</t>
  </si>
  <si>
    <t>TSF-0183</t>
  </si>
  <si>
    <t>CHANDRU</t>
  </si>
  <si>
    <t>TSF-0037</t>
  </si>
  <si>
    <t>CHANDAN CHATERJEE</t>
  </si>
  <si>
    <t>TSF-0063</t>
  </si>
  <si>
    <t>SATEESHA S</t>
  </si>
  <si>
    <t>TSF-0059</t>
  </si>
  <si>
    <t>HIMAL TAMANG</t>
  </si>
  <si>
    <t>TSF-0076</t>
  </si>
  <si>
    <t>RANGANATHA R</t>
  </si>
  <si>
    <t>TSF-0087</t>
  </si>
  <si>
    <t>BASAVARAJA KALAKANNAVAR</t>
  </si>
  <si>
    <t>Stores Asst.</t>
  </si>
  <si>
    <t>TSF-0259</t>
  </si>
  <si>
    <t>THIPPESWAMY</t>
  </si>
  <si>
    <t>TSF-0029</t>
  </si>
  <si>
    <t>RAMDEV YADAV</t>
  </si>
  <si>
    <t>Cook</t>
  </si>
  <si>
    <t>TSF-0150</t>
  </si>
  <si>
    <t>CHANDRA T</t>
  </si>
  <si>
    <t>HT Express MTGV</t>
  </si>
  <si>
    <t>TSF-0055</t>
  </si>
  <si>
    <t>BALAJI KANNAN A</t>
  </si>
  <si>
    <t>South Indian Head Chef</t>
  </si>
  <si>
    <t>TSF-0332</t>
  </si>
  <si>
    <t>SANNAMA</t>
  </si>
  <si>
    <t>TSF-0123</t>
  </si>
  <si>
    <t>NAVEEN KUMAR R</t>
  </si>
  <si>
    <t>South Indian Cook</t>
  </si>
  <si>
    <t>TSF-0164</t>
  </si>
  <si>
    <t>SAROJAMMA</t>
  </si>
  <si>
    <t>TSF-0358</t>
  </si>
  <si>
    <t>EREGOWDA</t>
  </si>
  <si>
    <t>TSF-0027</t>
  </si>
  <si>
    <t>DEB KUMAR DAS</t>
  </si>
  <si>
    <t>HT Express</t>
  </si>
  <si>
    <t>Sr Executive</t>
  </si>
  <si>
    <t>TSF-0028</t>
  </si>
  <si>
    <t>ANOOP SINGH</t>
  </si>
  <si>
    <t>TSF-0285</t>
  </si>
  <si>
    <t>SHAILAJA N N</t>
  </si>
  <si>
    <t>TSF-0061</t>
  </si>
  <si>
    <t>JAGADISH Y</t>
  </si>
  <si>
    <t>Store Keeper</t>
  </si>
  <si>
    <t>TSF-0270</t>
  </si>
  <si>
    <t>SATHISH M</t>
  </si>
  <si>
    <t>TSF-0026</t>
  </si>
  <si>
    <t>AVINASH TIWARI</t>
  </si>
  <si>
    <t>Supervisor</t>
  </si>
  <si>
    <t>TSF-0049</t>
  </si>
  <si>
    <t>ANNAMMA</t>
  </si>
  <si>
    <t>TSF-0033</t>
  </si>
  <si>
    <t>RAJESH K</t>
  </si>
  <si>
    <t>TSF-0143</t>
  </si>
  <si>
    <t>VENKATESH</t>
  </si>
  <si>
    <t>TSF-0034</t>
  </si>
  <si>
    <t>KISHOR BAHADUR BHATTARAI</t>
  </si>
  <si>
    <t>TSF-0019</t>
  </si>
  <si>
    <t>SWAMY P</t>
  </si>
  <si>
    <t>Amazon</t>
  </si>
  <si>
    <t>Sr.Cook</t>
  </si>
  <si>
    <t>TSF-0089</t>
  </si>
  <si>
    <t>RANJIT JANA</t>
  </si>
  <si>
    <t>TSF-0012</t>
  </si>
  <si>
    <t>CHITTAIAH</t>
  </si>
  <si>
    <t>Sr.Supervisor</t>
  </si>
  <si>
    <t>TSF-0058</t>
  </si>
  <si>
    <t>KUMAR GOWDA V</t>
  </si>
  <si>
    <t>TSF-0081</t>
  </si>
  <si>
    <t>NAGABUSHAN N</t>
  </si>
  <si>
    <t>TSF-0148</t>
  </si>
  <si>
    <t>NILENDRA BAGARTI</t>
  </si>
  <si>
    <t>TSF-0155</t>
  </si>
  <si>
    <t>SUBRATA DEBBARMA</t>
  </si>
  <si>
    <t>TSF-0154</t>
  </si>
  <si>
    <t>GUNANTA JAMATIA</t>
  </si>
  <si>
    <t>TSF-0232</t>
  </si>
  <si>
    <t>LAKSHMI PATHI</t>
  </si>
  <si>
    <t>TSF-0282</t>
  </si>
  <si>
    <t>JYOTHI P</t>
  </si>
  <si>
    <t>TSF-0153</t>
  </si>
  <si>
    <t>SUKEN DEBBARMA</t>
  </si>
  <si>
    <t>TSF-0279</t>
  </si>
  <si>
    <t>BASANTA KUMAR DAS</t>
  </si>
  <si>
    <t>Sales Associate</t>
  </si>
  <si>
    <t>TSF-0011</t>
  </si>
  <si>
    <t>SUDAM DAS</t>
  </si>
  <si>
    <t>TSF-0074</t>
  </si>
  <si>
    <t>RAMEN ROY</t>
  </si>
  <si>
    <t>TSF-0090</t>
  </si>
  <si>
    <t>AMIT KUMAR GHOSH</t>
  </si>
  <si>
    <t>TSF-0054</t>
  </si>
  <si>
    <t>MADAN SINGH</t>
  </si>
  <si>
    <t>Tandoor Cook</t>
  </si>
  <si>
    <t>TSF-0355</t>
  </si>
  <si>
    <t>LALITHAMMA</t>
  </si>
  <si>
    <t>TSF-0036</t>
  </si>
  <si>
    <t>BHARATHI S</t>
  </si>
  <si>
    <t>TSF-0007</t>
  </si>
  <si>
    <t>SUKANTH</t>
  </si>
  <si>
    <t>TSF-0138</t>
  </si>
  <si>
    <t>BHAGYALAKSHMI S</t>
  </si>
  <si>
    <t>TSF-0201</t>
  </si>
  <si>
    <t>RAGHU</t>
  </si>
  <si>
    <t>Production Plant 2</t>
  </si>
  <si>
    <t>Asst. Cake Master</t>
  </si>
  <si>
    <t>TSF-0157</t>
  </si>
  <si>
    <t>DINESHA</t>
  </si>
  <si>
    <t>TSF-0021</t>
  </si>
  <si>
    <t>TEKNATH SHARMA</t>
  </si>
  <si>
    <t>Sr.Captain</t>
  </si>
  <si>
    <t>TSF-0205</t>
  </si>
  <si>
    <t>PRABHAKAR J</t>
  </si>
  <si>
    <t>TSF-0214</t>
  </si>
  <si>
    <t>SRINATHA N</t>
  </si>
  <si>
    <t>Asst. Supervisor</t>
  </si>
  <si>
    <t>TSF-0022</t>
  </si>
  <si>
    <t>BIJAY RAI</t>
  </si>
  <si>
    <t>TSF-0210</t>
  </si>
  <si>
    <t>MANJUNATH A V</t>
  </si>
  <si>
    <t>Baker</t>
  </si>
  <si>
    <t>TSF-0180</t>
  </si>
  <si>
    <t>VENIYAMMA</t>
  </si>
  <si>
    <t>TSF-0073</t>
  </si>
  <si>
    <t>SANTHOSH KUMAR YADAV</t>
  </si>
  <si>
    <t>TSF-0042</t>
  </si>
  <si>
    <t>GOURANGA SUNDHAR BERA</t>
  </si>
  <si>
    <t>TSF-0231</t>
  </si>
  <si>
    <t>SUMAN GHOSH</t>
  </si>
  <si>
    <t>TSF-0215</t>
  </si>
  <si>
    <t>SURAJ MONDAL</t>
  </si>
  <si>
    <t>TSF-0243</t>
  </si>
  <si>
    <t>BISWAJIT GAYEN</t>
  </si>
  <si>
    <t>TSF-0206</t>
  </si>
  <si>
    <t>JAGADISH M</t>
  </si>
  <si>
    <t>TSF-0253</t>
  </si>
  <si>
    <t>PUTTASWAMY M T</t>
  </si>
  <si>
    <t>TSF-0137</t>
  </si>
  <si>
    <t>PRADIPA S S</t>
  </si>
  <si>
    <t>TSF-0290</t>
  </si>
  <si>
    <t>GOVINDAPPA.C</t>
  </si>
  <si>
    <t>TSF-0038</t>
  </si>
  <si>
    <t>AJAY SEWA</t>
  </si>
  <si>
    <t>TSF-0324</t>
  </si>
  <si>
    <t>SATYABRAT DASH</t>
  </si>
  <si>
    <t>TSF-0065</t>
  </si>
  <si>
    <t>VICHENDAR</t>
  </si>
  <si>
    <t>TSF-0266</t>
  </si>
  <si>
    <t>SOVAN SAMAL</t>
  </si>
  <si>
    <t>TSF-0256</t>
  </si>
  <si>
    <t>NIRANJANA M</t>
  </si>
  <si>
    <t>TSF-0069</t>
  </si>
  <si>
    <t>MANGALAMMA</t>
  </si>
  <si>
    <t>TSF-0292</t>
  </si>
  <si>
    <t>RAVI.S</t>
  </si>
  <si>
    <t>TSF-0293</t>
  </si>
  <si>
    <t>MALLINATH</t>
  </si>
  <si>
    <t>TSF-0335</t>
  </si>
  <si>
    <t>LOKESH E</t>
  </si>
  <si>
    <t>TSF-0068</t>
  </si>
  <si>
    <t>JEETHU KUMAR</t>
  </si>
  <si>
    <t>TSF-0017</t>
  </si>
  <si>
    <t>NIRBHAY KUMAR</t>
  </si>
  <si>
    <t>TSF-0082</t>
  </si>
  <si>
    <t>KAMAL MAHATOI</t>
  </si>
  <si>
    <t>Sweet Maker</t>
  </si>
  <si>
    <t>TSF-0212</t>
  </si>
  <si>
    <t>UDAY GHOSH</t>
  </si>
  <si>
    <t>TSF-0032</t>
  </si>
  <si>
    <t>RAJESH SAH</t>
  </si>
  <si>
    <t>TSF-0079</t>
  </si>
  <si>
    <t>SHANKAR DE</t>
  </si>
  <si>
    <t>TSF-0152</t>
  </si>
  <si>
    <t>SHIVANNA</t>
  </si>
  <si>
    <t>TSF-0044</t>
  </si>
  <si>
    <t>DIPAK MAHANTH</t>
  </si>
  <si>
    <t>TSF-0298</t>
  </si>
  <si>
    <t>MAHESH.A</t>
  </si>
  <si>
    <t>TSF-0014</t>
  </si>
  <si>
    <t>HARIPAD MAITHY</t>
  </si>
  <si>
    <t>TSF-0064</t>
  </si>
  <si>
    <t>RAVINDRA KUMAR</t>
  </si>
  <si>
    <t>TSF-0102</t>
  </si>
  <si>
    <t>BISWAJIT MALI</t>
  </si>
  <si>
    <t>TSF-0043</t>
  </si>
  <si>
    <t>MAQBOOL AHMED</t>
  </si>
  <si>
    <t>Restaurant Manager</t>
  </si>
  <si>
    <t>TSF-0198</t>
  </si>
  <si>
    <t>JAYARAM</t>
  </si>
  <si>
    <t>Assistant</t>
  </si>
  <si>
    <t>TSF-0098</t>
  </si>
  <si>
    <t>SAMBHU MANNA</t>
  </si>
  <si>
    <t>TSF-0272</t>
  </si>
  <si>
    <t>RAJU S K</t>
  </si>
  <si>
    <t>TSF-0357</t>
  </si>
  <si>
    <t>KEMPAMMA G K</t>
  </si>
  <si>
    <t>TSF-0185</t>
  </si>
  <si>
    <t>SAURAV SHARMA</t>
  </si>
  <si>
    <t>TSF-0188</t>
  </si>
  <si>
    <t>DHARMARAJU</t>
  </si>
  <si>
    <t>Head Cook</t>
  </si>
  <si>
    <t>TSF-0199</t>
  </si>
  <si>
    <t>SUNDARAMMA</t>
  </si>
  <si>
    <t>TSF-0223</t>
  </si>
  <si>
    <t>GODAVARI</t>
  </si>
  <si>
    <t>TSF-0305</t>
  </si>
  <si>
    <t>SHAILAJA</t>
  </si>
  <si>
    <t>TSF-0261</t>
  </si>
  <si>
    <t>RADHA C</t>
  </si>
  <si>
    <t>Material Management</t>
  </si>
  <si>
    <t>TSF-0238</t>
  </si>
  <si>
    <t>BHARATHI</t>
  </si>
  <si>
    <t>TSF-0275</t>
  </si>
  <si>
    <t>PADMAVATHI</t>
  </si>
  <si>
    <t>TSF-0211</t>
  </si>
  <si>
    <t>CHANDRA KISHORE RAY</t>
  </si>
  <si>
    <t>TSF-0308</t>
  </si>
  <si>
    <t>SANATAN ROY</t>
  </si>
  <si>
    <t>TSF-0250</t>
  </si>
  <si>
    <t>VISHALAKSHI G R</t>
  </si>
  <si>
    <t>TSF-0187</t>
  </si>
  <si>
    <t>VEDAMMA</t>
  </si>
  <si>
    <t>TSF-0080</t>
  </si>
  <si>
    <t>HANUMANTHARAYA</t>
  </si>
  <si>
    <t>TSF-0200</t>
  </si>
  <si>
    <t>VASANTHAKUMARI</t>
  </si>
  <si>
    <t>TSF-0260</t>
  </si>
  <si>
    <t>RANGASWAMY R</t>
  </si>
  <si>
    <t>TSF-0291</t>
  </si>
  <si>
    <t>BHAKTIPADA DANDAPAT</t>
  </si>
  <si>
    <t>TSF-0311</t>
  </si>
  <si>
    <t>ROHITH KUMAR D V</t>
  </si>
  <si>
    <t>Cake Master</t>
  </si>
  <si>
    <t>TSF-0287</t>
  </si>
  <si>
    <t>PRAJWAL N S</t>
  </si>
  <si>
    <t>TSF-0323</t>
  </si>
  <si>
    <t>LATHA</t>
  </si>
  <si>
    <t>TSF-0301</t>
  </si>
  <si>
    <t>SUSHANTA DAS</t>
  </si>
  <si>
    <t>TSF-0330</t>
  </si>
  <si>
    <t>GOPAL KUMAR</t>
  </si>
  <si>
    <t>TSF-0329</t>
  </si>
  <si>
    <t>PRAMILA T S</t>
  </si>
  <si>
    <t>TSF-0240</t>
  </si>
  <si>
    <t>DEVI M</t>
  </si>
  <si>
    <t>Sales Boy</t>
  </si>
  <si>
    <t>TSF-0320</t>
  </si>
  <si>
    <t>SUKANTAKUMAR PANDA</t>
  </si>
  <si>
    <t>TSF-0220</t>
  </si>
  <si>
    <t>DEBENDRA PRADHAN</t>
  </si>
  <si>
    <t>TSF-0216</t>
  </si>
  <si>
    <t>KALPATARU SAMAL</t>
  </si>
  <si>
    <t>TSF-0344</t>
  </si>
  <si>
    <t>SUDHAKAR K</t>
  </si>
  <si>
    <t>TSF-0190</t>
  </si>
  <si>
    <t>CHANDRAMMA</t>
  </si>
  <si>
    <t>TSF-0242</t>
  </si>
  <si>
    <t>BHANU MATHI</t>
  </si>
  <si>
    <t>TSF-0315</t>
  </si>
  <si>
    <t>RAJANI B S</t>
  </si>
  <si>
    <t>TSF-0252</t>
  </si>
  <si>
    <t>NANJUNDA SWAMY S C</t>
  </si>
  <si>
    <t>Data Entry Operator</t>
  </si>
  <si>
    <t>TSF-0297</t>
  </si>
  <si>
    <t>VIJAY KUMAR.R</t>
  </si>
  <si>
    <t>TSF-0338</t>
  </si>
  <si>
    <t>MITHUN GHOSH</t>
  </si>
  <si>
    <t>TSF-0277</t>
  </si>
  <si>
    <t>BISWANATH HAZRA</t>
  </si>
  <si>
    <t>Shifting Boy</t>
  </si>
  <si>
    <t>TSF-0222</t>
  </si>
  <si>
    <t>NEERAJ KUMAR YADAV</t>
  </si>
  <si>
    <t>TSF-0244</t>
  </si>
  <si>
    <t>RAM KUMAR</t>
  </si>
  <si>
    <t>TSF-0072</t>
  </si>
  <si>
    <t>DEV NARAYAN YADAV</t>
  </si>
  <si>
    <t>TSF-0271</t>
  </si>
  <si>
    <t>SRIDEVI</t>
  </si>
  <si>
    <t>TSF-0251</t>
  </si>
  <si>
    <t>SHOBHA</t>
  </si>
  <si>
    <t>TSF-0245</t>
  </si>
  <si>
    <t>KASHINATH ROY</t>
  </si>
  <si>
    <t>TSF-0284</t>
  </si>
  <si>
    <t>SUSANTA MONDAL</t>
  </si>
  <si>
    <t>Samosa Maker</t>
  </si>
  <si>
    <t>TSF-0217</t>
  </si>
  <si>
    <t>MANORANJAN ROY</t>
  </si>
  <si>
    <t>TSF-0300</t>
  </si>
  <si>
    <t>RANJIT MAHATO</t>
  </si>
  <si>
    <t>TSF-0354</t>
  </si>
  <si>
    <t>BISWAJITH GHOSH</t>
  </si>
  <si>
    <t>Gross Profit</t>
  </si>
  <si>
    <t>Operating Profit</t>
  </si>
  <si>
    <t>Operating Profit %</t>
  </si>
  <si>
    <t>OM% @ Higher Taste Express Units</t>
  </si>
  <si>
    <t>Revenue from Higher Taste Fine Dining (Branch it as Rest &amp; Catering)</t>
  </si>
  <si>
    <t>Total Revenue per total Temple sqft area (includes staff quarter, office)</t>
  </si>
  <si>
    <t>Total FY 14-15</t>
  </si>
  <si>
    <t>In Comment</t>
  </si>
  <si>
    <t>Transport Charges</t>
  </si>
  <si>
    <t>Personnel Expenses</t>
  </si>
  <si>
    <t>Utility and Services</t>
  </si>
  <si>
    <t>Electricy Charges</t>
  </si>
  <si>
    <t>Rent</t>
  </si>
  <si>
    <t>South Indian  (%)</t>
  </si>
  <si>
    <t>North Indian  (%)</t>
  </si>
  <si>
    <t xml:space="preserve"> Dosa (%)</t>
  </si>
  <si>
    <t>Chinese(%)</t>
  </si>
  <si>
    <t>Kerala  (%)</t>
  </si>
  <si>
    <t>Chat (%)</t>
  </si>
  <si>
    <t>Pantry (%)</t>
  </si>
  <si>
    <t>Milk Shake Outlet</t>
  </si>
  <si>
    <t>Italian-Ice Cream</t>
  </si>
  <si>
    <t xml:space="preserve">Target </t>
  </si>
  <si>
    <t>Revenue Achievement against  Target (%)</t>
  </si>
  <si>
    <t>Revenue Achievement against Target (%)</t>
  </si>
  <si>
    <t>Revenue from Annakuta against Total HT Express</t>
  </si>
  <si>
    <t>Revenue from Amazon against Total HT Express</t>
  </si>
  <si>
    <t>Revenue from Mindtree against Total HT Express</t>
  </si>
  <si>
    <t>Revenue from Emphasis against Total HT Express</t>
  </si>
  <si>
    <t>Other Income</t>
  </si>
  <si>
    <t xml:space="preserve">No of NCs raised </t>
  </si>
  <si>
    <t xml:space="preserve">No of Open NCs </t>
  </si>
  <si>
    <t xml:space="preserve">No of Clossed NCs </t>
  </si>
  <si>
    <t>Provisional Expenses</t>
  </si>
  <si>
    <t>Target ??</t>
  </si>
  <si>
    <t>No of Plates Served</t>
  </si>
  <si>
    <t>No of Families coming to Restaurant</t>
  </si>
  <si>
    <t>None</t>
  </si>
  <si>
    <t>target??</t>
  </si>
  <si>
    <t>Rank 1</t>
  </si>
  <si>
    <t>Rank 2</t>
  </si>
  <si>
    <t>Rank 3</t>
  </si>
  <si>
    <t>Rank 4</t>
  </si>
  <si>
    <t>Rank 5</t>
  </si>
  <si>
    <t>Rank 6</t>
  </si>
  <si>
    <t>No of plates served</t>
  </si>
  <si>
    <t>No of vistors coming to Restaurant</t>
  </si>
  <si>
    <t>To Check</t>
  </si>
  <si>
    <t>In Insert</t>
  </si>
  <si>
    <t>MARISWAMY S</t>
  </si>
  <si>
    <t>Over all - Food Division - July-2014</t>
  </si>
  <si>
    <t>HT Stores  - Food Division - July-2014</t>
  </si>
  <si>
    <t>HT Express  - Food Division - July-2014</t>
  </si>
  <si>
    <t>HTR  - Food Division - July-2014</t>
  </si>
  <si>
    <t>TSF-0176</t>
  </si>
  <si>
    <t>UMADEVI DESAI G M</t>
  </si>
  <si>
    <t>TSF-0013</t>
  </si>
  <si>
    <t>GOPI KRISHNAN J</t>
  </si>
  <si>
    <t>TSF-0189</t>
  </si>
  <si>
    <t>SHIVAKUMAR L.V</t>
  </si>
  <si>
    <t>TSF-0204</t>
  </si>
  <si>
    <t>BHUJANGA SHETTY</t>
  </si>
  <si>
    <t>TSF-0208</t>
  </si>
  <si>
    <t>PANDAV KUMAR</t>
  </si>
  <si>
    <t>TSF-0086</t>
  </si>
  <si>
    <t>NITHIN KUMAR</t>
  </si>
  <si>
    <t>TSF-0093</t>
  </si>
  <si>
    <t>SRIPRASAD GUPTA N.V.</t>
  </si>
  <si>
    <t>TSF-0213</t>
  </si>
  <si>
    <t>INDRAJITH KUMAR</t>
  </si>
  <si>
    <t>TSF-0388</t>
  </si>
  <si>
    <t>Umadevi</t>
  </si>
  <si>
    <t>TSF-0045</t>
  </si>
  <si>
    <t>MANDANNA M S</t>
  </si>
  <si>
    <t>TSF-0218</t>
  </si>
  <si>
    <t>HARI HARA MAHANTHA</t>
  </si>
  <si>
    <t>TSF-0219</t>
  </si>
  <si>
    <t>NAGARAJA M N</t>
  </si>
  <si>
    <t>TSF-0221</t>
  </si>
  <si>
    <t>VIJAYKUMAR YADAV</t>
  </si>
  <si>
    <t>TSF-0378</t>
  </si>
  <si>
    <t>Nagamallappa</t>
  </si>
  <si>
    <t>TSF-0379</t>
  </si>
  <si>
    <t>Surajit Sarkar</t>
  </si>
  <si>
    <t>TSF-0380</t>
  </si>
  <si>
    <t>Puttaswamy</t>
  </si>
  <si>
    <t>TSF-0381</t>
  </si>
  <si>
    <t>Jagadesha N A</t>
  </si>
  <si>
    <t>TSF-0233</t>
  </si>
  <si>
    <t>VINOD ROY</t>
  </si>
  <si>
    <t>TSF-0236</t>
  </si>
  <si>
    <t>SUBHDRAMMA</t>
  </si>
  <si>
    <t>TSF-0239</t>
  </si>
  <si>
    <t>RATAN ROY</t>
  </si>
  <si>
    <t>TSF-0262</t>
  </si>
  <si>
    <t>LALAN KUMAR</t>
  </si>
  <si>
    <t>TSF-0268</t>
  </si>
  <si>
    <t>GAURI SHANKAR</t>
  </si>
  <si>
    <t>TSF-0269</t>
  </si>
  <si>
    <t>TAPAS KUMAR PRADHAN</t>
  </si>
  <si>
    <t>TSF-0281</t>
  </si>
  <si>
    <t>SIDDHARTHA SINHA</t>
  </si>
  <si>
    <t>TSF-0350</t>
  </si>
  <si>
    <t>MANJANNA D C</t>
  </si>
  <si>
    <t>TSF-0359</t>
  </si>
  <si>
    <t>GANESH RAY</t>
  </si>
  <si>
    <t>TSF-0361</t>
  </si>
  <si>
    <t>ALOKE SHEE</t>
  </si>
  <si>
    <t>TSF-0370</t>
  </si>
  <si>
    <t>Venkatesha H</t>
  </si>
  <si>
    <t>TSF-0375</t>
  </si>
  <si>
    <t>Bishnath Ray</t>
  </si>
  <si>
    <t>TSF-0386</t>
  </si>
  <si>
    <t>Nantu Maity</t>
  </si>
  <si>
    <t>c</t>
  </si>
  <si>
    <t>TSF-0387</t>
  </si>
  <si>
    <t>Srikrishna Mahapatra</t>
  </si>
  <si>
    <t>TSF-0389</t>
  </si>
  <si>
    <t>Shanthamma</t>
  </si>
  <si>
    <t>TSF-0246</t>
  </si>
  <si>
    <t>ANAND DEVADIGA</t>
  </si>
  <si>
    <t>TSF-0273</t>
  </si>
  <si>
    <t>SANTHOSH V</t>
  </si>
  <si>
    <t>TSF-0295</t>
  </si>
  <si>
    <t>NAVEEN KUMAR.V.N</t>
  </si>
  <si>
    <t>No of Closed NCs YTD</t>
  </si>
  <si>
    <t>BYLAPPA G</t>
  </si>
  <si>
    <t>in insert</t>
  </si>
  <si>
    <t>ESHWAR ACHAR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</si>
</sst>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\-??_);_(@_)"/>
    <numFmt numFmtId="165" formatCode="_(* #,##0_);_(* \(#,##0\);_(* &quot;-&quot;??_);_(@_)"/>
    <numFmt numFmtId="166" formatCode="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8"/>
      <name val="Arial"/>
      <family val="2"/>
    </font>
    <font>
      <sz val="9"/>
      <color theme="1"/>
      <name val="Calibri"/>
      <family val="2"/>
      <scheme val="minor"/>
    </font>
    <font>
      <b/>
      <sz val="11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6"/>
      <color rgb="FFC00000"/>
      <name val="Calibri"/>
      <family val="2"/>
      <scheme val="minor"/>
    </font>
    <font>
      <b/>
      <u/>
      <sz val="16"/>
      <color theme="4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FFFF0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52"/>
      </patternFill>
    </fill>
    <fill>
      <patternFill patternType="solid">
        <fgColor indexed="45"/>
        <bgColor indexed="46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43"/>
      </patternFill>
    </fill>
    <fill>
      <patternFill patternType="solid">
        <fgColor indexed="43"/>
        <bgColor indexed="13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6">
    <xf numFmtId="0" fontId="0" fillId="0" borderId="0"/>
    <xf numFmtId="0" fontId="2" fillId="0" borderId="0"/>
    <xf numFmtId="0" fontId="3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7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7" borderId="1" applyNumberFormat="0" applyAlignment="0" applyProtection="0"/>
    <xf numFmtId="0" fontId="8" fillId="18" borderId="2" applyNumberFormat="0" applyAlignment="0" applyProtection="0"/>
    <xf numFmtId="164" fontId="2" fillId="0" borderId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1" applyNumberFormat="0" applyAlignment="0" applyProtection="0"/>
    <xf numFmtId="0" fontId="15" fillId="0" borderId="6" applyNumberFormat="0" applyFill="0" applyAlignment="0" applyProtection="0"/>
    <xf numFmtId="0" fontId="16" fillId="20" borderId="0" applyNumberFormat="0" applyBorder="0" applyAlignment="0" applyProtection="0"/>
    <xf numFmtId="0" fontId="17" fillId="0" borderId="0"/>
    <xf numFmtId="0" fontId="1" fillId="0" borderId="0"/>
    <xf numFmtId="0" fontId="17" fillId="0" borderId="0" applyBorder="0"/>
    <xf numFmtId="0" fontId="18" fillId="0" borderId="0"/>
    <xf numFmtId="0" fontId="2" fillId="21" borderId="7" applyNumberFormat="0" applyAlignment="0" applyProtection="0"/>
    <xf numFmtId="0" fontId="19" fillId="7" borderId="8" applyNumberFormat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0" fontId="17" fillId="0" borderId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3" fillId="0" borderId="0" xfId="42" applyFont="1" applyBorder="1"/>
    <xf numFmtId="0" fontId="24" fillId="0" borderId="0" xfId="42" applyFont="1" applyFill="1" applyBorder="1" applyAlignment="1">
      <alignment horizontal="center"/>
    </xf>
    <xf numFmtId="0" fontId="25" fillId="0" borderId="0" xfId="42" applyFont="1" applyFill="1" applyBorder="1" applyAlignment="1">
      <alignment horizontal="left"/>
    </xf>
    <xf numFmtId="0" fontId="1" fillId="0" borderId="0" xfId="0" applyFont="1"/>
    <xf numFmtId="0" fontId="27" fillId="23" borderId="15" xfId="1" applyFont="1" applyFill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8" fillId="0" borderId="10" xfId="0" applyFont="1" applyBorder="1" applyAlignment="1">
      <alignment horizontal="left" vertical="center" wrapText="1"/>
    </xf>
    <xf numFmtId="0" fontId="27" fillId="23" borderId="15" xfId="1" applyFont="1" applyFill="1" applyBorder="1" applyAlignment="1">
      <alignment vertical="center" wrapText="1"/>
    </xf>
    <xf numFmtId="0" fontId="27" fillId="23" borderId="17" xfId="1" applyFont="1" applyFill="1" applyBorder="1" applyAlignment="1">
      <alignment vertical="center"/>
    </xf>
    <xf numFmtId="0" fontId="27" fillId="23" borderId="15" xfId="1" applyFont="1" applyFill="1" applyBorder="1" applyAlignment="1">
      <alignment vertical="center"/>
    </xf>
    <xf numFmtId="0" fontId="27" fillId="23" borderId="19" xfId="1" applyFont="1" applyFill="1" applyBorder="1" applyAlignment="1">
      <alignment vertical="center"/>
    </xf>
    <xf numFmtId="0" fontId="27" fillId="23" borderId="20" xfId="1" applyFont="1" applyFill="1" applyBorder="1" applyAlignment="1">
      <alignment vertical="center"/>
    </xf>
    <xf numFmtId="0" fontId="28" fillId="0" borderId="19" xfId="0" applyFont="1" applyFill="1" applyBorder="1" applyAlignment="1">
      <alignment horizontal="left" vertical="center" wrapText="1"/>
    </xf>
    <xf numFmtId="0" fontId="28" fillId="0" borderId="17" xfId="0" applyFont="1" applyFill="1" applyBorder="1" applyAlignment="1">
      <alignment wrapText="1"/>
    </xf>
    <xf numFmtId="0" fontId="28" fillId="0" borderId="17" xfId="0" applyFont="1" applyFill="1" applyBorder="1" applyAlignment="1">
      <alignment vertical="center" wrapText="1"/>
    </xf>
    <xf numFmtId="0" fontId="26" fillId="0" borderId="17" xfId="0" applyFont="1" applyFill="1" applyBorder="1" applyAlignment="1">
      <alignment vertical="center" wrapText="1"/>
    </xf>
    <xf numFmtId="0" fontId="26" fillId="0" borderId="20" xfId="0" applyFont="1" applyFill="1" applyBorder="1" applyAlignment="1">
      <alignment vertical="center" wrapText="1"/>
    </xf>
    <xf numFmtId="0" fontId="1" fillId="0" borderId="0" xfId="0" applyFont="1" applyFill="1" applyBorder="1"/>
    <xf numFmtId="0" fontId="28" fillId="0" borderId="17" xfId="0" applyFont="1" applyFill="1" applyBorder="1" applyAlignment="1">
      <alignment horizontal="left" vertical="center" wrapText="1"/>
    </xf>
    <xf numFmtId="0" fontId="0" fillId="26" borderId="0" xfId="0" applyFill="1"/>
    <xf numFmtId="0" fontId="0" fillId="27" borderId="0" xfId="0" applyFill="1"/>
    <xf numFmtId="0" fontId="0" fillId="24" borderId="0" xfId="0" applyFill="1"/>
    <xf numFmtId="0" fontId="28" fillId="28" borderId="1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 wrapText="1"/>
    </xf>
    <xf numFmtId="0" fontId="29" fillId="0" borderId="0" xfId="1" applyFont="1" applyFill="1" applyBorder="1" applyAlignment="1">
      <alignment horizontal="center" vertical="center" wrapText="1"/>
    </xf>
    <xf numFmtId="0" fontId="27" fillId="0" borderId="0" xfId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 wrapText="1"/>
    </xf>
    <xf numFmtId="0" fontId="29" fillId="22" borderId="18" xfId="1" applyFont="1" applyFill="1" applyBorder="1" applyAlignment="1">
      <alignment horizontal="center" vertical="center" wrapText="1"/>
    </xf>
    <xf numFmtId="0" fontId="27" fillId="23" borderId="14" xfId="1" applyFont="1" applyFill="1" applyBorder="1" applyAlignment="1">
      <alignment horizontal="left" vertical="center" wrapText="1"/>
    </xf>
    <xf numFmtId="0" fontId="27" fillId="23" borderId="20" xfId="1" applyFont="1" applyFill="1" applyBorder="1" applyAlignment="1">
      <alignment horizontal="left" vertical="center" wrapText="1"/>
    </xf>
    <xf numFmtId="0" fontId="28" fillId="0" borderId="24" xfId="0" applyFont="1" applyFill="1" applyBorder="1" applyAlignment="1">
      <alignment wrapText="1"/>
    </xf>
    <xf numFmtId="0" fontId="28" fillId="0" borderId="24" xfId="0" applyFont="1" applyFill="1" applyBorder="1" applyAlignment="1">
      <alignment vertical="center" wrapText="1"/>
    </xf>
    <xf numFmtId="0" fontId="26" fillId="0" borderId="24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0" fontId="26" fillId="0" borderId="10" xfId="0" applyFont="1" applyFill="1" applyBorder="1" applyAlignment="1">
      <alignment vertical="center" wrapText="1"/>
    </xf>
    <xf numFmtId="0" fontId="28" fillId="0" borderId="24" xfId="0" applyFont="1" applyFill="1" applyBorder="1" applyAlignment="1">
      <alignment horizontal="left" vertical="center" wrapText="1"/>
    </xf>
    <xf numFmtId="0" fontId="29" fillId="22" borderId="0" xfId="1" applyFont="1" applyFill="1" applyAlignment="1">
      <alignment horizontal="center" vertical="center" wrapText="1"/>
    </xf>
    <xf numFmtId="0" fontId="34" fillId="0" borderId="0" xfId="0" applyFont="1"/>
    <xf numFmtId="0" fontId="35" fillId="0" borderId="0" xfId="0" applyFont="1"/>
    <xf numFmtId="0" fontId="28" fillId="29" borderId="10" xfId="0" applyFont="1" applyFill="1" applyBorder="1" applyAlignment="1">
      <alignment wrapText="1"/>
    </xf>
    <xf numFmtId="0" fontId="28" fillId="0" borderId="23" xfId="0" applyFont="1" applyFill="1" applyBorder="1" applyAlignment="1">
      <alignment vertical="center" wrapText="1"/>
    </xf>
    <xf numFmtId="0" fontId="28" fillId="29" borderId="20" xfId="0" applyFont="1" applyFill="1" applyBorder="1" applyAlignment="1">
      <alignment wrapText="1"/>
    </xf>
    <xf numFmtId="0" fontId="28" fillId="29" borderId="17" xfId="0" applyFont="1" applyFill="1" applyBorder="1" applyAlignment="1">
      <alignment vertical="center" wrapText="1"/>
    </xf>
    <xf numFmtId="0" fontId="28" fillId="29" borderId="25" xfId="0" applyFont="1" applyFill="1" applyBorder="1" applyAlignment="1">
      <alignment wrapText="1"/>
    </xf>
    <xf numFmtId="0" fontId="28" fillId="30" borderId="26" xfId="0" applyFont="1" applyFill="1" applyBorder="1" applyAlignment="1">
      <alignment wrapText="1"/>
    </xf>
    <xf numFmtId="0" fontId="1" fillId="0" borderId="20" xfId="0" applyFont="1" applyBorder="1"/>
    <xf numFmtId="0" fontId="28" fillId="30" borderId="27" xfId="0" applyFont="1" applyFill="1" applyBorder="1" applyAlignment="1">
      <alignment wrapText="1"/>
    </xf>
    <xf numFmtId="0" fontId="1" fillId="0" borderId="0" xfId="0" applyFont="1" applyAlignment="1">
      <alignment horizontal="left"/>
    </xf>
    <xf numFmtId="0" fontId="31" fillId="28" borderId="20" xfId="1" applyFont="1" applyFill="1" applyBorder="1" applyAlignment="1">
      <alignment vertical="center"/>
    </xf>
    <xf numFmtId="0" fontId="28" fillId="29" borderId="21" xfId="0" applyFont="1" applyFill="1" applyBorder="1" applyAlignment="1">
      <alignment wrapText="1"/>
    </xf>
    <xf numFmtId="0" fontId="1" fillId="0" borderId="17" xfId="0" applyFont="1" applyBorder="1"/>
    <xf numFmtId="0" fontId="1" fillId="0" borderId="15" xfId="0" applyFont="1" applyBorder="1"/>
    <xf numFmtId="0" fontId="28" fillId="29" borderId="20" xfId="0" applyFont="1" applyFill="1" applyBorder="1" applyAlignment="1">
      <alignment vertical="center" wrapText="1"/>
    </xf>
    <xf numFmtId="0" fontId="28" fillId="29" borderId="1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28" fillId="29" borderId="16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28" fillId="29" borderId="25" xfId="0" applyFont="1" applyFill="1" applyBorder="1" applyAlignment="1">
      <alignment vertical="center" wrapText="1"/>
    </xf>
    <xf numFmtId="0" fontId="28" fillId="30" borderId="26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/>
    </xf>
    <xf numFmtId="0" fontId="28" fillId="30" borderId="27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28" fillId="29" borderId="21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31" fillId="28" borderId="12" xfId="1" applyFont="1" applyFill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wrapText="1"/>
    </xf>
    <xf numFmtId="0" fontId="28" fillId="29" borderId="0" xfId="0" applyFont="1" applyFill="1" applyBorder="1" applyAlignment="1">
      <alignment wrapText="1"/>
    </xf>
    <xf numFmtId="0" fontId="28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vertical="center"/>
    </xf>
    <xf numFmtId="0" fontId="26" fillId="0" borderId="19" xfId="0" applyFont="1" applyFill="1" applyBorder="1" applyAlignment="1">
      <alignment vertical="center" wrapText="1"/>
    </xf>
    <xf numFmtId="0" fontId="27" fillId="23" borderId="10" xfId="1" applyFont="1" applyFill="1" applyBorder="1" applyAlignment="1">
      <alignment horizontal="left" vertical="center" wrapText="1"/>
    </xf>
    <xf numFmtId="1" fontId="26" fillId="0" borderId="10" xfId="0" applyNumberFormat="1" applyFont="1" applyBorder="1" applyAlignment="1">
      <alignment vertical="center" wrapText="1"/>
    </xf>
    <xf numFmtId="165" fontId="26" fillId="0" borderId="10" xfId="54" applyNumberFormat="1" applyFont="1" applyBorder="1"/>
    <xf numFmtId="9" fontId="26" fillId="0" borderId="10" xfId="55" applyFont="1" applyBorder="1" applyAlignment="1">
      <alignment vertical="center" wrapText="1"/>
    </xf>
    <xf numFmtId="0" fontId="26" fillId="0" borderId="10" xfId="0" applyFont="1" applyBorder="1" applyAlignment="1">
      <alignment horizontal="right" vertical="center" wrapText="1"/>
    </xf>
    <xf numFmtId="165" fontId="26" fillId="0" borderId="10" xfId="0" applyNumberFormat="1" applyFont="1" applyBorder="1" applyAlignment="1">
      <alignment vertical="center"/>
    </xf>
    <xf numFmtId="165" fontId="26" fillId="0" borderId="10" xfId="0" applyNumberFormat="1" applyFont="1" applyBorder="1" applyAlignment="1">
      <alignment vertical="center" wrapText="1"/>
    </xf>
    <xf numFmtId="165" fontId="26" fillId="0" borderId="10" xfId="54" applyNumberFormat="1" applyFont="1" applyBorder="1" applyAlignment="1">
      <alignment vertical="center"/>
    </xf>
    <xf numFmtId="9" fontId="26" fillId="0" borderId="10" xfId="0" applyNumberFormat="1" applyFont="1" applyBorder="1" applyAlignment="1">
      <alignment vertical="center" wrapText="1"/>
    </xf>
    <xf numFmtId="0" fontId="1" fillId="0" borderId="14" xfId="0" applyFont="1" applyBorder="1"/>
    <xf numFmtId="0" fontId="28" fillId="0" borderId="21" xfId="0" applyFont="1" applyBorder="1" applyAlignment="1">
      <alignment horizontal="left" vertical="center" wrapText="1"/>
    </xf>
    <xf numFmtId="0" fontId="28" fillId="0" borderId="21" xfId="0" applyFont="1" applyBorder="1" applyAlignment="1">
      <alignment vertical="center" wrapText="1"/>
    </xf>
    <xf numFmtId="0" fontId="26" fillId="0" borderId="21" xfId="0" applyFont="1" applyBorder="1" applyAlignment="1">
      <alignment vertical="center" wrapText="1"/>
    </xf>
    <xf numFmtId="0" fontId="1" fillId="0" borderId="10" xfId="0" applyFont="1" applyBorder="1"/>
    <xf numFmtId="0" fontId="28" fillId="29" borderId="10" xfId="0" applyFont="1" applyFill="1" applyBorder="1"/>
    <xf numFmtId="1" fontId="26" fillId="0" borderId="10" xfId="0" applyNumberFormat="1" applyFont="1" applyBorder="1"/>
    <xf numFmtId="10" fontId="26" fillId="0" borderId="10" xfId="55" applyNumberFormat="1" applyFont="1" applyBorder="1" applyAlignment="1">
      <alignment vertical="center" wrapText="1"/>
    </xf>
    <xf numFmtId="9" fontId="26" fillId="0" borderId="10" xfId="55" applyNumberFormat="1" applyFont="1" applyBorder="1" applyAlignment="1">
      <alignment vertical="center" wrapText="1"/>
    </xf>
    <xf numFmtId="9" fontId="1" fillId="0" borderId="10" xfId="55" applyFont="1" applyBorder="1" applyAlignment="1">
      <alignment vertical="center"/>
    </xf>
    <xf numFmtId="43" fontId="26" fillId="0" borderId="10" xfId="54" applyFont="1" applyBorder="1" applyAlignment="1">
      <alignment vertical="center" wrapText="1"/>
    </xf>
    <xf numFmtId="2" fontId="26" fillId="0" borderId="10" xfId="0" applyNumberFormat="1" applyFont="1" applyBorder="1" applyAlignment="1">
      <alignment vertical="center" wrapText="1"/>
    </xf>
    <xf numFmtId="0" fontId="28" fillId="29" borderId="19" xfId="0" applyFont="1" applyFill="1" applyBorder="1" applyAlignment="1">
      <alignment vertical="center" wrapText="1"/>
    </xf>
    <xf numFmtId="2" fontId="38" fillId="0" borderId="10" xfId="0" applyNumberFormat="1" applyFont="1" applyBorder="1" applyAlignment="1">
      <alignment vertical="center" wrapText="1"/>
    </xf>
    <xf numFmtId="1" fontId="26" fillId="0" borderId="10" xfId="0" applyNumberFormat="1" applyFont="1" applyBorder="1" applyAlignment="1">
      <alignment horizontal="right" vertical="center" wrapText="1"/>
    </xf>
    <xf numFmtId="0" fontId="26" fillId="0" borderId="10" xfId="0" applyFont="1" applyBorder="1" applyAlignment="1">
      <alignment horizontal="right"/>
    </xf>
    <xf numFmtId="165" fontId="26" fillId="0" borderId="10" xfId="54" applyNumberFormat="1" applyFont="1" applyBorder="1" applyAlignment="1">
      <alignment vertical="center" wrapText="1"/>
    </xf>
    <xf numFmtId="0" fontId="29" fillId="22" borderId="0" xfId="1" applyFont="1" applyFill="1" applyAlignment="1">
      <alignment horizontal="center" vertical="center" wrapText="1"/>
    </xf>
    <xf numFmtId="165" fontId="26" fillId="0" borderId="21" xfId="54" applyNumberFormat="1" applyFont="1" applyBorder="1" applyAlignment="1">
      <alignment vertical="center" wrapText="1"/>
    </xf>
    <xf numFmtId="165" fontId="38" fillId="0" borderId="10" xfId="54" applyNumberFormat="1" applyFont="1" applyBorder="1" applyAlignment="1">
      <alignment vertical="center" wrapText="1"/>
    </xf>
    <xf numFmtId="43" fontId="26" fillId="0" borderId="10" xfId="54" applyNumberFormat="1" applyFont="1" applyBorder="1" applyAlignment="1">
      <alignment vertical="center" wrapText="1"/>
    </xf>
    <xf numFmtId="10" fontId="26" fillId="0" borderId="10" xfId="0" applyNumberFormat="1" applyFont="1" applyBorder="1" applyAlignment="1">
      <alignment vertical="center" wrapText="1"/>
    </xf>
    <xf numFmtId="165" fontId="26" fillId="0" borderId="10" xfId="54" applyNumberFormat="1" applyFont="1" applyFill="1" applyBorder="1" applyAlignment="1" applyProtection="1">
      <alignment horizontal="center" vertical="center" wrapText="1"/>
      <protection locked="0"/>
    </xf>
    <xf numFmtId="165" fontId="26" fillId="0" borderId="10" xfId="54" applyNumberFormat="1" applyFont="1" applyFill="1" applyBorder="1" applyAlignment="1" applyProtection="1">
      <alignment horizontal="center" vertical="center"/>
      <protection locked="0"/>
    </xf>
    <xf numFmtId="165" fontId="26" fillId="0" borderId="10" xfId="54" applyNumberFormat="1" applyFont="1" applyBorder="1" applyAlignment="1">
      <alignment horizontal="right" vertical="center" wrapText="1"/>
    </xf>
    <xf numFmtId="165" fontId="26" fillId="0" borderId="10" xfId="54" applyNumberFormat="1" applyFont="1" applyFill="1" applyBorder="1" applyAlignment="1">
      <alignment vertical="center" wrapText="1"/>
    </xf>
    <xf numFmtId="0" fontId="26" fillId="0" borderId="10" xfId="0" applyFont="1" applyBorder="1" applyAlignment="1">
      <alignment wrapText="1"/>
    </xf>
    <xf numFmtId="0" fontId="0" fillId="0" borderId="0" xfId="0" applyAlignment="1">
      <alignment vertical="center"/>
    </xf>
    <xf numFmtId="0" fontId="41" fillId="32" borderId="10" xfId="0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left" vertical="center"/>
    </xf>
    <xf numFmtId="0" fontId="42" fillId="0" borderId="10" xfId="0" applyFont="1" applyFill="1" applyBorder="1" applyAlignment="1">
      <alignment horizontal="right" vertical="center"/>
    </xf>
    <xf numFmtId="0" fontId="42" fillId="33" borderId="10" xfId="0" applyFont="1" applyFill="1" applyBorder="1" applyAlignment="1">
      <alignment horizontal="left" vertical="center"/>
    </xf>
    <xf numFmtId="0" fontId="42" fillId="33" borderId="10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41" fillId="31" borderId="10" xfId="0" applyFont="1" applyFill="1" applyBorder="1" applyAlignment="1">
      <alignment horizontal="center" vertical="center"/>
    </xf>
    <xf numFmtId="0" fontId="37" fillId="31" borderId="10" xfId="0" applyFont="1" applyFill="1" applyBorder="1" applyAlignment="1">
      <alignment horizontal="center" vertical="center"/>
    </xf>
    <xf numFmtId="9" fontId="26" fillId="0" borderId="16" xfId="55" applyFont="1" applyBorder="1" applyAlignment="1">
      <alignment vertical="center" wrapText="1"/>
    </xf>
    <xf numFmtId="1" fontId="28" fillId="27" borderId="10" xfId="0" applyNumberFormat="1" applyFont="1" applyFill="1" applyBorder="1" applyAlignment="1">
      <alignment vertical="center" wrapText="1"/>
    </xf>
    <xf numFmtId="9" fontId="28" fillId="27" borderId="10" xfId="55" applyFont="1" applyFill="1" applyBorder="1" applyAlignment="1">
      <alignment vertical="center" wrapText="1"/>
    </xf>
    <xf numFmtId="0" fontId="28" fillId="27" borderId="10" xfId="0" applyFont="1" applyFill="1" applyBorder="1" applyAlignment="1">
      <alignment vertical="center" wrapText="1"/>
    </xf>
    <xf numFmtId="43" fontId="28" fillId="27" borderId="10" xfId="0" applyNumberFormat="1" applyFont="1" applyFill="1" applyBorder="1" applyAlignment="1">
      <alignment vertical="center" wrapText="1"/>
    </xf>
    <xf numFmtId="0" fontId="44" fillId="27" borderId="31" xfId="1" applyFont="1" applyFill="1" applyBorder="1" applyAlignment="1">
      <alignment horizontal="left" vertical="center" wrapText="1"/>
    </xf>
    <xf numFmtId="0" fontId="44" fillId="34" borderId="32" xfId="1" applyFont="1" applyFill="1" applyBorder="1" applyAlignment="1">
      <alignment horizontal="left" vertical="center" wrapText="1"/>
    </xf>
    <xf numFmtId="0" fontId="44" fillId="32" borderId="33" xfId="1" applyFont="1" applyFill="1" applyBorder="1" applyAlignment="1">
      <alignment horizontal="left" vertical="center" wrapText="1"/>
    </xf>
    <xf numFmtId="0" fontId="44" fillId="35" borderId="15" xfId="1" applyFont="1" applyFill="1" applyBorder="1" applyAlignment="1">
      <alignment horizontal="left" vertical="center" wrapText="1"/>
    </xf>
    <xf numFmtId="9" fontId="26" fillId="0" borderId="34" xfId="55" applyFont="1" applyBorder="1" applyAlignment="1">
      <alignment vertical="center" wrapText="1"/>
    </xf>
    <xf numFmtId="9" fontId="26" fillId="0" borderId="35" xfId="55" applyFont="1" applyBorder="1" applyAlignment="1">
      <alignment vertical="center" wrapText="1"/>
    </xf>
    <xf numFmtId="0" fontId="26" fillId="0" borderId="36" xfId="0" applyFont="1" applyFill="1" applyBorder="1" applyAlignment="1">
      <alignment vertical="center" wrapText="1"/>
    </xf>
    <xf numFmtId="0" fontId="26" fillId="0" borderId="37" xfId="0" applyFont="1" applyFill="1" applyBorder="1" applyAlignment="1">
      <alignment vertical="center" wrapText="1"/>
    </xf>
    <xf numFmtId="165" fontId="26" fillId="0" borderId="34" xfId="54" applyNumberFormat="1" applyFont="1" applyBorder="1" applyAlignment="1">
      <alignment vertical="center"/>
    </xf>
    <xf numFmtId="165" fontId="26" fillId="0" borderId="35" xfId="54" applyNumberFormat="1" applyFont="1" applyBorder="1" applyAlignment="1">
      <alignment vertical="center"/>
    </xf>
    <xf numFmtId="165" fontId="26" fillId="0" borderId="34" xfId="54" applyNumberFormat="1" applyFont="1" applyBorder="1" applyAlignment="1">
      <alignment vertical="center" wrapText="1"/>
    </xf>
    <xf numFmtId="165" fontId="26" fillId="0" borderId="35" xfId="54" applyNumberFormat="1" applyFont="1" applyBorder="1" applyAlignment="1">
      <alignment vertical="center" wrapText="1"/>
    </xf>
    <xf numFmtId="0" fontId="26" fillId="0" borderId="34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 wrapText="1"/>
    </xf>
    <xf numFmtId="2" fontId="38" fillId="0" borderId="34" xfId="0" applyNumberFormat="1" applyFont="1" applyBorder="1" applyAlignment="1">
      <alignment vertical="center" wrapText="1"/>
    </xf>
    <xf numFmtId="2" fontId="38" fillId="0" borderId="35" xfId="0" applyNumberFormat="1" applyFont="1" applyBorder="1" applyAlignment="1">
      <alignment vertical="center" wrapText="1"/>
    </xf>
    <xf numFmtId="0" fontId="1" fillId="0" borderId="3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2" fontId="26" fillId="0" borderId="34" xfId="0" applyNumberFormat="1" applyFont="1" applyBorder="1" applyAlignment="1">
      <alignment vertical="center" wrapText="1"/>
    </xf>
    <xf numFmtId="2" fontId="26" fillId="0" borderId="35" xfId="0" applyNumberFormat="1" applyFont="1" applyBorder="1" applyAlignment="1">
      <alignment vertical="center" wrapText="1"/>
    </xf>
    <xf numFmtId="165" fontId="26" fillId="0" borderId="34" xfId="54" applyNumberFormat="1" applyFont="1" applyBorder="1" applyAlignment="1">
      <alignment horizontal="right" vertical="center" wrapText="1"/>
    </xf>
    <xf numFmtId="165" fontId="26" fillId="0" borderId="35" xfId="54" applyNumberFormat="1" applyFont="1" applyBorder="1" applyAlignment="1">
      <alignment horizontal="right" vertical="center" wrapText="1"/>
    </xf>
    <xf numFmtId="0" fontId="27" fillId="23" borderId="34" xfId="1" applyFont="1" applyFill="1" applyBorder="1" applyAlignment="1">
      <alignment horizontal="left" vertical="center" wrapText="1"/>
    </xf>
    <xf numFmtId="0" fontId="27" fillId="23" borderId="40" xfId="1" applyFont="1" applyFill="1" applyBorder="1" applyAlignment="1">
      <alignment horizontal="left" vertical="center" wrapText="1"/>
    </xf>
    <xf numFmtId="165" fontId="26" fillId="0" borderId="34" xfId="0" applyNumberFormat="1" applyFont="1" applyBorder="1" applyAlignment="1">
      <alignment vertical="center" wrapText="1"/>
    </xf>
    <xf numFmtId="165" fontId="26" fillId="0" borderId="35" xfId="0" applyNumberFormat="1" applyFont="1" applyBorder="1" applyAlignment="1">
      <alignment vertical="center" wrapText="1"/>
    </xf>
    <xf numFmtId="0" fontId="26" fillId="0" borderId="34" xfId="0" applyFont="1" applyBorder="1" applyAlignment="1">
      <alignment vertical="center" wrapText="1"/>
    </xf>
    <xf numFmtId="0" fontId="26" fillId="0" borderId="35" xfId="0" applyFont="1" applyBorder="1" applyAlignment="1">
      <alignment vertical="center" wrapText="1"/>
    </xf>
    <xf numFmtId="9" fontId="26" fillId="0" borderId="34" xfId="0" applyNumberFormat="1" applyFont="1" applyBorder="1" applyAlignment="1">
      <alignment vertical="center" wrapText="1"/>
    </xf>
    <xf numFmtId="9" fontId="26" fillId="0" borderId="35" xfId="0" applyNumberFormat="1" applyFont="1" applyBorder="1" applyAlignment="1">
      <alignment vertical="center" wrapText="1"/>
    </xf>
    <xf numFmtId="0" fontId="26" fillId="0" borderId="41" xfId="0" applyFont="1" applyFill="1" applyBorder="1" applyAlignment="1">
      <alignment vertical="center" wrapText="1"/>
    </xf>
    <xf numFmtId="0" fontId="26" fillId="0" borderId="42" xfId="0" applyFont="1" applyFill="1" applyBorder="1" applyAlignment="1">
      <alignment vertical="center" wrapText="1"/>
    </xf>
    <xf numFmtId="0" fontId="26" fillId="0" borderId="38" xfId="0" applyFont="1" applyBorder="1" applyAlignment="1">
      <alignment vertical="center" wrapText="1"/>
    </xf>
    <xf numFmtId="0" fontId="26" fillId="0" borderId="39" xfId="0" applyFont="1" applyBorder="1" applyAlignment="1">
      <alignment vertical="center" wrapText="1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27" fillId="23" borderId="43" xfId="1" applyFont="1" applyFill="1" applyBorder="1" applyAlignment="1">
      <alignment horizontal="left" vertical="center" wrapText="1"/>
    </xf>
    <xf numFmtId="0" fontId="1" fillId="0" borderId="43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26" fillId="0" borderId="44" xfId="0" applyFont="1" applyBorder="1" applyAlignment="1">
      <alignment vertical="center" wrapText="1"/>
    </xf>
    <xf numFmtId="0" fontId="26" fillId="0" borderId="45" xfId="0" applyFont="1" applyBorder="1" applyAlignment="1">
      <alignment vertical="center" wrapText="1"/>
    </xf>
    <xf numFmtId="0" fontId="26" fillId="0" borderId="46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1" fontId="26" fillId="0" borderId="19" xfId="0" applyNumberFormat="1" applyFont="1" applyBorder="1" applyAlignment="1">
      <alignment vertical="center" wrapText="1"/>
    </xf>
    <xf numFmtId="9" fontId="26" fillId="0" borderId="35" xfId="55" applyFont="1" applyBorder="1" applyAlignment="1">
      <alignment vertical="center"/>
    </xf>
    <xf numFmtId="1" fontId="26" fillId="0" borderId="34" xfId="0" applyNumberFormat="1" applyFont="1" applyBorder="1" applyAlignment="1">
      <alignment horizontal="right" vertical="center" wrapText="1"/>
    </xf>
    <xf numFmtId="1" fontId="26" fillId="0" borderId="35" xfId="0" applyNumberFormat="1" applyFont="1" applyBorder="1" applyAlignment="1">
      <alignment horizontal="right" vertical="center" wrapText="1"/>
    </xf>
    <xf numFmtId="0" fontId="26" fillId="0" borderId="34" xfId="0" applyFont="1" applyFill="1" applyBorder="1" applyAlignment="1">
      <alignment vertical="center" wrapText="1"/>
    </xf>
    <xf numFmtId="0" fontId="26" fillId="0" borderId="35" xfId="0" applyFont="1" applyFill="1" applyBorder="1" applyAlignment="1">
      <alignment vertical="center" wrapText="1"/>
    </xf>
    <xf numFmtId="165" fontId="26" fillId="0" borderId="34" xfId="0" applyNumberFormat="1" applyFont="1" applyBorder="1" applyAlignment="1">
      <alignment vertical="center"/>
    </xf>
    <xf numFmtId="165" fontId="26" fillId="0" borderId="35" xfId="0" applyNumberFormat="1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165" fontId="26" fillId="0" borderId="34" xfId="54" applyNumberFormat="1" applyFont="1" applyFill="1" applyBorder="1" applyAlignment="1">
      <alignment vertical="center" wrapText="1"/>
    </xf>
    <xf numFmtId="165" fontId="26" fillId="0" borderId="35" xfId="54" applyNumberFormat="1" applyFont="1" applyFill="1" applyBorder="1" applyAlignment="1">
      <alignment vertical="center" wrapText="1"/>
    </xf>
    <xf numFmtId="1" fontId="26" fillId="0" borderId="34" xfId="0" applyNumberFormat="1" applyFont="1" applyBorder="1" applyAlignment="1">
      <alignment vertical="center" wrapText="1"/>
    </xf>
    <xf numFmtId="1" fontId="26" fillId="0" borderId="35" xfId="0" applyNumberFormat="1" applyFont="1" applyBorder="1" applyAlignment="1">
      <alignment vertical="center" wrapText="1"/>
    </xf>
    <xf numFmtId="0" fontId="27" fillId="23" borderId="35" xfId="1" applyFont="1" applyFill="1" applyBorder="1" applyAlignment="1">
      <alignment horizontal="left" vertical="center" wrapText="1"/>
    </xf>
    <xf numFmtId="9" fontId="1" fillId="0" borderId="34" xfId="55" applyFont="1" applyBorder="1" applyAlignment="1">
      <alignment vertical="center"/>
    </xf>
    <xf numFmtId="9" fontId="1" fillId="0" borderId="35" xfId="55" applyFont="1" applyBorder="1" applyAlignment="1">
      <alignment vertical="center"/>
    </xf>
    <xf numFmtId="0" fontId="26" fillId="0" borderId="34" xfId="0" applyFont="1" applyBorder="1" applyAlignment="1">
      <alignment horizontal="right"/>
    </xf>
    <xf numFmtId="0" fontId="26" fillId="0" borderId="35" xfId="0" applyFont="1" applyBorder="1" applyAlignment="1">
      <alignment horizontal="right"/>
    </xf>
    <xf numFmtId="0" fontId="28" fillId="29" borderId="17" xfId="0" applyFont="1" applyFill="1" applyBorder="1" applyAlignment="1">
      <alignment horizontal="left" vertical="center" wrapText="1"/>
    </xf>
    <xf numFmtId="9" fontId="38" fillId="0" borderId="35" xfId="55" applyFont="1" applyBorder="1" applyAlignment="1">
      <alignment vertical="center" wrapText="1"/>
    </xf>
    <xf numFmtId="0" fontId="38" fillId="0" borderId="10" xfId="0" applyFont="1" applyBorder="1" applyAlignment="1">
      <alignment vertical="center" wrapText="1"/>
    </xf>
    <xf numFmtId="0" fontId="29" fillId="22" borderId="0" xfId="1" applyFont="1" applyFill="1" applyAlignment="1">
      <alignment horizontal="center" vertical="center" wrapText="1"/>
    </xf>
    <xf numFmtId="165" fontId="45" fillId="0" borderId="34" xfId="54" applyNumberFormat="1" applyFont="1" applyBorder="1" applyAlignment="1">
      <alignment vertical="center" wrapText="1"/>
    </xf>
    <xf numFmtId="165" fontId="45" fillId="0" borderId="10" xfId="54" applyNumberFormat="1" applyFont="1" applyBorder="1" applyAlignment="1">
      <alignment vertical="center" wrapText="1"/>
    </xf>
    <xf numFmtId="165" fontId="45" fillId="0" borderId="35" xfId="54" applyNumberFormat="1" applyFont="1" applyBorder="1" applyAlignment="1">
      <alignment vertical="center" wrapText="1"/>
    </xf>
    <xf numFmtId="9" fontId="45" fillId="0" borderId="34" xfId="55" applyFont="1" applyBorder="1" applyAlignment="1">
      <alignment vertical="center" wrapText="1"/>
    </xf>
    <xf numFmtId="9" fontId="45" fillId="0" borderId="10" xfId="55" applyFont="1" applyBorder="1" applyAlignment="1">
      <alignment vertical="center" wrapText="1"/>
    </xf>
    <xf numFmtId="9" fontId="45" fillId="0" borderId="35" xfId="55" applyFont="1" applyBorder="1" applyAlignment="1">
      <alignment vertical="center" wrapText="1"/>
    </xf>
    <xf numFmtId="0" fontId="46" fillId="0" borderId="38" xfId="0" applyFont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39" xfId="0" applyFont="1" applyBorder="1" applyAlignment="1">
      <alignment vertical="center"/>
    </xf>
    <xf numFmtId="165" fontId="45" fillId="0" borderId="10" xfId="54" applyNumberFormat="1" applyFont="1" applyBorder="1"/>
    <xf numFmtId="0" fontId="26" fillId="0" borderId="44" xfId="0" applyFont="1" applyBorder="1" applyAlignment="1">
      <alignment horizontal="right" vertical="center" wrapText="1"/>
    </xf>
    <xf numFmtId="0" fontId="26" fillId="0" borderId="45" xfId="0" applyFont="1" applyBorder="1" applyAlignment="1">
      <alignment horizontal="right" vertical="center" wrapText="1"/>
    </xf>
    <xf numFmtId="0" fontId="26" fillId="0" borderId="46" xfId="0" applyFont="1" applyBorder="1" applyAlignment="1">
      <alignment horizontal="right" vertical="center" wrapText="1"/>
    </xf>
    <xf numFmtId="165" fontId="26" fillId="0" borderId="34" xfId="54" applyNumberFormat="1" applyFont="1" applyFill="1" applyBorder="1" applyAlignment="1">
      <alignment vertical="center"/>
    </xf>
    <xf numFmtId="165" fontId="26" fillId="0" borderId="10" xfId="0" applyNumberFormat="1" applyFont="1" applyBorder="1" applyAlignment="1">
      <alignment horizontal="right" vertical="center"/>
    </xf>
    <xf numFmtId="0" fontId="26" fillId="0" borderId="0" xfId="0" applyFont="1" applyAlignment="1">
      <alignment vertical="center"/>
    </xf>
    <xf numFmtId="9" fontId="26" fillId="0" borderId="41" xfId="55" applyFont="1" applyBorder="1" applyAlignment="1">
      <alignment vertical="center" wrapText="1"/>
    </xf>
    <xf numFmtId="165" fontId="47" fillId="0" borderId="34" xfId="54" applyNumberFormat="1" applyFont="1" applyBorder="1" applyAlignment="1">
      <alignment vertical="center" wrapText="1"/>
    </xf>
    <xf numFmtId="165" fontId="47" fillId="0" borderId="10" xfId="54" applyNumberFormat="1" applyFont="1" applyBorder="1" applyAlignment="1">
      <alignment vertical="center" wrapText="1"/>
    </xf>
    <xf numFmtId="165" fontId="47" fillId="0" borderId="35" xfId="54" applyNumberFormat="1" applyFont="1" applyBorder="1" applyAlignment="1">
      <alignment vertical="center" wrapText="1"/>
    </xf>
    <xf numFmtId="9" fontId="1" fillId="0" borderId="0" xfId="55" applyFont="1" applyAlignment="1">
      <alignment vertical="center"/>
    </xf>
    <xf numFmtId="9" fontId="28" fillId="0" borderId="34" xfId="55" applyFont="1" applyBorder="1" applyAlignment="1">
      <alignment vertical="center" wrapText="1"/>
    </xf>
    <xf numFmtId="9" fontId="28" fillId="0" borderId="10" xfId="55" applyFont="1" applyBorder="1" applyAlignment="1">
      <alignment vertical="center" wrapText="1"/>
    </xf>
    <xf numFmtId="9" fontId="28" fillId="0" borderId="35" xfId="55" applyFont="1" applyBorder="1" applyAlignment="1">
      <alignment vertical="center" wrapText="1"/>
    </xf>
    <xf numFmtId="9" fontId="47" fillId="0" borderId="34" xfId="55" applyFont="1" applyBorder="1" applyAlignment="1">
      <alignment vertical="center" wrapText="1"/>
    </xf>
    <xf numFmtId="0" fontId="26" fillId="0" borderId="34" xfId="0" applyFont="1" applyFill="1" applyBorder="1" applyAlignment="1">
      <alignment horizontal="right" vertical="center" wrapText="1"/>
    </xf>
    <xf numFmtId="165" fontId="26" fillId="0" borderId="34" xfId="54" applyNumberFormat="1" applyFont="1" applyBorder="1"/>
    <xf numFmtId="1" fontId="26" fillId="0" borderId="34" xfId="54" applyNumberFormat="1" applyFont="1" applyBorder="1"/>
    <xf numFmtId="1" fontId="26" fillId="0" borderId="34" xfId="54" applyNumberFormat="1" applyFont="1" applyBorder="1" applyAlignment="1">
      <alignment vertical="center" wrapText="1"/>
    </xf>
    <xf numFmtId="165" fontId="26" fillId="0" borderId="34" xfId="54" applyNumberFormat="1" applyFont="1" applyFill="1" applyBorder="1" applyAlignment="1" applyProtection="1">
      <alignment horizontal="right" vertical="center" wrapText="1"/>
      <protection locked="0"/>
    </xf>
    <xf numFmtId="1" fontId="26" fillId="0" borderId="34" xfId="0" applyNumberFormat="1" applyFont="1" applyBorder="1" applyAlignment="1">
      <alignment wrapText="1"/>
    </xf>
    <xf numFmtId="165" fontId="26" fillId="0" borderId="34" xfId="54" applyNumberFormat="1" applyFont="1" applyFill="1" applyBorder="1" applyAlignment="1" applyProtection="1">
      <alignment horizontal="right" vertical="center"/>
      <protection locked="0"/>
    </xf>
    <xf numFmtId="9" fontId="26" fillId="0" borderId="10" xfId="55" applyFont="1" applyBorder="1" applyAlignment="1">
      <alignment vertical="center"/>
    </xf>
    <xf numFmtId="165" fontId="26" fillId="0" borderId="10" xfId="54" applyNumberFormat="1" applyFont="1" applyBorder="1" applyAlignment="1">
      <alignment horizontal="right" vertical="center"/>
    </xf>
    <xf numFmtId="166" fontId="26" fillId="0" borderId="34" xfId="0" applyNumberFormat="1" applyFont="1" applyBorder="1" applyAlignment="1">
      <alignment vertical="center" wrapText="1"/>
    </xf>
    <xf numFmtId="165" fontId="26" fillId="0" borderId="38" xfId="0" applyNumberFormat="1" applyFont="1" applyFill="1" applyBorder="1"/>
    <xf numFmtId="0" fontId="26" fillId="0" borderId="47" xfId="0" applyFont="1" applyBorder="1" applyAlignment="1">
      <alignment vertical="center" wrapText="1"/>
    </xf>
    <xf numFmtId="165" fontId="26" fillId="0" borderId="34" xfId="54" applyNumberFormat="1" applyFont="1" applyFill="1" applyBorder="1" applyAlignment="1" applyProtection="1">
      <alignment horizontal="center" vertical="center" wrapText="1"/>
      <protection locked="0"/>
    </xf>
    <xf numFmtId="165" fontId="26" fillId="0" borderId="34" xfId="54" applyNumberFormat="1" applyFont="1" applyFill="1" applyBorder="1" applyAlignment="1" applyProtection="1">
      <alignment horizontal="center" vertical="center"/>
      <protection locked="0"/>
    </xf>
    <xf numFmtId="0" fontId="26" fillId="0" borderId="34" xfId="0" applyFont="1" applyBorder="1" applyAlignment="1">
      <alignment wrapText="1"/>
    </xf>
    <xf numFmtId="0" fontId="1" fillId="0" borderId="19" xfId="0" applyFont="1" applyFill="1" applyBorder="1"/>
    <xf numFmtId="0" fontId="27" fillId="23" borderId="48" xfId="1" applyFont="1" applyFill="1" applyBorder="1" applyAlignment="1">
      <alignment horizontal="left" vertical="center" wrapText="1"/>
    </xf>
    <xf numFmtId="0" fontId="1" fillId="0" borderId="38" xfId="0" applyFont="1" applyBorder="1"/>
    <xf numFmtId="0" fontId="1" fillId="0" borderId="0" xfId="0" applyFont="1" applyBorder="1"/>
    <xf numFmtId="0" fontId="1" fillId="0" borderId="39" xfId="0" applyFont="1" applyBorder="1"/>
    <xf numFmtId="165" fontId="28" fillId="27" borderId="34" xfId="54" applyNumberFormat="1" applyFont="1" applyFill="1" applyBorder="1" applyAlignment="1">
      <alignment vertical="center" wrapText="1"/>
    </xf>
    <xf numFmtId="1" fontId="28" fillId="27" borderId="35" xfId="0" applyNumberFormat="1" applyFont="1" applyFill="1" applyBorder="1" applyAlignment="1">
      <alignment vertical="center" wrapText="1"/>
    </xf>
    <xf numFmtId="0" fontId="26" fillId="0" borderId="48" xfId="0" applyFont="1" applyBorder="1" applyAlignment="1">
      <alignment vertical="center" wrapText="1"/>
    </xf>
    <xf numFmtId="0" fontId="26" fillId="0" borderId="49" xfId="0" applyFont="1" applyBorder="1" applyAlignment="1">
      <alignment vertical="center" wrapText="1"/>
    </xf>
    <xf numFmtId="9" fontId="28" fillId="27" borderId="35" xfId="55" applyFont="1" applyFill="1" applyBorder="1" applyAlignment="1">
      <alignment vertical="center" wrapText="1"/>
    </xf>
    <xf numFmtId="165" fontId="26" fillId="0" borderId="48" xfId="54" applyNumberFormat="1" applyFont="1" applyBorder="1" applyAlignment="1">
      <alignment vertical="center" wrapText="1"/>
    </xf>
    <xf numFmtId="9" fontId="26" fillId="0" borderId="50" xfId="55" applyFont="1" applyBorder="1" applyAlignment="1">
      <alignment vertical="center" wrapText="1"/>
    </xf>
    <xf numFmtId="9" fontId="28" fillId="27" borderId="34" xfId="55" applyFont="1" applyFill="1" applyBorder="1" applyAlignment="1">
      <alignment vertical="center" wrapText="1"/>
    </xf>
    <xf numFmtId="0" fontId="26" fillId="0" borderId="38" xfId="0" applyFont="1" applyFill="1" applyBorder="1" applyAlignment="1">
      <alignment vertical="center" wrapText="1"/>
    </xf>
    <xf numFmtId="0" fontId="26" fillId="0" borderId="39" xfId="0" applyFont="1" applyFill="1" applyBorder="1" applyAlignment="1">
      <alignment vertical="center" wrapText="1"/>
    </xf>
    <xf numFmtId="9" fontId="26" fillId="0" borderId="35" xfId="55" applyNumberFormat="1" applyFont="1" applyBorder="1" applyAlignment="1">
      <alignment vertical="center" wrapText="1"/>
    </xf>
    <xf numFmtId="10" fontId="26" fillId="0" borderId="34" xfId="0" applyNumberFormat="1" applyFont="1" applyBorder="1" applyAlignment="1">
      <alignment vertical="center" wrapText="1"/>
    </xf>
    <xf numFmtId="0" fontId="38" fillId="0" borderId="35" xfId="0" applyFont="1" applyBorder="1" applyAlignment="1">
      <alignment vertical="center" wrapText="1"/>
    </xf>
    <xf numFmtId="43" fontId="26" fillId="0" borderId="34" xfId="54" applyNumberFormat="1" applyFont="1" applyBorder="1" applyAlignment="1">
      <alignment vertical="center" wrapText="1"/>
    </xf>
    <xf numFmtId="0" fontId="28" fillId="0" borderId="35" xfId="0" applyFont="1" applyBorder="1" applyAlignment="1">
      <alignment vertical="center" wrapText="1"/>
    </xf>
    <xf numFmtId="0" fontId="28" fillId="0" borderId="45" xfId="0" applyFont="1" applyBorder="1" applyAlignment="1">
      <alignment vertical="center" wrapText="1"/>
    </xf>
    <xf numFmtId="0" fontId="28" fillId="0" borderId="46" xfId="0" applyFont="1" applyBorder="1" applyAlignment="1">
      <alignment vertical="center" wrapText="1"/>
    </xf>
    <xf numFmtId="0" fontId="48" fillId="0" borderId="0" xfId="0" applyFont="1"/>
    <xf numFmtId="0" fontId="37" fillId="0" borderId="0" xfId="0" applyFont="1" applyAlignment="1">
      <alignment horizontal="center"/>
    </xf>
    <xf numFmtId="0" fontId="0" fillId="0" borderId="10" xfId="0" applyBorder="1"/>
    <xf numFmtId="165" fontId="49" fillId="0" borderId="10" xfId="54" applyNumberFormat="1" applyFont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0" fontId="28" fillId="30" borderId="10" xfId="0" applyFont="1" applyFill="1" applyBorder="1" applyAlignment="1">
      <alignment horizontal="left" vertical="center" wrapText="1"/>
    </xf>
    <xf numFmtId="0" fontId="28" fillId="30" borderId="10" xfId="0" applyFont="1" applyFill="1" applyBorder="1" applyAlignment="1">
      <alignment vertical="center" wrapText="1"/>
    </xf>
    <xf numFmtId="0" fontId="26" fillId="30" borderId="10" xfId="0" applyFont="1" applyFill="1" applyBorder="1" applyAlignment="1">
      <alignment vertical="center" wrapText="1"/>
    </xf>
    <xf numFmtId="0" fontId="26" fillId="30" borderId="0" xfId="0" applyFont="1" applyFill="1" applyBorder="1" applyAlignment="1">
      <alignment vertical="center" wrapText="1"/>
    </xf>
    <xf numFmtId="165" fontId="28" fillId="30" borderId="34" xfId="54" applyNumberFormat="1" applyFont="1" applyFill="1" applyBorder="1" applyAlignment="1">
      <alignment vertical="center" wrapText="1"/>
    </xf>
    <xf numFmtId="165" fontId="28" fillId="30" borderId="10" xfId="54" applyNumberFormat="1" applyFont="1" applyFill="1" applyBorder="1" applyAlignment="1">
      <alignment vertical="center" wrapText="1"/>
    </xf>
    <xf numFmtId="165" fontId="28" fillId="30" borderId="35" xfId="54" applyNumberFormat="1" applyFont="1" applyFill="1" applyBorder="1" applyAlignment="1">
      <alignment vertical="center" wrapText="1"/>
    </xf>
    <xf numFmtId="165" fontId="26" fillId="30" borderId="10" xfId="54" applyNumberFormat="1" applyFont="1" applyFill="1" applyBorder="1" applyAlignment="1">
      <alignment vertical="center" wrapText="1"/>
    </xf>
    <xf numFmtId="165" fontId="26" fillId="30" borderId="35" xfId="54" applyNumberFormat="1" applyFont="1" applyFill="1" applyBorder="1" applyAlignment="1">
      <alignment vertical="center" wrapText="1"/>
    </xf>
    <xf numFmtId="165" fontId="26" fillId="30" borderId="34" xfId="54" applyNumberFormat="1" applyFont="1" applyFill="1" applyBorder="1" applyAlignment="1">
      <alignment vertical="center" wrapText="1"/>
    </xf>
    <xf numFmtId="0" fontId="48" fillId="0" borderId="10" xfId="0" applyFont="1" applyBorder="1"/>
    <xf numFmtId="165" fontId="26" fillId="30" borderId="47" xfId="54" applyNumberFormat="1" applyFont="1" applyFill="1" applyBorder="1" applyAlignment="1">
      <alignment vertical="center" wrapText="1"/>
    </xf>
    <xf numFmtId="0" fontId="1" fillId="30" borderId="0" xfId="0" applyFont="1" applyFill="1" applyAlignment="1">
      <alignment vertical="center"/>
    </xf>
    <xf numFmtId="9" fontId="26" fillId="30" borderId="34" xfId="55" applyFont="1" applyFill="1" applyBorder="1" applyAlignment="1">
      <alignment vertical="center" wrapText="1"/>
    </xf>
    <xf numFmtId="9" fontId="26" fillId="30" borderId="47" xfId="55" applyFont="1" applyFill="1" applyBorder="1" applyAlignment="1">
      <alignment vertical="center" wrapText="1"/>
    </xf>
    <xf numFmtId="9" fontId="26" fillId="30" borderId="10" xfId="55" applyFont="1" applyFill="1" applyBorder="1" applyAlignment="1">
      <alignment vertical="center" wrapText="1"/>
    </xf>
    <xf numFmtId="9" fontId="26" fillId="30" borderId="35" xfId="55" applyFont="1" applyFill="1" applyBorder="1" applyAlignment="1">
      <alignment vertical="center" wrapText="1"/>
    </xf>
    <xf numFmtId="9" fontId="45" fillId="30" borderId="34" xfId="55" applyFont="1" applyFill="1" applyBorder="1" applyAlignment="1">
      <alignment vertical="center" wrapText="1"/>
    </xf>
    <xf numFmtId="9" fontId="45" fillId="30" borderId="10" xfId="55" applyFont="1" applyFill="1" applyBorder="1" applyAlignment="1">
      <alignment vertical="center" wrapText="1"/>
    </xf>
    <xf numFmtId="9" fontId="45" fillId="30" borderId="35" xfId="55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5" fontId="28" fillId="27" borderId="10" xfId="0" applyNumberFormat="1" applyFont="1" applyFill="1" applyBorder="1" applyAlignment="1">
      <alignment vertical="center" wrapText="1"/>
    </xf>
    <xf numFmtId="0" fontId="28" fillId="30" borderId="26" xfId="54" applyNumberFormat="1" applyFont="1" applyFill="1" applyBorder="1" applyAlignment="1">
      <alignment vertical="center" wrapText="1"/>
    </xf>
    <xf numFmtId="0" fontId="0" fillId="0" borderId="0" xfId="0" applyFont="1" applyBorder="1"/>
    <xf numFmtId="9" fontId="45" fillId="0" borderId="35" xfId="55" applyFont="1" applyFill="1" applyBorder="1" applyAlignment="1">
      <alignment vertical="center" wrapText="1"/>
    </xf>
    <xf numFmtId="9" fontId="0" fillId="0" borderId="34" xfId="55" applyNumberFormat="1" applyFont="1" applyFill="1" applyBorder="1"/>
    <xf numFmtId="165" fontId="1" fillId="0" borderId="0" xfId="0" applyNumberFormat="1" applyFont="1"/>
    <xf numFmtId="0" fontId="0" fillId="0" borderId="34" xfId="0" applyBorder="1"/>
    <xf numFmtId="10" fontId="26" fillId="0" borderId="10" xfId="0" applyNumberFormat="1" applyFont="1" applyBorder="1"/>
    <xf numFmtId="165" fontId="38" fillId="0" borderId="10" xfId="54" applyNumberFormat="1" applyFont="1" applyFill="1" applyBorder="1" applyAlignment="1">
      <alignment vertical="center" wrapText="1"/>
    </xf>
    <xf numFmtId="165" fontId="38" fillId="0" borderId="34" xfId="54" applyNumberFormat="1" applyFont="1" applyFill="1" applyBorder="1" applyAlignment="1">
      <alignment vertical="center" wrapText="1"/>
    </xf>
    <xf numFmtId="43" fontId="26" fillId="0" borderId="10" xfId="54" applyNumberFormat="1" applyFont="1" applyFill="1" applyBorder="1" applyAlignment="1">
      <alignment vertical="center" wrapText="1"/>
    </xf>
    <xf numFmtId="165" fontId="26" fillId="0" borderId="19" xfId="54" applyNumberFormat="1" applyFont="1" applyBorder="1" applyAlignment="1">
      <alignment vertical="center" wrapText="1"/>
    </xf>
    <xf numFmtId="9" fontId="28" fillId="27" borderId="34" xfId="0" applyNumberFormat="1" applyFont="1" applyFill="1" applyBorder="1" applyAlignment="1">
      <alignment vertical="center" wrapText="1"/>
    </xf>
    <xf numFmtId="165" fontId="28" fillId="30" borderId="26" xfId="54" applyNumberFormat="1" applyFont="1" applyFill="1" applyBorder="1" applyAlignment="1">
      <alignment vertical="center" wrapText="1"/>
    </xf>
    <xf numFmtId="0" fontId="0" fillId="0" borderId="0" xfId="54" applyNumberFormat="1" applyFont="1" applyBorder="1" applyAlignment="1"/>
    <xf numFmtId="0" fontId="0" fillId="0" borderId="0" xfId="0" applyFont="1" applyBorder="1" applyAlignment="1"/>
    <xf numFmtId="0" fontId="50" fillId="33" borderId="0" xfId="0" applyFont="1" applyFill="1" applyBorder="1" applyAlignment="1">
      <alignment horizontal="right" vertical="center"/>
    </xf>
    <xf numFmtId="0" fontId="50" fillId="33" borderId="0" xfId="0" applyFont="1" applyFill="1" applyBorder="1" applyAlignment="1">
      <alignment horizontal="left" vertical="center"/>
    </xf>
    <xf numFmtId="165" fontId="28" fillId="0" borderId="34" xfId="54" applyNumberFormat="1" applyFont="1" applyBorder="1" applyAlignment="1">
      <alignment vertical="center" wrapText="1"/>
    </xf>
    <xf numFmtId="165" fontId="0" fillId="0" borderId="22" xfId="54" applyNumberFormat="1" applyFont="1" applyBorder="1"/>
    <xf numFmtId="9" fontId="47" fillId="0" borderId="10" xfId="55" applyFont="1" applyBorder="1" applyAlignment="1">
      <alignment vertical="center" wrapText="1"/>
    </xf>
    <xf numFmtId="0" fontId="51" fillId="35" borderId="15" xfId="1" applyFont="1" applyFill="1" applyBorder="1" applyAlignment="1">
      <alignment horizontal="left" vertical="center" wrapText="1"/>
    </xf>
    <xf numFmtId="0" fontId="50" fillId="33" borderId="10" xfId="0" applyFont="1" applyFill="1" applyBorder="1" applyAlignment="1">
      <alignment horizontal="left"/>
    </xf>
    <xf numFmtId="10" fontId="26" fillId="0" borderId="34" xfId="0" applyNumberFormat="1" applyFont="1" applyFill="1" applyBorder="1" applyAlignment="1">
      <alignment vertical="center" wrapText="1"/>
    </xf>
    <xf numFmtId="0" fontId="43" fillId="22" borderId="28" xfId="1" applyFont="1" applyFill="1" applyBorder="1" applyAlignment="1">
      <alignment horizontal="center" vertical="center" wrapText="1"/>
    </xf>
    <xf numFmtId="0" fontId="43" fillId="22" borderId="29" xfId="1" applyFont="1" applyFill="1" applyBorder="1" applyAlignment="1">
      <alignment horizontal="center" vertical="center" wrapText="1"/>
    </xf>
    <xf numFmtId="0" fontId="43" fillId="22" borderId="30" xfId="1" applyFont="1" applyFill="1" applyBorder="1" applyAlignment="1">
      <alignment horizontal="center" vertical="center" wrapText="1"/>
    </xf>
    <xf numFmtId="0" fontId="43" fillId="22" borderId="0" xfId="1" applyFont="1" applyFill="1" applyAlignment="1">
      <alignment horizontal="center" vertical="center" wrapText="1"/>
    </xf>
    <xf numFmtId="0" fontId="28" fillId="24" borderId="16" xfId="0" applyFont="1" applyFill="1" applyBorder="1" applyAlignment="1">
      <alignment horizontal="left" vertical="center" wrapText="1"/>
    </xf>
    <xf numFmtId="0" fontId="28" fillId="24" borderId="23" xfId="0" applyFont="1" applyFill="1" applyBorder="1" applyAlignment="1">
      <alignment horizontal="left" vertical="center" wrapText="1"/>
    </xf>
    <xf numFmtId="0" fontId="28" fillId="24" borderId="21" xfId="0" applyFont="1" applyFill="1" applyBorder="1" applyAlignment="1">
      <alignment horizontal="left" vertical="center" wrapText="1"/>
    </xf>
    <xf numFmtId="0" fontId="28" fillId="28" borderId="16" xfId="0" applyFont="1" applyFill="1" applyBorder="1" applyAlignment="1">
      <alignment horizontal="left" vertical="center" wrapText="1"/>
    </xf>
    <xf numFmtId="0" fontId="28" fillId="28" borderId="23" xfId="0" applyFont="1" applyFill="1" applyBorder="1" applyAlignment="1">
      <alignment horizontal="left" vertical="center" wrapText="1"/>
    </xf>
    <xf numFmtId="0" fontId="28" fillId="28" borderId="21" xfId="0" applyFont="1" applyFill="1" applyBorder="1" applyAlignment="1">
      <alignment horizontal="left" vertical="center" wrapText="1"/>
    </xf>
    <xf numFmtId="0" fontId="29" fillId="22" borderId="0" xfId="1" applyFont="1" applyFill="1" applyAlignment="1">
      <alignment horizontal="center" vertical="center" wrapText="1"/>
    </xf>
    <xf numFmtId="0" fontId="31" fillId="24" borderId="10" xfId="1" applyFont="1" applyFill="1" applyBorder="1" applyAlignment="1">
      <alignment horizontal="left" vertical="center"/>
    </xf>
    <xf numFmtId="0" fontId="28" fillId="27" borderId="16" xfId="0" applyFont="1" applyFill="1" applyBorder="1" applyAlignment="1">
      <alignment horizontal="left" vertical="center" wrapText="1"/>
    </xf>
    <xf numFmtId="0" fontId="28" fillId="27" borderId="23" xfId="0" applyFont="1" applyFill="1" applyBorder="1" applyAlignment="1">
      <alignment horizontal="left" vertical="center" wrapText="1"/>
    </xf>
    <xf numFmtId="0" fontId="28" fillId="27" borderId="10" xfId="0" applyFont="1" applyFill="1" applyBorder="1" applyAlignment="1">
      <alignment horizontal="left" vertical="center" wrapText="1"/>
    </xf>
    <xf numFmtId="0" fontId="28" fillId="24" borderId="10" xfId="0" applyFont="1" applyFill="1" applyBorder="1" applyAlignment="1">
      <alignment horizontal="left" vertical="center" wrapText="1"/>
    </xf>
    <xf numFmtId="0" fontId="28" fillId="27" borderId="11" xfId="0" applyFont="1" applyFill="1" applyBorder="1" applyAlignment="1">
      <alignment horizontal="left" vertical="center" wrapText="1"/>
    </xf>
    <xf numFmtId="0" fontId="28" fillId="27" borderId="12" xfId="0" applyFont="1" applyFill="1" applyBorder="1" applyAlignment="1">
      <alignment horizontal="left" vertical="center" wrapText="1"/>
    </xf>
    <xf numFmtId="0" fontId="28" fillId="27" borderId="22" xfId="0" applyFont="1" applyFill="1" applyBorder="1" applyAlignment="1">
      <alignment horizontal="left" vertical="center" wrapText="1"/>
    </xf>
    <xf numFmtId="0" fontId="28" fillId="27" borderId="18" xfId="0" applyFont="1" applyFill="1" applyBorder="1" applyAlignment="1">
      <alignment horizontal="left" vertical="center" wrapText="1"/>
    </xf>
    <xf numFmtId="0" fontId="28" fillId="27" borderId="13" xfId="0" applyFont="1" applyFill="1" applyBorder="1" applyAlignment="1">
      <alignment horizontal="left" vertical="center" wrapText="1"/>
    </xf>
    <xf numFmtId="0" fontId="28" fillId="27" borderId="14" xfId="0" applyFont="1" applyFill="1" applyBorder="1" applyAlignment="1">
      <alignment horizontal="left" vertical="center" wrapText="1"/>
    </xf>
    <xf numFmtId="0" fontId="31" fillId="27" borderId="11" xfId="1" applyFont="1" applyFill="1" applyBorder="1" applyAlignment="1">
      <alignment horizontal="left" vertical="center" wrapText="1"/>
    </xf>
    <xf numFmtId="0" fontId="31" fillId="27" borderId="12" xfId="1" applyFont="1" applyFill="1" applyBorder="1" applyAlignment="1">
      <alignment horizontal="left" vertical="center" wrapText="1"/>
    </xf>
    <xf numFmtId="0" fontId="31" fillId="27" borderId="22" xfId="1" applyFont="1" applyFill="1" applyBorder="1" applyAlignment="1">
      <alignment horizontal="left" vertical="center" wrapText="1"/>
    </xf>
    <xf numFmtId="0" fontId="31" fillId="27" borderId="18" xfId="1" applyFont="1" applyFill="1" applyBorder="1" applyAlignment="1">
      <alignment horizontal="left" vertical="center" wrapText="1"/>
    </xf>
    <xf numFmtId="0" fontId="31" fillId="27" borderId="13" xfId="1" applyFont="1" applyFill="1" applyBorder="1" applyAlignment="1">
      <alignment horizontal="left" vertical="center" wrapText="1"/>
    </xf>
    <xf numFmtId="0" fontId="31" fillId="27" borderId="14" xfId="1" applyFont="1" applyFill="1" applyBorder="1" applyAlignment="1">
      <alignment horizontal="left" vertical="center" wrapText="1"/>
    </xf>
    <xf numFmtId="0" fontId="28" fillId="27" borderId="21" xfId="0" applyFont="1" applyFill="1" applyBorder="1" applyAlignment="1">
      <alignment horizontal="left" vertical="center" wrapText="1"/>
    </xf>
    <xf numFmtId="0" fontId="28" fillId="24" borderId="19" xfId="0" applyFont="1" applyFill="1" applyBorder="1" applyAlignment="1">
      <alignment horizontal="left" wrapText="1"/>
    </xf>
    <xf numFmtId="0" fontId="28" fillId="24" borderId="20" xfId="0" applyFont="1" applyFill="1" applyBorder="1" applyAlignment="1">
      <alignment horizontal="left" wrapText="1"/>
    </xf>
    <xf numFmtId="0" fontId="31" fillId="27" borderId="10" xfId="1" applyFont="1" applyFill="1" applyBorder="1" applyAlignment="1">
      <alignment horizontal="left" vertical="center" wrapText="1"/>
    </xf>
    <xf numFmtId="0" fontId="31" fillId="25" borderId="16" xfId="1" applyFont="1" applyFill="1" applyBorder="1" applyAlignment="1">
      <alignment horizontal="left" vertical="center" wrapText="1"/>
    </xf>
    <xf numFmtId="0" fontId="31" fillId="25" borderId="23" xfId="1" applyFont="1" applyFill="1" applyBorder="1" applyAlignment="1">
      <alignment horizontal="left" vertical="center" wrapText="1"/>
    </xf>
    <xf numFmtId="0" fontId="31" fillId="25" borderId="21" xfId="1" applyFont="1" applyFill="1" applyBorder="1" applyAlignment="1">
      <alignment horizontal="left" vertical="center" wrapText="1"/>
    </xf>
    <xf numFmtId="0" fontId="31" fillId="25" borderId="10" xfId="1" applyFont="1" applyFill="1" applyBorder="1" applyAlignment="1">
      <alignment horizontal="left" vertical="center"/>
    </xf>
    <xf numFmtId="0" fontId="31" fillId="24" borderId="10" xfId="1" applyFont="1" applyFill="1" applyBorder="1" applyAlignment="1">
      <alignment horizontal="left" vertical="center" wrapText="1"/>
    </xf>
    <xf numFmtId="0" fontId="31" fillId="27" borderId="10" xfId="1" applyFont="1" applyFill="1" applyBorder="1" applyAlignment="1">
      <alignment horizontal="left" vertical="center"/>
    </xf>
    <xf numFmtId="0" fontId="28" fillId="24" borderId="11" xfId="0" applyFont="1" applyFill="1" applyBorder="1" applyAlignment="1">
      <alignment horizontal="left" vertical="center" wrapText="1"/>
    </xf>
    <xf numFmtId="0" fontId="28" fillId="24" borderId="12" xfId="0" applyFont="1" applyFill="1" applyBorder="1" applyAlignment="1">
      <alignment horizontal="left" vertical="center" wrapText="1"/>
    </xf>
    <xf numFmtId="0" fontId="28" fillId="24" borderId="22" xfId="0" applyFont="1" applyFill="1" applyBorder="1" applyAlignment="1">
      <alignment horizontal="left" vertical="center" wrapText="1"/>
    </xf>
    <xf numFmtId="0" fontId="28" fillId="24" borderId="18" xfId="0" applyFont="1" applyFill="1" applyBorder="1" applyAlignment="1">
      <alignment horizontal="left" vertical="center" wrapText="1"/>
    </xf>
    <xf numFmtId="0" fontId="28" fillId="24" borderId="13" xfId="0" applyFont="1" applyFill="1" applyBorder="1" applyAlignment="1">
      <alignment horizontal="left" vertical="center" wrapText="1"/>
    </xf>
    <xf numFmtId="0" fontId="28" fillId="24" borderId="14" xfId="0" applyFont="1" applyFill="1" applyBorder="1" applyAlignment="1">
      <alignment horizontal="left" vertical="center" wrapText="1"/>
    </xf>
    <xf numFmtId="0" fontId="31" fillId="28" borderId="20" xfId="1" applyFont="1" applyFill="1" applyBorder="1" applyAlignment="1">
      <alignment horizontal="left" vertical="center"/>
    </xf>
    <xf numFmtId="0" fontId="31" fillId="28" borderId="12" xfId="1" applyFont="1" applyFill="1" applyBorder="1" applyAlignment="1">
      <alignment horizontal="left" vertical="center"/>
    </xf>
    <xf numFmtId="0" fontId="31" fillId="28" borderId="14" xfId="1" applyFont="1" applyFill="1" applyBorder="1" applyAlignment="1">
      <alignment horizontal="left" vertical="center"/>
    </xf>
    <xf numFmtId="0" fontId="31" fillId="28" borderId="12" xfId="1" applyFont="1" applyFill="1" applyBorder="1" applyAlignment="1">
      <alignment horizontal="left" vertical="center" wrapText="1"/>
    </xf>
    <xf numFmtId="0" fontId="31" fillId="28" borderId="18" xfId="1" applyFont="1" applyFill="1" applyBorder="1" applyAlignment="1">
      <alignment horizontal="left" vertical="center" wrapText="1"/>
    </xf>
    <xf numFmtId="0" fontId="28" fillId="24" borderId="10" xfId="0" applyFont="1" applyFill="1" applyBorder="1" applyAlignment="1">
      <alignment horizontal="left" vertical="center"/>
    </xf>
    <xf numFmtId="0" fontId="28" fillId="24" borderId="19" xfId="0" applyFont="1" applyFill="1" applyBorder="1" applyAlignment="1">
      <alignment horizontal="left" vertical="center" wrapText="1"/>
    </xf>
    <xf numFmtId="0" fontId="28" fillId="24" borderId="20" xfId="0" applyFont="1" applyFill="1" applyBorder="1" applyAlignment="1">
      <alignment horizontal="left" vertical="center" wrapText="1"/>
    </xf>
    <xf numFmtId="0" fontId="28" fillId="24" borderId="11" xfId="0" applyFont="1" applyFill="1" applyBorder="1" applyAlignment="1">
      <alignment horizontal="left" vertical="center"/>
    </xf>
    <xf numFmtId="0" fontId="28" fillId="24" borderId="12" xfId="0" applyFont="1" applyFill="1" applyBorder="1" applyAlignment="1">
      <alignment horizontal="left" vertical="center"/>
    </xf>
    <xf numFmtId="0" fontId="28" fillId="24" borderId="13" xfId="0" applyFont="1" applyFill="1" applyBorder="1" applyAlignment="1">
      <alignment horizontal="left" vertical="center"/>
    </xf>
    <xf numFmtId="0" fontId="28" fillId="24" borderId="14" xfId="0" applyFont="1" applyFill="1" applyBorder="1" applyAlignment="1">
      <alignment horizontal="left" vertical="center"/>
    </xf>
    <xf numFmtId="0" fontId="28" fillId="27" borderId="10" xfId="0" applyFont="1" applyFill="1" applyBorder="1" applyAlignment="1">
      <alignment horizontal="left" vertical="center"/>
    </xf>
    <xf numFmtId="0" fontId="37" fillId="0" borderId="19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</cellXfs>
  <cellStyles count="56">
    <cellStyle name="_CPU_Approach Paper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54" builtinId="3"/>
    <cellStyle name="Comma 2" xfId="30"/>
    <cellStyle name="Comma 3" xfId="53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3" xfId="41"/>
    <cellStyle name="Normal 3 2" xfId="52"/>
    <cellStyle name="Normal 4" xfId="1"/>
    <cellStyle name="Normal_WEP_TREE" xfId="42"/>
    <cellStyle name="Normal-Big" xfId="43"/>
    <cellStyle name="Note 2" xfId="44"/>
    <cellStyle name="Output 2" xfId="45"/>
    <cellStyle name="Percent" xfId="55" builtinId="5"/>
    <cellStyle name="Percent 2" xfId="47"/>
    <cellStyle name="Percent 3" xfId="46"/>
    <cellStyle name="Style 1" xfId="48"/>
    <cellStyle name="Title 2" xfId="49"/>
    <cellStyle name="Total 2" xfId="50"/>
    <cellStyle name="Warning Text 2" xfId="51"/>
  </cellStyles>
  <dxfs count="0"/>
  <tableStyles count="0" defaultTableStyle="TableStyleMedium9" defaultPivotStyle="PivotStyleLight16"/>
  <colors>
    <mruColors>
      <color rgb="FFCCFF99"/>
      <color rgb="FFCCCCFF"/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9524</xdr:rowOff>
    </xdr:from>
    <xdr:to>
      <xdr:col>2</xdr:col>
      <xdr:colOff>295275</xdr:colOff>
      <xdr:row>13</xdr:row>
      <xdr:rowOff>161924</xdr:rowOff>
    </xdr:to>
    <xdr:sp macro="" textlink="">
      <xdr:nvSpPr>
        <xdr:cNvPr id="2" name="Rectangle 1"/>
        <xdr:cNvSpPr/>
      </xdr:nvSpPr>
      <xdr:spPr>
        <a:xfrm>
          <a:off x="104775" y="390524"/>
          <a:ext cx="1409700" cy="14001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FINANCIAL</a:t>
          </a:r>
        </a:p>
      </xdr:txBody>
    </xdr:sp>
    <xdr:clientData/>
  </xdr:twoCellAnchor>
  <xdr:twoCellAnchor>
    <xdr:from>
      <xdr:col>2</xdr:col>
      <xdr:colOff>609599</xdr:colOff>
      <xdr:row>6</xdr:row>
      <xdr:rowOff>95250</xdr:rowOff>
    </xdr:from>
    <xdr:to>
      <xdr:col>10</xdr:col>
      <xdr:colOff>371475</xdr:colOff>
      <xdr:row>9</xdr:row>
      <xdr:rowOff>66675</xdr:rowOff>
    </xdr:to>
    <xdr:sp macro="" textlink="">
      <xdr:nvSpPr>
        <xdr:cNvPr id="3" name="Rectangle 2"/>
        <xdr:cNvSpPr/>
      </xdr:nvSpPr>
      <xdr:spPr>
        <a:xfrm>
          <a:off x="1828799" y="476250"/>
          <a:ext cx="4638676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50" b="1"/>
            <a:t>Total Realized Collection</a:t>
          </a:r>
          <a:r>
            <a:rPr lang="en-IN" sz="1050" b="1" baseline="0"/>
            <a:t> </a:t>
          </a:r>
        </a:p>
        <a:p>
          <a:pPr algn="ctr"/>
          <a:r>
            <a:rPr lang="en-IN" sz="1050" b="1" baseline="0"/>
            <a:t>( quarter on quarter and Y-o-Y differential )</a:t>
          </a:r>
          <a:endParaRPr lang="en-IN" sz="1050" b="1"/>
        </a:p>
      </xdr:txBody>
    </xdr:sp>
    <xdr:clientData/>
  </xdr:twoCellAnchor>
  <xdr:twoCellAnchor>
    <xdr:from>
      <xdr:col>2</xdr:col>
      <xdr:colOff>590550</xdr:colOff>
      <xdr:row>11</xdr:row>
      <xdr:rowOff>85725</xdr:rowOff>
    </xdr:from>
    <xdr:to>
      <xdr:col>5</xdr:col>
      <xdr:colOff>171450</xdr:colOff>
      <xdr:row>13</xdr:row>
      <xdr:rowOff>161925</xdr:rowOff>
    </xdr:to>
    <xdr:sp macro="" textlink="">
      <xdr:nvSpPr>
        <xdr:cNvPr id="4" name="Rectangle 3"/>
        <xdr:cNvSpPr/>
      </xdr:nvSpPr>
      <xdr:spPr>
        <a:xfrm>
          <a:off x="180975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Corpus to Non-Corpus</a:t>
          </a:r>
        </a:p>
      </xdr:txBody>
    </xdr:sp>
    <xdr:clientData/>
  </xdr:twoCellAnchor>
  <xdr:twoCellAnchor>
    <xdr:from>
      <xdr:col>5</xdr:col>
      <xdr:colOff>400050</xdr:colOff>
      <xdr:row>11</xdr:row>
      <xdr:rowOff>85725</xdr:rowOff>
    </xdr:from>
    <xdr:to>
      <xdr:col>7</xdr:col>
      <xdr:colOff>590550</xdr:colOff>
      <xdr:row>13</xdr:row>
      <xdr:rowOff>161925</xdr:rowOff>
    </xdr:to>
    <xdr:sp macro="" textlink="">
      <xdr:nvSpPr>
        <xdr:cNvPr id="5" name="Rectangle 4"/>
        <xdr:cNvSpPr/>
      </xdr:nvSpPr>
      <xdr:spPr>
        <a:xfrm>
          <a:off x="344805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Number</a:t>
          </a:r>
          <a:r>
            <a:rPr lang="en-IN" sz="1000" b="1" baseline="0"/>
            <a:t> of fresh enrolment &amp; value</a:t>
          </a:r>
          <a:endParaRPr lang="en-IN" sz="1000" b="1"/>
        </a:p>
      </xdr:txBody>
    </xdr:sp>
    <xdr:clientData/>
  </xdr:twoCellAnchor>
  <xdr:twoCellAnchor>
    <xdr:from>
      <xdr:col>8</xdr:col>
      <xdr:colOff>190500</xdr:colOff>
      <xdr:row>11</xdr:row>
      <xdr:rowOff>85725</xdr:rowOff>
    </xdr:from>
    <xdr:to>
      <xdr:col>10</xdr:col>
      <xdr:colOff>381000</xdr:colOff>
      <xdr:row>13</xdr:row>
      <xdr:rowOff>161925</xdr:rowOff>
    </xdr:to>
    <xdr:sp macro="" textlink="">
      <xdr:nvSpPr>
        <xdr:cNvPr id="6" name="Rectangle 5"/>
        <xdr:cNvSpPr/>
      </xdr:nvSpPr>
      <xdr:spPr>
        <a:xfrm>
          <a:off x="506730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of Renewals</a:t>
          </a:r>
          <a:r>
            <a:rPr lang="en-IN" sz="1000" b="1" baseline="0"/>
            <a:t> &amp; value</a:t>
          </a:r>
          <a:endParaRPr lang="en-IN" sz="1000" b="1"/>
        </a:p>
      </xdr:txBody>
    </xdr:sp>
    <xdr:clientData/>
  </xdr:twoCellAnchor>
  <xdr:twoCellAnchor>
    <xdr:from>
      <xdr:col>0</xdr:col>
      <xdr:colOff>114300</xdr:colOff>
      <xdr:row>15</xdr:row>
      <xdr:rowOff>19050</xdr:rowOff>
    </xdr:from>
    <xdr:to>
      <xdr:col>2</xdr:col>
      <xdr:colOff>304800</xdr:colOff>
      <xdr:row>20</xdr:row>
      <xdr:rowOff>180975</xdr:rowOff>
    </xdr:to>
    <xdr:sp macro="" textlink="">
      <xdr:nvSpPr>
        <xdr:cNvPr id="7" name="Rectangle 6"/>
        <xdr:cNvSpPr/>
      </xdr:nvSpPr>
      <xdr:spPr>
        <a:xfrm>
          <a:off x="114300" y="2790825"/>
          <a:ext cx="1409700" cy="10477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DONOR, RESOURCE &amp; PORTFOLIO</a:t>
          </a:r>
        </a:p>
      </xdr:txBody>
    </xdr:sp>
    <xdr:clientData/>
  </xdr:twoCellAnchor>
  <xdr:twoCellAnchor>
    <xdr:from>
      <xdr:col>8</xdr:col>
      <xdr:colOff>28574</xdr:colOff>
      <xdr:row>16</xdr:row>
      <xdr:rowOff>190499</xdr:rowOff>
    </xdr:from>
    <xdr:to>
      <xdr:col>10</xdr:col>
      <xdr:colOff>19049</xdr:colOff>
      <xdr:row>20</xdr:row>
      <xdr:rowOff>104774</xdr:rowOff>
    </xdr:to>
    <xdr:sp macro="" textlink="">
      <xdr:nvSpPr>
        <xdr:cNvPr id="8" name="Rectangle 7"/>
        <xdr:cNvSpPr/>
      </xdr:nvSpPr>
      <xdr:spPr>
        <a:xfrm>
          <a:off x="4905374" y="3086099"/>
          <a:ext cx="1209675" cy="67627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Major: Minor Contributors</a:t>
          </a:r>
        </a:p>
      </xdr:txBody>
    </xdr:sp>
    <xdr:clientData/>
  </xdr:twoCellAnchor>
  <xdr:twoCellAnchor>
    <xdr:from>
      <xdr:col>10</xdr:col>
      <xdr:colOff>104775</xdr:colOff>
      <xdr:row>17</xdr:row>
      <xdr:rowOff>0</xdr:rowOff>
    </xdr:from>
    <xdr:to>
      <xdr:col>12</xdr:col>
      <xdr:colOff>66675</xdr:colOff>
      <xdr:row>20</xdr:row>
      <xdr:rowOff>95250</xdr:rowOff>
    </xdr:to>
    <xdr:sp macro="" textlink="">
      <xdr:nvSpPr>
        <xdr:cNvPr id="9" name="Rectangle 8"/>
        <xdr:cNvSpPr/>
      </xdr:nvSpPr>
      <xdr:spPr>
        <a:xfrm>
          <a:off x="6200775" y="3086100"/>
          <a:ext cx="1181100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Attrition Rate</a:t>
          </a:r>
        </a:p>
      </xdr:txBody>
    </xdr:sp>
    <xdr:clientData/>
  </xdr:twoCellAnchor>
  <xdr:twoCellAnchor>
    <xdr:from>
      <xdr:col>12</xdr:col>
      <xdr:colOff>152400</xdr:colOff>
      <xdr:row>17</xdr:row>
      <xdr:rowOff>0</xdr:rowOff>
    </xdr:from>
    <xdr:to>
      <xdr:col>14</xdr:col>
      <xdr:colOff>123825</xdr:colOff>
      <xdr:row>20</xdr:row>
      <xdr:rowOff>95250</xdr:rowOff>
    </xdr:to>
    <xdr:sp macro="" textlink="">
      <xdr:nvSpPr>
        <xdr:cNvPr id="10" name="Rectangle 9"/>
        <xdr:cNvSpPr/>
      </xdr:nvSpPr>
      <xdr:spPr>
        <a:xfrm>
          <a:off x="7467600" y="3086100"/>
          <a:ext cx="1190625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&amp; Value of Upgradation</a:t>
          </a:r>
        </a:p>
      </xdr:txBody>
    </xdr:sp>
    <xdr:clientData/>
  </xdr:twoCellAnchor>
  <xdr:twoCellAnchor>
    <xdr:from>
      <xdr:col>8</xdr:col>
      <xdr:colOff>38100</xdr:colOff>
      <xdr:row>15</xdr:row>
      <xdr:rowOff>19051</xdr:rowOff>
    </xdr:from>
    <xdr:to>
      <xdr:col>14</xdr:col>
      <xdr:colOff>104776</xdr:colOff>
      <xdr:row>16</xdr:row>
      <xdr:rowOff>152400</xdr:rowOff>
    </xdr:to>
    <xdr:sp macro="" textlink="">
      <xdr:nvSpPr>
        <xdr:cNvPr id="14" name="Rectangle 13"/>
        <xdr:cNvSpPr/>
      </xdr:nvSpPr>
      <xdr:spPr>
        <a:xfrm>
          <a:off x="4914900" y="2790826"/>
          <a:ext cx="3724276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Donor Cultivation</a:t>
          </a:r>
        </a:p>
      </xdr:txBody>
    </xdr:sp>
    <xdr:clientData/>
  </xdr:twoCellAnchor>
  <xdr:twoCellAnchor>
    <xdr:from>
      <xdr:col>2</xdr:col>
      <xdr:colOff>590549</xdr:colOff>
      <xdr:row>10</xdr:row>
      <xdr:rowOff>19050</xdr:rowOff>
    </xdr:from>
    <xdr:to>
      <xdr:col>10</xdr:col>
      <xdr:colOff>409574</xdr:colOff>
      <xdr:row>11</xdr:row>
      <xdr:rowOff>38100</xdr:rowOff>
    </xdr:to>
    <xdr:sp macro="" textlink="">
      <xdr:nvSpPr>
        <xdr:cNvPr id="16" name="Rectangle 15"/>
        <xdr:cNvSpPr/>
      </xdr:nvSpPr>
      <xdr:spPr>
        <a:xfrm>
          <a:off x="1809749" y="1076325"/>
          <a:ext cx="4695825" cy="2095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Collection Split</a:t>
          </a:r>
        </a:p>
      </xdr:txBody>
    </xdr:sp>
    <xdr:clientData/>
  </xdr:twoCellAnchor>
  <xdr:twoCellAnchor>
    <xdr:from>
      <xdr:col>0</xdr:col>
      <xdr:colOff>123825</xdr:colOff>
      <xdr:row>22</xdr:row>
      <xdr:rowOff>9525</xdr:rowOff>
    </xdr:from>
    <xdr:to>
      <xdr:col>2</xdr:col>
      <xdr:colOff>314325</xdr:colOff>
      <xdr:row>27</xdr:row>
      <xdr:rowOff>19050</xdr:rowOff>
    </xdr:to>
    <xdr:sp macro="" textlink="">
      <xdr:nvSpPr>
        <xdr:cNvPr id="18" name="Rectangle 17"/>
        <xdr:cNvSpPr/>
      </xdr:nvSpPr>
      <xdr:spPr>
        <a:xfrm>
          <a:off x="123825" y="3048000"/>
          <a:ext cx="1409700" cy="88582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INTERNAL BUSINESS PROCESS</a:t>
          </a:r>
        </a:p>
      </xdr:txBody>
    </xdr:sp>
    <xdr:clientData/>
  </xdr:twoCellAnchor>
  <xdr:twoCellAnchor>
    <xdr:from>
      <xdr:col>3</xdr:col>
      <xdr:colOff>438150</xdr:colOff>
      <xdr:row>24</xdr:row>
      <xdr:rowOff>0</xdr:rowOff>
    </xdr:from>
    <xdr:to>
      <xdr:col>6</xdr:col>
      <xdr:colOff>19050</xdr:colOff>
      <xdr:row>26</xdr:row>
      <xdr:rowOff>76200</xdr:rowOff>
    </xdr:to>
    <xdr:sp macro="" textlink="">
      <xdr:nvSpPr>
        <xdr:cNvPr id="19" name="Rectangle 18"/>
        <xdr:cNvSpPr/>
      </xdr:nvSpPr>
      <xdr:spPr>
        <a:xfrm>
          <a:off x="2266950" y="4295775"/>
          <a:ext cx="140970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Contact</a:t>
          </a:r>
          <a:r>
            <a:rPr lang="en-IN" sz="1000" b="1" baseline="0"/>
            <a:t> Realization to Contact Ratio</a:t>
          </a:r>
          <a:endParaRPr lang="en-IN" sz="1000" b="1"/>
        </a:p>
      </xdr:txBody>
    </xdr:sp>
    <xdr:clientData/>
  </xdr:twoCellAnchor>
  <xdr:twoCellAnchor>
    <xdr:from>
      <xdr:col>7</xdr:col>
      <xdr:colOff>95250</xdr:colOff>
      <xdr:row>23</xdr:row>
      <xdr:rowOff>180975</xdr:rowOff>
    </xdr:from>
    <xdr:to>
      <xdr:col>8</xdr:col>
      <xdr:colOff>381000</xdr:colOff>
      <xdr:row>26</xdr:row>
      <xdr:rowOff>66675</xdr:rowOff>
    </xdr:to>
    <xdr:sp macro="" textlink="">
      <xdr:nvSpPr>
        <xdr:cNvPr id="21" name="Rectangle 20"/>
        <xdr:cNvSpPr/>
      </xdr:nvSpPr>
      <xdr:spPr>
        <a:xfrm>
          <a:off x="4362450" y="4286250"/>
          <a:ext cx="89535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Profiling</a:t>
          </a:r>
        </a:p>
      </xdr:txBody>
    </xdr:sp>
    <xdr:clientData/>
  </xdr:twoCellAnchor>
  <xdr:twoCellAnchor>
    <xdr:from>
      <xdr:col>10</xdr:col>
      <xdr:colOff>323851</xdr:colOff>
      <xdr:row>23</xdr:row>
      <xdr:rowOff>180975</xdr:rowOff>
    </xdr:from>
    <xdr:to>
      <xdr:col>12</xdr:col>
      <xdr:colOff>28575</xdr:colOff>
      <xdr:row>26</xdr:row>
      <xdr:rowOff>66675</xdr:rowOff>
    </xdr:to>
    <xdr:sp macro="" textlink="">
      <xdr:nvSpPr>
        <xdr:cNvPr id="22" name="Rectangle 21"/>
        <xdr:cNvSpPr/>
      </xdr:nvSpPr>
      <xdr:spPr>
        <a:xfrm>
          <a:off x="6419851" y="4286250"/>
          <a:ext cx="923924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Query Handling</a:t>
          </a:r>
        </a:p>
      </xdr:txBody>
    </xdr:sp>
    <xdr:clientData/>
  </xdr:twoCellAnchor>
  <xdr:twoCellAnchor>
    <xdr:from>
      <xdr:col>3</xdr:col>
      <xdr:colOff>9525</xdr:colOff>
      <xdr:row>22</xdr:row>
      <xdr:rowOff>47625</xdr:rowOff>
    </xdr:from>
    <xdr:to>
      <xdr:col>6</xdr:col>
      <xdr:colOff>514350</xdr:colOff>
      <xdr:row>23</xdr:row>
      <xdr:rowOff>152399</xdr:rowOff>
    </xdr:to>
    <xdr:sp macro="" textlink="">
      <xdr:nvSpPr>
        <xdr:cNvPr id="23" name="Rectangle 22"/>
        <xdr:cNvSpPr/>
      </xdr:nvSpPr>
      <xdr:spPr>
        <a:xfrm>
          <a:off x="1838325" y="4038600"/>
          <a:ext cx="2333625" cy="2190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Opportunity Management</a:t>
          </a:r>
        </a:p>
      </xdr:txBody>
    </xdr:sp>
    <xdr:clientData/>
  </xdr:twoCellAnchor>
  <xdr:twoCellAnchor>
    <xdr:from>
      <xdr:col>7</xdr:col>
      <xdr:colOff>19049</xdr:colOff>
      <xdr:row>22</xdr:row>
      <xdr:rowOff>47625</xdr:rowOff>
    </xdr:from>
    <xdr:to>
      <xdr:col>12</xdr:col>
      <xdr:colOff>47624</xdr:colOff>
      <xdr:row>23</xdr:row>
      <xdr:rowOff>142875</xdr:rowOff>
    </xdr:to>
    <xdr:sp macro="" textlink="">
      <xdr:nvSpPr>
        <xdr:cNvPr id="24" name="Rectangle 23"/>
        <xdr:cNvSpPr/>
      </xdr:nvSpPr>
      <xdr:spPr>
        <a:xfrm>
          <a:off x="4286249" y="4038600"/>
          <a:ext cx="3076575" cy="2095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Donor  Management</a:t>
          </a:r>
        </a:p>
      </xdr:txBody>
    </xdr:sp>
    <xdr:clientData/>
  </xdr:twoCellAnchor>
  <xdr:twoCellAnchor>
    <xdr:from>
      <xdr:col>11</xdr:col>
      <xdr:colOff>9524</xdr:colOff>
      <xdr:row>6</xdr:row>
      <xdr:rowOff>95250</xdr:rowOff>
    </xdr:from>
    <xdr:to>
      <xdr:col>18</xdr:col>
      <xdr:colOff>238125</xdr:colOff>
      <xdr:row>9</xdr:row>
      <xdr:rowOff>47625</xdr:rowOff>
    </xdr:to>
    <xdr:sp macro="" textlink="">
      <xdr:nvSpPr>
        <xdr:cNvPr id="25" name="Rectangle 24"/>
        <xdr:cNvSpPr/>
      </xdr:nvSpPr>
      <xdr:spPr>
        <a:xfrm>
          <a:off x="6715124" y="1238250"/>
          <a:ext cx="4495801" cy="438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Cost of </a:t>
          </a:r>
          <a:r>
            <a:rPr lang="en-IN" sz="1050" b="1" baseline="0"/>
            <a:t>Collection</a:t>
          </a:r>
        </a:p>
      </xdr:txBody>
    </xdr:sp>
    <xdr:clientData/>
  </xdr:twoCellAnchor>
  <xdr:twoCellAnchor>
    <xdr:from>
      <xdr:col>11</xdr:col>
      <xdr:colOff>19050</xdr:colOff>
      <xdr:row>11</xdr:row>
      <xdr:rowOff>85725</xdr:rowOff>
    </xdr:from>
    <xdr:to>
      <xdr:col>13</xdr:col>
      <xdr:colOff>209550</xdr:colOff>
      <xdr:row>13</xdr:row>
      <xdr:rowOff>161925</xdr:rowOff>
    </xdr:to>
    <xdr:sp macro="" textlink="">
      <xdr:nvSpPr>
        <xdr:cNvPr id="26" name="Rectangle 25"/>
        <xdr:cNvSpPr/>
      </xdr:nvSpPr>
      <xdr:spPr>
        <a:xfrm>
          <a:off x="672465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Total Administrative Cost </a:t>
          </a:r>
        </a:p>
      </xdr:txBody>
    </xdr:sp>
    <xdr:clientData/>
  </xdr:twoCellAnchor>
  <xdr:twoCellAnchor>
    <xdr:from>
      <xdr:col>16</xdr:col>
      <xdr:colOff>95250</xdr:colOff>
      <xdr:row>24</xdr:row>
      <xdr:rowOff>0</xdr:rowOff>
    </xdr:from>
    <xdr:to>
      <xdr:col>18</xdr:col>
      <xdr:colOff>285750</xdr:colOff>
      <xdr:row>26</xdr:row>
      <xdr:rowOff>76200</xdr:rowOff>
    </xdr:to>
    <xdr:sp macro="" textlink="">
      <xdr:nvSpPr>
        <xdr:cNvPr id="27" name="Rectangle 26"/>
        <xdr:cNvSpPr/>
      </xdr:nvSpPr>
      <xdr:spPr>
        <a:xfrm>
          <a:off x="9848850" y="4295775"/>
          <a:ext cx="140970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% and number of </a:t>
          </a:r>
          <a:r>
            <a:rPr lang="en-IN" sz="1000" b="1" baseline="0"/>
            <a:t>non-conformance</a:t>
          </a:r>
          <a:endParaRPr lang="en-IN" sz="1000" b="1"/>
        </a:p>
      </xdr:txBody>
    </xdr:sp>
    <xdr:clientData/>
  </xdr:twoCellAnchor>
  <xdr:twoCellAnchor>
    <xdr:from>
      <xdr:col>13</xdr:col>
      <xdr:colOff>342900</xdr:colOff>
      <xdr:row>11</xdr:row>
      <xdr:rowOff>85725</xdr:rowOff>
    </xdr:from>
    <xdr:to>
      <xdr:col>15</xdr:col>
      <xdr:colOff>533400</xdr:colOff>
      <xdr:row>13</xdr:row>
      <xdr:rowOff>161925</xdr:rowOff>
    </xdr:to>
    <xdr:sp macro="" textlink="">
      <xdr:nvSpPr>
        <xdr:cNvPr id="28" name="Rectangle 27"/>
        <xdr:cNvSpPr/>
      </xdr:nvSpPr>
      <xdr:spPr>
        <a:xfrm>
          <a:off x="8267700" y="1419225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 &amp; Value of uncompleted balance</a:t>
          </a:r>
        </a:p>
      </xdr:txBody>
    </xdr:sp>
    <xdr:clientData/>
  </xdr:twoCellAnchor>
  <xdr:twoCellAnchor>
    <xdr:from>
      <xdr:col>16</xdr:col>
      <xdr:colOff>57150</xdr:colOff>
      <xdr:row>11</xdr:row>
      <xdr:rowOff>76200</xdr:rowOff>
    </xdr:from>
    <xdr:to>
      <xdr:col>18</xdr:col>
      <xdr:colOff>247650</xdr:colOff>
      <xdr:row>13</xdr:row>
      <xdr:rowOff>152400</xdr:rowOff>
    </xdr:to>
    <xdr:sp macro="" textlink="">
      <xdr:nvSpPr>
        <xdr:cNvPr id="29" name="Rectangle 28"/>
        <xdr:cNvSpPr/>
      </xdr:nvSpPr>
      <xdr:spPr>
        <a:xfrm>
          <a:off x="9810750" y="1409700"/>
          <a:ext cx="14097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% of bounced cheques</a:t>
          </a:r>
        </a:p>
      </xdr:txBody>
    </xdr:sp>
    <xdr:clientData/>
  </xdr:twoCellAnchor>
  <xdr:twoCellAnchor>
    <xdr:from>
      <xdr:col>15</xdr:col>
      <xdr:colOff>419101</xdr:colOff>
      <xdr:row>22</xdr:row>
      <xdr:rowOff>38100</xdr:rowOff>
    </xdr:from>
    <xdr:to>
      <xdr:col>18</xdr:col>
      <xdr:colOff>542925</xdr:colOff>
      <xdr:row>23</xdr:row>
      <xdr:rowOff>142875</xdr:rowOff>
    </xdr:to>
    <xdr:sp macro="" textlink="">
      <xdr:nvSpPr>
        <xdr:cNvPr id="31" name="Rectangle 30"/>
        <xdr:cNvSpPr/>
      </xdr:nvSpPr>
      <xdr:spPr>
        <a:xfrm>
          <a:off x="9563101" y="4029075"/>
          <a:ext cx="1952624" cy="219075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Compliance Management</a:t>
          </a:r>
        </a:p>
      </xdr:txBody>
    </xdr:sp>
    <xdr:clientData/>
  </xdr:twoCellAnchor>
  <xdr:twoCellAnchor>
    <xdr:from>
      <xdr:col>0</xdr:col>
      <xdr:colOff>133350</xdr:colOff>
      <xdr:row>28</xdr:row>
      <xdr:rowOff>9525</xdr:rowOff>
    </xdr:from>
    <xdr:to>
      <xdr:col>2</xdr:col>
      <xdr:colOff>323850</xdr:colOff>
      <xdr:row>32</xdr:row>
      <xdr:rowOff>180975</xdr:rowOff>
    </xdr:to>
    <xdr:sp macro="" textlink="">
      <xdr:nvSpPr>
        <xdr:cNvPr id="32" name="Rectangle 31"/>
        <xdr:cNvSpPr/>
      </xdr:nvSpPr>
      <xdr:spPr>
        <a:xfrm>
          <a:off x="133350" y="4114800"/>
          <a:ext cx="1409700" cy="9334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LEARNING &amp; DEVELOPMENT</a:t>
          </a:r>
        </a:p>
      </xdr:txBody>
    </xdr:sp>
    <xdr:clientData/>
  </xdr:twoCellAnchor>
  <xdr:twoCellAnchor>
    <xdr:from>
      <xdr:col>3</xdr:col>
      <xdr:colOff>28575</xdr:colOff>
      <xdr:row>29</xdr:row>
      <xdr:rowOff>142875</xdr:rowOff>
    </xdr:from>
    <xdr:to>
      <xdr:col>5</xdr:col>
      <xdr:colOff>219075</xdr:colOff>
      <xdr:row>32</xdr:row>
      <xdr:rowOff>28575</xdr:rowOff>
    </xdr:to>
    <xdr:sp macro="" textlink="">
      <xdr:nvSpPr>
        <xdr:cNvPr id="33" name="Rectangle 32"/>
        <xdr:cNvSpPr/>
      </xdr:nvSpPr>
      <xdr:spPr>
        <a:xfrm>
          <a:off x="1857375" y="4114800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Competence Mapping</a:t>
          </a:r>
        </a:p>
      </xdr:txBody>
    </xdr:sp>
    <xdr:clientData/>
  </xdr:twoCellAnchor>
  <xdr:twoCellAnchor>
    <xdr:from>
      <xdr:col>3</xdr:col>
      <xdr:colOff>38101</xdr:colOff>
      <xdr:row>28</xdr:row>
      <xdr:rowOff>57151</xdr:rowOff>
    </xdr:from>
    <xdr:to>
      <xdr:col>10</xdr:col>
      <xdr:colOff>428625</xdr:colOff>
      <xdr:row>29</xdr:row>
      <xdr:rowOff>95249</xdr:rowOff>
    </xdr:to>
    <xdr:sp macro="" textlink="">
      <xdr:nvSpPr>
        <xdr:cNvPr id="34" name="Rectangle 33"/>
        <xdr:cNvSpPr/>
      </xdr:nvSpPr>
      <xdr:spPr>
        <a:xfrm>
          <a:off x="1866901" y="5114926"/>
          <a:ext cx="4657724" cy="228598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Devotee </a:t>
          </a:r>
          <a:r>
            <a:rPr lang="en-IN" sz="1100" b="1" baseline="0">
              <a:solidFill>
                <a:schemeClr val="bg1"/>
              </a:solidFill>
            </a:rPr>
            <a:t>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438150</xdr:colOff>
      <xdr:row>29</xdr:row>
      <xdr:rowOff>142875</xdr:rowOff>
    </xdr:from>
    <xdr:to>
      <xdr:col>8</xdr:col>
      <xdr:colOff>19050</xdr:colOff>
      <xdr:row>32</xdr:row>
      <xdr:rowOff>28575</xdr:rowOff>
    </xdr:to>
    <xdr:sp macro="" textlink="">
      <xdr:nvSpPr>
        <xdr:cNvPr id="35" name="Rectangle 34"/>
        <xdr:cNvSpPr/>
      </xdr:nvSpPr>
      <xdr:spPr>
        <a:xfrm>
          <a:off x="3486150" y="4267200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Training Identification</a:t>
          </a:r>
        </a:p>
      </xdr:txBody>
    </xdr:sp>
    <xdr:clientData/>
  </xdr:twoCellAnchor>
  <xdr:twoCellAnchor>
    <xdr:from>
      <xdr:col>8</xdr:col>
      <xdr:colOff>228600</xdr:colOff>
      <xdr:row>29</xdr:row>
      <xdr:rowOff>152400</xdr:rowOff>
    </xdr:from>
    <xdr:to>
      <xdr:col>10</xdr:col>
      <xdr:colOff>419100</xdr:colOff>
      <xdr:row>32</xdr:row>
      <xdr:rowOff>38100</xdr:rowOff>
    </xdr:to>
    <xdr:sp macro="" textlink="">
      <xdr:nvSpPr>
        <xdr:cNvPr id="36" name="Rectangle 35"/>
        <xdr:cNvSpPr/>
      </xdr:nvSpPr>
      <xdr:spPr>
        <a:xfrm>
          <a:off x="5105400" y="5400675"/>
          <a:ext cx="14097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Training Manhours</a:t>
          </a:r>
        </a:p>
      </xdr:txBody>
    </xdr:sp>
    <xdr:clientData/>
  </xdr:twoCellAnchor>
  <xdr:twoCellAnchor>
    <xdr:from>
      <xdr:col>11</xdr:col>
      <xdr:colOff>9525</xdr:colOff>
      <xdr:row>29</xdr:row>
      <xdr:rowOff>133350</xdr:rowOff>
    </xdr:from>
    <xdr:to>
      <xdr:col>15</xdr:col>
      <xdr:colOff>238125</xdr:colOff>
      <xdr:row>32</xdr:row>
      <xdr:rowOff>19050</xdr:rowOff>
    </xdr:to>
    <xdr:sp macro="" textlink="">
      <xdr:nvSpPr>
        <xdr:cNvPr id="37" name="Rectangle 36"/>
        <xdr:cNvSpPr/>
      </xdr:nvSpPr>
      <xdr:spPr>
        <a:xfrm>
          <a:off x="6715125" y="5381625"/>
          <a:ext cx="2667000" cy="457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chemeClr val="dk1"/>
              </a:solidFill>
              <a:latin typeface="+mn-lt"/>
              <a:ea typeface="+mn-ea"/>
              <a:cs typeface="+mn-cs"/>
            </a:rPr>
            <a:t>Number of Donor</a:t>
          </a:r>
          <a:r>
            <a:rPr lang="en-IN" sz="1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and Devotee Impacting key processes automated</a:t>
          </a:r>
          <a:endParaRPr lang="en-IN" sz="1000"/>
        </a:p>
      </xdr:txBody>
    </xdr:sp>
    <xdr:clientData/>
  </xdr:twoCellAnchor>
  <xdr:twoCellAnchor>
    <xdr:from>
      <xdr:col>5</xdr:col>
      <xdr:colOff>219075</xdr:colOff>
      <xdr:row>30</xdr:row>
      <xdr:rowOff>180975</xdr:rowOff>
    </xdr:from>
    <xdr:to>
      <xdr:col>5</xdr:col>
      <xdr:colOff>438150</xdr:colOff>
      <xdr:row>30</xdr:row>
      <xdr:rowOff>180975</xdr:rowOff>
    </xdr:to>
    <xdr:cxnSp macro="">
      <xdr:nvCxnSpPr>
        <xdr:cNvPr id="40" name="Straight Arrow Connector 39"/>
        <xdr:cNvCxnSpPr>
          <a:stCxn id="33" idx="3"/>
          <a:endCxn id="35" idx="1"/>
        </xdr:cNvCxnSpPr>
      </xdr:nvCxnSpPr>
      <xdr:spPr>
        <a:xfrm>
          <a:off x="3267075" y="4343400"/>
          <a:ext cx="2190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30</xdr:row>
      <xdr:rowOff>180975</xdr:rowOff>
    </xdr:from>
    <xdr:to>
      <xdr:col>8</xdr:col>
      <xdr:colOff>228600</xdr:colOff>
      <xdr:row>31</xdr:row>
      <xdr:rowOff>0</xdr:rowOff>
    </xdr:to>
    <xdr:cxnSp macro="">
      <xdr:nvCxnSpPr>
        <xdr:cNvPr id="42" name="Straight Arrow Connector 41"/>
        <xdr:cNvCxnSpPr>
          <a:stCxn id="35" idx="3"/>
          <a:endCxn id="36" idx="1"/>
        </xdr:cNvCxnSpPr>
      </xdr:nvCxnSpPr>
      <xdr:spPr>
        <a:xfrm>
          <a:off x="4895850" y="5619750"/>
          <a:ext cx="20955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27</xdr:row>
      <xdr:rowOff>28575</xdr:rowOff>
    </xdr:from>
    <xdr:to>
      <xdr:col>4</xdr:col>
      <xdr:colOff>161925</xdr:colOff>
      <xdr:row>27</xdr:row>
      <xdr:rowOff>171450</xdr:rowOff>
    </xdr:to>
    <xdr:sp macro="" textlink="">
      <xdr:nvSpPr>
        <xdr:cNvPr id="53" name="Up Arrow 52"/>
        <xdr:cNvSpPr/>
      </xdr:nvSpPr>
      <xdr:spPr>
        <a:xfrm>
          <a:off x="2419350" y="394335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419100</xdr:colOff>
      <xdr:row>27</xdr:row>
      <xdr:rowOff>38100</xdr:rowOff>
    </xdr:from>
    <xdr:to>
      <xdr:col>7</xdr:col>
      <xdr:colOff>600075</xdr:colOff>
      <xdr:row>27</xdr:row>
      <xdr:rowOff>180975</xdr:rowOff>
    </xdr:to>
    <xdr:sp macro="" textlink="">
      <xdr:nvSpPr>
        <xdr:cNvPr id="54" name="Up Arrow 53"/>
        <xdr:cNvSpPr/>
      </xdr:nvSpPr>
      <xdr:spPr>
        <a:xfrm>
          <a:off x="4686300" y="3952875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561975</xdr:colOff>
      <xdr:row>27</xdr:row>
      <xdr:rowOff>9525</xdr:rowOff>
    </xdr:from>
    <xdr:to>
      <xdr:col>12</xdr:col>
      <xdr:colOff>133350</xdr:colOff>
      <xdr:row>27</xdr:row>
      <xdr:rowOff>152400</xdr:rowOff>
    </xdr:to>
    <xdr:sp macro="" textlink="">
      <xdr:nvSpPr>
        <xdr:cNvPr id="55" name="Up Arrow 54"/>
        <xdr:cNvSpPr/>
      </xdr:nvSpPr>
      <xdr:spPr>
        <a:xfrm>
          <a:off x="7267575" y="392430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17</xdr:col>
      <xdr:colOff>276225</xdr:colOff>
      <xdr:row>27</xdr:row>
      <xdr:rowOff>9525</xdr:rowOff>
    </xdr:from>
    <xdr:to>
      <xdr:col>17</xdr:col>
      <xdr:colOff>457200</xdr:colOff>
      <xdr:row>27</xdr:row>
      <xdr:rowOff>152400</xdr:rowOff>
    </xdr:to>
    <xdr:sp macro="" textlink="">
      <xdr:nvSpPr>
        <xdr:cNvPr id="56" name="Up Arrow 55"/>
        <xdr:cNvSpPr/>
      </xdr:nvSpPr>
      <xdr:spPr>
        <a:xfrm>
          <a:off x="10639425" y="3924300"/>
          <a:ext cx="180975" cy="1428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12</xdr:col>
      <xdr:colOff>114299</xdr:colOff>
      <xdr:row>9</xdr:row>
      <xdr:rowOff>47626</xdr:rowOff>
    </xdr:from>
    <xdr:to>
      <xdr:col>14</xdr:col>
      <xdr:colOff>428624</xdr:colOff>
      <xdr:row>11</xdr:row>
      <xdr:rowOff>85726</xdr:rowOff>
    </xdr:to>
    <xdr:cxnSp macro="">
      <xdr:nvCxnSpPr>
        <xdr:cNvPr id="94" name="Curved Connector 93"/>
        <xdr:cNvCxnSpPr>
          <a:stCxn id="26" idx="0"/>
          <a:endCxn id="25" idx="2"/>
        </xdr:cNvCxnSpPr>
      </xdr:nvCxnSpPr>
      <xdr:spPr>
        <a:xfrm rot="5400000" flipH="1" flipV="1">
          <a:off x="7986712" y="1119188"/>
          <a:ext cx="419100" cy="1533525"/>
        </a:xfrm>
        <a:prstGeom prst="curvedConnector3">
          <a:avLst>
            <a:gd name="adj1" fmla="val 50000"/>
          </a:avLst>
        </a:prstGeom>
        <a:ln w="127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428625</xdr:colOff>
      <xdr:row>9</xdr:row>
      <xdr:rowOff>47625</xdr:rowOff>
    </xdr:from>
    <xdr:to>
      <xdr:col>14</xdr:col>
      <xdr:colOff>438150</xdr:colOff>
      <xdr:row>11</xdr:row>
      <xdr:rowOff>85725</xdr:rowOff>
    </xdr:to>
    <xdr:cxnSp macro="">
      <xdr:nvCxnSpPr>
        <xdr:cNvPr id="96" name="Curved Connector 95"/>
        <xdr:cNvCxnSpPr>
          <a:stCxn id="28" idx="0"/>
          <a:endCxn id="25" idx="2"/>
        </xdr:cNvCxnSpPr>
      </xdr:nvCxnSpPr>
      <xdr:spPr>
        <a:xfrm rot="16200000" flipV="1">
          <a:off x="8758238" y="1881187"/>
          <a:ext cx="419100" cy="9525"/>
        </a:xfrm>
        <a:prstGeom prst="curvedConnector3">
          <a:avLst>
            <a:gd name="adj1" fmla="val 50000"/>
          </a:avLst>
        </a:prstGeom>
        <a:ln w="127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428626</xdr:colOff>
      <xdr:row>9</xdr:row>
      <xdr:rowOff>47625</xdr:rowOff>
    </xdr:from>
    <xdr:to>
      <xdr:col>17</xdr:col>
      <xdr:colOff>152401</xdr:colOff>
      <xdr:row>11</xdr:row>
      <xdr:rowOff>76200</xdr:rowOff>
    </xdr:to>
    <xdr:cxnSp macro="">
      <xdr:nvCxnSpPr>
        <xdr:cNvPr id="98" name="Curved Connector 97"/>
        <xdr:cNvCxnSpPr>
          <a:stCxn id="29" idx="0"/>
          <a:endCxn id="25" idx="2"/>
        </xdr:cNvCxnSpPr>
      </xdr:nvCxnSpPr>
      <xdr:spPr>
        <a:xfrm rot="16200000" flipV="1">
          <a:off x="9534526" y="1104900"/>
          <a:ext cx="409575" cy="1552575"/>
        </a:xfrm>
        <a:prstGeom prst="curvedConnector3">
          <a:avLst>
            <a:gd name="adj1" fmla="val 50000"/>
          </a:avLst>
        </a:prstGeom>
        <a:ln w="127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</xdr:colOff>
      <xdr:row>1</xdr:row>
      <xdr:rowOff>66675</xdr:rowOff>
    </xdr:from>
    <xdr:to>
      <xdr:col>18</xdr:col>
      <xdr:colOff>590550</xdr:colOff>
      <xdr:row>2</xdr:row>
      <xdr:rowOff>133350</xdr:rowOff>
    </xdr:to>
    <xdr:sp macro="" textlink="">
      <xdr:nvSpPr>
        <xdr:cNvPr id="113" name="Rectangle 112"/>
        <xdr:cNvSpPr/>
      </xdr:nvSpPr>
      <xdr:spPr>
        <a:xfrm>
          <a:off x="123825" y="257175"/>
          <a:ext cx="11439525" cy="2571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600" b="1"/>
            <a:t>ISKCON DHANANJAYA &amp; DCC BALANCED SCORECARD</a:t>
          </a:r>
          <a:r>
            <a:rPr lang="en-IN" sz="1600" b="1" baseline="0"/>
            <a:t> STRATEGY INTENT MAP FOR FY13-14</a:t>
          </a:r>
          <a:endParaRPr lang="en-IN" sz="1600" b="1"/>
        </a:p>
      </xdr:txBody>
    </xdr:sp>
    <xdr:clientData/>
  </xdr:twoCellAnchor>
  <xdr:twoCellAnchor>
    <xdr:from>
      <xdr:col>0</xdr:col>
      <xdr:colOff>123825</xdr:colOff>
      <xdr:row>3</xdr:row>
      <xdr:rowOff>19050</xdr:rowOff>
    </xdr:from>
    <xdr:to>
      <xdr:col>18</xdr:col>
      <xdr:colOff>590550</xdr:colOff>
      <xdr:row>5</xdr:row>
      <xdr:rowOff>85726</xdr:rowOff>
    </xdr:to>
    <xdr:sp macro="" textlink="">
      <xdr:nvSpPr>
        <xdr:cNvPr id="57" name="Rectangle 56"/>
        <xdr:cNvSpPr/>
      </xdr:nvSpPr>
      <xdr:spPr>
        <a:xfrm>
          <a:off x="123825" y="590550"/>
          <a:ext cx="11439525" cy="447676"/>
        </a:xfrm>
        <a:prstGeom prst="rect">
          <a:avLst/>
        </a:prstGeom>
        <a:gradFill flip="none" rotWithShape="1">
          <a:gsLst>
            <a:gs pos="0">
              <a:srgbClr val="92D050">
                <a:tint val="66000"/>
                <a:satMod val="160000"/>
              </a:srgbClr>
            </a:gs>
            <a:gs pos="50000">
              <a:srgbClr val="92D050">
                <a:tint val="44500"/>
                <a:satMod val="160000"/>
              </a:srgbClr>
            </a:gs>
            <a:gs pos="100000">
              <a:srgbClr val="92D050">
                <a:tint val="23500"/>
                <a:satMod val="160000"/>
              </a:srgbClr>
            </a:gs>
          </a:gsLst>
          <a:path path="circle">
            <a:fillToRect l="50000" t="50000" r="50000" b="50000"/>
          </a:path>
          <a:tileRect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dk1"/>
              </a:solidFill>
              <a:latin typeface="+mn-lt"/>
              <a:ea typeface="+mn-ea"/>
              <a:cs typeface="+mn-cs"/>
            </a:rPr>
            <a:t>Objective 6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:  	To enlist and cultivate donors with the twin objectives of raising funds and making them life time supporters of the Krishna consciousness movement.</a:t>
          </a:r>
        </a:p>
        <a:p>
          <a:pPr algn="ctr"/>
          <a:r>
            <a:rPr lang="en-IN" sz="1100" b="1">
              <a:solidFill>
                <a:schemeClr val="dk1"/>
              </a:solidFill>
              <a:latin typeface="+mn-lt"/>
              <a:ea typeface="+mn-ea"/>
              <a:cs typeface="+mn-cs"/>
            </a:rPr>
            <a:t>Objective 11</a:t>
          </a:r>
          <a:r>
            <a:rPr lang="en-IN" sz="1100">
              <a:solidFill>
                <a:schemeClr val="dk1"/>
              </a:solidFill>
              <a:latin typeface="+mn-lt"/>
              <a:ea typeface="+mn-ea"/>
              <a:cs typeface="+mn-cs"/>
            </a:rPr>
            <a:t>: 	To promote sustainable and socially responsible practices while achieving the above objectives</a:t>
          </a:r>
          <a:endParaRPr lang="en-IN" sz="1050" b="1"/>
        </a:p>
      </xdr:txBody>
    </xdr:sp>
    <xdr:clientData/>
  </xdr:twoCellAnchor>
  <xdr:twoCellAnchor>
    <xdr:from>
      <xdr:col>3</xdr:col>
      <xdr:colOff>19051</xdr:colOff>
      <xdr:row>15</xdr:row>
      <xdr:rowOff>0</xdr:rowOff>
    </xdr:from>
    <xdr:to>
      <xdr:col>7</xdr:col>
      <xdr:colOff>390524</xdr:colOff>
      <xdr:row>16</xdr:row>
      <xdr:rowOff>142875</xdr:rowOff>
    </xdr:to>
    <xdr:sp macro="" textlink="">
      <xdr:nvSpPr>
        <xdr:cNvPr id="59" name="Rectangle 58"/>
        <xdr:cNvSpPr/>
      </xdr:nvSpPr>
      <xdr:spPr>
        <a:xfrm>
          <a:off x="1847851" y="2771775"/>
          <a:ext cx="2809873" cy="266700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Resource  Performance</a:t>
          </a:r>
        </a:p>
      </xdr:txBody>
    </xdr:sp>
    <xdr:clientData/>
  </xdr:twoCellAnchor>
  <xdr:twoCellAnchor>
    <xdr:from>
      <xdr:col>3</xdr:col>
      <xdr:colOff>9526</xdr:colOff>
      <xdr:row>16</xdr:row>
      <xdr:rowOff>171450</xdr:rowOff>
    </xdr:from>
    <xdr:to>
      <xdr:col>4</xdr:col>
      <xdr:colOff>304799</xdr:colOff>
      <xdr:row>20</xdr:row>
      <xdr:rowOff>76200</xdr:rowOff>
    </xdr:to>
    <xdr:sp macro="" textlink="">
      <xdr:nvSpPr>
        <xdr:cNvPr id="60" name="Rectangle 59"/>
        <xdr:cNvSpPr/>
      </xdr:nvSpPr>
      <xdr:spPr>
        <a:xfrm>
          <a:off x="1838326" y="3067050"/>
          <a:ext cx="904873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Territory Performance</a:t>
          </a:r>
        </a:p>
      </xdr:txBody>
    </xdr:sp>
    <xdr:clientData/>
  </xdr:twoCellAnchor>
  <xdr:twoCellAnchor>
    <xdr:from>
      <xdr:col>4</xdr:col>
      <xdr:colOff>390525</xdr:colOff>
      <xdr:row>16</xdr:row>
      <xdr:rowOff>171450</xdr:rowOff>
    </xdr:from>
    <xdr:to>
      <xdr:col>6</xdr:col>
      <xdr:colOff>38100</xdr:colOff>
      <xdr:row>20</xdr:row>
      <xdr:rowOff>76200</xdr:rowOff>
    </xdr:to>
    <xdr:sp macro="" textlink="">
      <xdr:nvSpPr>
        <xdr:cNvPr id="61" name="Rectangle 60"/>
        <xdr:cNvSpPr/>
      </xdr:nvSpPr>
      <xdr:spPr>
        <a:xfrm>
          <a:off x="2828925" y="3067050"/>
          <a:ext cx="866775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Devotee Performance</a:t>
          </a:r>
        </a:p>
      </xdr:txBody>
    </xdr:sp>
    <xdr:clientData/>
  </xdr:twoCellAnchor>
  <xdr:twoCellAnchor>
    <xdr:from>
      <xdr:col>14</xdr:col>
      <xdr:colOff>438152</xdr:colOff>
      <xdr:row>15</xdr:row>
      <xdr:rowOff>47625</xdr:rowOff>
    </xdr:from>
    <xdr:to>
      <xdr:col>18</xdr:col>
      <xdr:colOff>561976</xdr:colOff>
      <xdr:row>16</xdr:row>
      <xdr:rowOff>161925</xdr:rowOff>
    </xdr:to>
    <xdr:sp macro="" textlink="">
      <xdr:nvSpPr>
        <xdr:cNvPr id="62" name="Rectangle 61"/>
        <xdr:cNvSpPr/>
      </xdr:nvSpPr>
      <xdr:spPr>
        <a:xfrm>
          <a:off x="8972552" y="2819400"/>
          <a:ext cx="2562224" cy="238125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Product &amp; Scheme Performance</a:t>
          </a:r>
        </a:p>
      </xdr:txBody>
    </xdr:sp>
    <xdr:clientData/>
  </xdr:twoCellAnchor>
  <xdr:twoCellAnchor>
    <xdr:from>
      <xdr:col>14</xdr:col>
      <xdr:colOff>447675</xdr:colOff>
      <xdr:row>17</xdr:row>
      <xdr:rowOff>0</xdr:rowOff>
    </xdr:from>
    <xdr:to>
      <xdr:col>18</xdr:col>
      <xdr:colOff>552450</xdr:colOff>
      <xdr:row>20</xdr:row>
      <xdr:rowOff>95250</xdr:rowOff>
    </xdr:to>
    <xdr:sp macro="" textlink="">
      <xdr:nvSpPr>
        <xdr:cNvPr id="63" name="Rectangle 62"/>
        <xdr:cNvSpPr/>
      </xdr:nvSpPr>
      <xdr:spPr>
        <a:xfrm>
          <a:off x="8982075" y="3086100"/>
          <a:ext cx="2543175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Product &amp; Scheme with highest</a:t>
          </a:r>
          <a:r>
            <a:rPr lang="en-IN" sz="1000" b="1" baseline="0"/>
            <a:t> success rate and vice-versa</a:t>
          </a:r>
          <a:endParaRPr lang="en-IN" sz="1000" b="1"/>
        </a:p>
      </xdr:txBody>
    </xdr:sp>
    <xdr:clientData/>
  </xdr:twoCellAnchor>
  <xdr:twoCellAnchor>
    <xdr:from>
      <xdr:col>6</xdr:col>
      <xdr:colOff>361950</xdr:colOff>
      <xdr:row>9</xdr:row>
      <xdr:rowOff>47625</xdr:rowOff>
    </xdr:from>
    <xdr:to>
      <xdr:col>6</xdr:col>
      <xdr:colOff>542925</xdr:colOff>
      <xdr:row>10</xdr:row>
      <xdr:rowOff>0</xdr:rowOff>
    </xdr:to>
    <xdr:sp macro="" textlink="">
      <xdr:nvSpPr>
        <xdr:cNvPr id="64" name="Up Arrow 63"/>
        <xdr:cNvSpPr/>
      </xdr:nvSpPr>
      <xdr:spPr>
        <a:xfrm>
          <a:off x="4019550" y="1676400"/>
          <a:ext cx="180975" cy="142875"/>
        </a:xfrm>
        <a:prstGeom prst="upArrow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400050</xdr:colOff>
      <xdr:row>7</xdr:row>
      <xdr:rowOff>133350</xdr:rowOff>
    </xdr:from>
    <xdr:to>
      <xdr:col>11</xdr:col>
      <xdr:colOff>0</xdr:colOff>
      <xdr:row>8</xdr:row>
      <xdr:rowOff>133350</xdr:rowOff>
    </xdr:to>
    <xdr:sp macro="" textlink="">
      <xdr:nvSpPr>
        <xdr:cNvPr id="65" name="Right Arrow 64"/>
        <xdr:cNvSpPr/>
      </xdr:nvSpPr>
      <xdr:spPr>
        <a:xfrm>
          <a:off x="6496050" y="1381125"/>
          <a:ext cx="209550" cy="190500"/>
        </a:xfrm>
        <a:prstGeom prst="rightArrow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7</xdr:col>
      <xdr:colOff>419100</xdr:colOff>
      <xdr:row>15</xdr:row>
      <xdr:rowOff>76200</xdr:rowOff>
    </xdr:from>
    <xdr:to>
      <xdr:col>8</xdr:col>
      <xdr:colOff>19050</xdr:colOff>
      <xdr:row>16</xdr:row>
      <xdr:rowOff>142875</xdr:rowOff>
    </xdr:to>
    <xdr:sp macro="" textlink="">
      <xdr:nvSpPr>
        <xdr:cNvPr id="67" name="Right Arrow 66"/>
        <xdr:cNvSpPr/>
      </xdr:nvSpPr>
      <xdr:spPr>
        <a:xfrm>
          <a:off x="4686300" y="2847975"/>
          <a:ext cx="209550" cy="190500"/>
        </a:xfrm>
        <a:prstGeom prst="rightArrow">
          <a:avLst/>
        </a:prstGeom>
        <a:solidFill>
          <a:schemeClr val="accent4">
            <a:lumMod val="75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14</xdr:col>
      <xdr:colOff>142875</xdr:colOff>
      <xdr:row>15</xdr:row>
      <xdr:rowOff>85726</xdr:rowOff>
    </xdr:from>
    <xdr:to>
      <xdr:col>14</xdr:col>
      <xdr:colOff>400050</xdr:colOff>
      <xdr:row>16</xdr:row>
      <xdr:rowOff>142875</xdr:rowOff>
    </xdr:to>
    <xdr:sp macro="" textlink="">
      <xdr:nvSpPr>
        <xdr:cNvPr id="70" name="Left Arrow 69"/>
        <xdr:cNvSpPr/>
      </xdr:nvSpPr>
      <xdr:spPr>
        <a:xfrm>
          <a:off x="8677275" y="2857501"/>
          <a:ext cx="257175" cy="180974"/>
        </a:xfrm>
        <a:prstGeom prst="leftArrow">
          <a:avLst/>
        </a:prstGeom>
        <a:solidFill>
          <a:schemeClr val="accent4">
            <a:lumMod val="75000"/>
          </a:schemeClr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9</xdr:col>
      <xdr:colOff>333375</xdr:colOff>
      <xdr:row>20</xdr:row>
      <xdr:rowOff>180975</xdr:rowOff>
    </xdr:from>
    <xdr:to>
      <xdr:col>9</xdr:col>
      <xdr:colOff>514350</xdr:colOff>
      <xdr:row>21</xdr:row>
      <xdr:rowOff>133350</xdr:rowOff>
    </xdr:to>
    <xdr:sp macro="" textlink="">
      <xdr:nvSpPr>
        <xdr:cNvPr id="75" name="Up Arrow 74"/>
        <xdr:cNvSpPr/>
      </xdr:nvSpPr>
      <xdr:spPr>
        <a:xfrm>
          <a:off x="5819775" y="3838575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371475</xdr:colOff>
      <xdr:row>21</xdr:row>
      <xdr:rowOff>0</xdr:rowOff>
    </xdr:from>
    <xdr:to>
      <xdr:col>5</xdr:col>
      <xdr:colOff>552450</xdr:colOff>
      <xdr:row>22</xdr:row>
      <xdr:rowOff>0</xdr:rowOff>
    </xdr:to>
    <xdr:sp macro="" textlink="">
      <xdr:nvSpPr>
        <xdr:cNvPr id="77" name="Up Arrow 76"/>
        <xdr:cNvSpPr/>
      </xdr:nvSpPr>
      <xdr:spPr>
        <a:xfrm>
          <a:off x="3419475" y="3848100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12</xdr:col>
      <xdr:colOff>180976</xdr:colOff>
      <xdr:row>22</xdr:row>
      <xdr:rowOff>38100</xdr:rowOff>
    </xdr:from>
    <xdr:to>
      <xdr:col>15</xdr:col>
      <xdr:colOff>304800</xdr:colOff>
      <xdr:row>23</xdr:row>
      <xdr:rowOff>142875</xdr:rowOff>
    </xdr:to>
    <xdr:sp macro="" textlink="">
      <xdr:nvSpPr>
        <xdr:cNvPr id="79" name="Rectangle 78"/>
        <xdr:cNvSpPr/>
      </xdr:nvSpPr>
      <xdr:spPr>
        <a:xfrm>
          <a:off x="7496176" y="4029075"/>
          <a:ext cx="1952624" cy="219075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Product Management</a:t>
          </a:r>
        </a:p>
      </xdr:txBody>
    </xdr:sp>
    <xdr:clientData/>
  </xdr:twoCellAnchor>
  <xdr:twoCellAnchor>
    <xdr:from>
      <xdr:col>12</xdr:col>
      <xdr:colOff>438150</xdr:colOff>
      <xdr:row>23</xdr:row>
      <xdr:rowOff>180975</xdr:rowOff>
    </xdr:from>
    <xdr:to>
      <xdr:col>15</xdr:col>
      <xdr:colOff>19050</xdr:colOff>
      <xdr:row>26</xdr:row>
      <xdr:rowOff>66675</xdr:rowOff>
    </xdr:to>
    <xdr:sp macro="" textlink="">
      <xdr:nvSpPr>
        <xdr:cNvPr id="80" name="Rectangle 79"/>
        <xdr:cNvSpPr/>
      </xdr:nvSpPr>
      <xdr:spPr>
        <a:xfrm>
          <a:off x="7753350" y="4286250"/>
          <a:ext cx="1409700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Product/Scheme talking point prep.</a:t>
          </a:r>
        </a:p>
      </xdr:txBody>
    </xdr:sp>
    <xdr:clientData/>
  </xdr:twoCellAnchor>
  <xdr:twoCellAnchor>
    <xdr:from>
      <xdr:col>13</xdr:col>
      <xdr:colOff>571500</xdr:colOff>
      <xdr:row>20</xdr:row>
      <xdr:rowOff>180975</xdr:rowOff>
    </xdr:from>
    <xdr:to>
      <xdr:col>14</xdr:col>
      <xdr:colOff>142875</xdr:colOff>
      <xdr:row>21</xdr:row>
      <xdr:rowOff>133350</xdr:rowOff>
    </xdr:to>
    <xdr:sp macro="" textlink="">
      <xdr:nvSpPr>
        <xdr:cNvPr id="81" name="Up Arrow 80"/>
        <xdr:cNvSpPr/>
      </xdr:nvSpPr>
      <xdr:spPr>
        <a:xfrm>
          <a:off x="8496300" y="3838575"/>
          <a:ext cx="180975" cy="142875"/>
        </a:xfrm>
        <a:prstGeom prst="upArrow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8</xdr:col>
      <xdr:colOff>523875</xdr:colOff>
      <xdr:row>23</xdr:row>
      <xdr:rowOff>180975</xdr:rowOff>
    </xdr:from>
    <xdr:to>
      <xdr:col>10</xdr:col>
      <xdr:colOff>190500</xdr:colOff>
      <xdr:row>26</xdr:row>
      <xdr:rowOff>66675</xdr:rowOff>
    </xdr:to>
    <xdr:sp macro="" textlink="">
      <xdr:nvSpPr>
        <xdr:cNvPr id="82" name="Rectangle 81"/>
        <xdr:cNvSpPr/>
      </xdr:nvSpPr>
      <xdr:spPr>
        <a:xfrm>
          <a:off x="5400675" y="4286250"/>
          <a:ext cx="885825" cy="4572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Donor Engagement</a:t>
          </a:r>
        </a:p>
      </xdr:txBody>
    </xdr:sp>
    <xdr:clientData/>
  </xdr:twoCellAnchor>
  <xdr:twoCellAnchor>
    <xdr:from>
      <xdr:col>11</xdr:col>
      <xdr:colOff>1</xdr:colOff>
      <xdr:row>28</xdr:row>
      <xdr:rowOff>47626</xdr:rowOff>
    </xdr:from>
    <xdr:to>
      <xdr:col>15</xdr:col>
      <xdr:colOff>247650</xdr:colOff>
      <xdr:row>29</xdr:row>
      <xdr:rowOff>95250</xdr:rowOff>
    </xdr:to>
    <xdr:sp macro="" textlink="">
      <xdr:nvSpPr>
        <xdr:cNvPr id="85" name="Rectangle 84"/>
        <xdr:cNvSpPr/>
      </xdr:nvSpPr>
      <xdr:spPr>
        <a:xfrm>
          <a:off x="6705601" y="5105401"/>
          <a:ext cx="2686049" cy="23812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Process Automation</a:t>
          </a:r>
        </a:p>
      </xdr:txBody>
    </xdr:sp>
    <xdr:clientData/>
  </xdr:twoCellAnchor>
  <xdr:twoCellAnchor>
    <xdr:from>
      <xdr:col>6</xdr:col>
      <xdr:colOff>123825</xdr:colOff>
      <xdr:row>17</xdr:row>
      <xdr:rowOff>0</xdr:rowOff>
    </xdr:from>
    <xdr:to>
      <xdr:col>7</xdr:col>
      <xdr:colOff>390524</xdr:colOff>
      <xdr:row>20</xdr:row>
      <xdr:rowOff>95250</xdr:rowOff>
    </xdr:to>
    <xdr:sp macro="" textlink="">
      <xdr:nvSpPr>
        <xdr:cNvPr id="88" name="Rectangle 87"/>
        <xdr:cNvSpPr/>
      </xdr:nvSpPr>
      <xdr:spPr>
        <a:xfrm>
          <a:off x="3781425" y="3086100"/>
          <a:ext cx="876299" cy="66675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Online endowment</a:t>
          </a:r>
        </a:p>
      </xdr:txBody>
    </xdr:sp>
    <xdr:clientData/>
  </xdr:twoCellAnchor>
  <xdr:twoCellAnchor>
    <xdr:from>
      <xdr:col>5</xdr:col>
      <xdr:colOff>180975</xdr:colOff>
      <xdr:row>14</xdr:row>
      <xdr:rowOff>19050</xdr:rowOff>
    </xdr:from>
    <xdr:to>
      <xdr:col>5</xdr:col>
      <xdr:colOff>361950</xdr:colOff>
      <xdr:row>14</xdr:row>
      <xdr:rowOff>161925</xdr:rowOff>
    </xdr:to>
    <xdr:sp macro="" textlink="">
      <xdr:nvSpPr>
        <xdr:cNvPr id="91" name="Up Arrow 90"/>
        <xdr:cNvSpPr/>
      </xdr:nvSpPr>
      <xdr:spPr>
        <a:xfrm>
          <a:off x="3228975" y="2600325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600075</xdr:colOff>
      <xdr:row>14</xdr:row>
      <xdr:rowOff>28575</xdr:rowOff>
    </xdr:from>
    <xdr:to>
      <xdr:col>11</xdr:col>
      <xdr:colOff>171450</xdr:colOff>
      <xdr:row>14</xdr:row>
      <xdr:rowOff>171450</xdr:rowOff>
    </xdr:to>
    <xdr:sp macro="" textlink="">
      <xdr:nvSpPr>
        <xdr:cNvPr id="93" name="Up Arrow 92"/>
        <xdr:cNvSpPr/>
      </xdr:nvSpPr>
      <xdr:spPr>
        <a:xfrm>
          <a:off x="6696075" y="2609850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16</xdr:col>
      <xdr:colOff>466725</xdr:colOff>
      <xdr:row>14</xdr:row>
      <xdr:rowOff>19050</xdr:rowOff>
    </xdr:from>
    <xdr:to>
      <xdr:col>17</xdr:col>
      <xdr:colOff>38100</xdr:colOff>
      <xdr:row>14</xdr:row>
      <xdr:rowOff>161925</xdr:rowOff>
    </xdr:to>
    <xdr:sp macro="" textlink="">
      <xdr:nvSpPr>
        <xdr:cNvPr id="95" name="Up Arrow 94"/>
        <xdr:cNvSpPr/>
      </xdr:nvSpPr>
      <xdr:spPr>
        <a:xfrm>
          <a:off x="10220325" y="2600325"/>
          <a:ext cx="180975" cy="142875"/>
        </a:xfrm>
        <a:prstGeom prst="upArrow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161925</xdr:rowOff>
    </xdr:from>
    <xdr:to>
      <xdr:col>6</xdr:col>
      <xdr:colOff>466725</xdr:colOff>
      <xdr:row>9</xdr:row>
      <xdr:rowOff>19050</xdr:rowOff>
    </xdr:to>
    <xdr:sp macro="" textlink="">
      <xdr:nvSpPr>
        <xdr:cNvPr id="2" name="Rounded Rectangle 1"/>
        <xdr:cNvSpPr/>
      </xdr:nvSpPr>
      <xdr:spPr>
        <a:xfrm>
          <a:off x="1295400" y="1457325"/>
          <a:ext cx="2276475" cy="4286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/>
            <a:t>HT Express from Plant 3 Kitchen</a:t>
          </a:r>
        </a:p>
      </xdr:txBody>
    </xdr:sp>
    <xdr:clientData/>
  </xdr:twoCellAnchor>
  <xdr:twoCellAnchor>
    <xdr:from>
      <xdr:col>1</xdr:col>
      <xdr:colOff>323851</xdr:colOff>
      <xdr:row>11</xdr:row>
      <xdr:rowOff>9525</xdr:rowOff>
    </xdr:from>
    <xdr:to>
      <xdr:col>3</xdr:col>
      <xdr:colOff>66675</xdr:colOff>
      <xdr:row>13</xdr:row>
      <xdr:rowOff>114300</xdr:rowOff>
    </xdr:to>
    <xdr:sp macro="" textlink="">
      <xdr:nvSpPr>
        <xdr:cNvPr id="3" name="Rounded Rectangle 2"/>
        <xdr:cNvSpPr/>
      </xdr:nvSpPr>
      <xdr:spPr>
        <a:xfrm>
          <a:off x="933451" y="2333625"/>
          <a:ext cx="962024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Annakutta</a:t>
          </a:r>
        </a:p>
      </xdr:txBody>
    </xdr:sp>
    <xdr:clientData/>
  </xdr:twoCellAnchor>
  <xdr:twoCellAnchor>
    <xdr:from>
      <xdr:col>3</xdr:col>
      <xdr:colOff>9526</xdr:colOff>
      <xdr:row>15</xdr:row>
      <xdr:rowOff>19050</xdr:rowOff>
    </xdr:from>
    <xdr:to>
      <xdr:col>5</xdr:col>
      <xdr:colOff>314325</xdr:colOff>
      <xdr:row>17</xdr:row>
      <xdr:rowOff>123825</xdr:rowOff>
    </xdr:to>
    <xdr:sp macro="" textlink="">
      <xdr:nvSpPr>
        <xdr:cNvPr id="4" name="Rounded Rectangle 3"/>
        <xdr:cNvSpPr/>
      </xdr:nvSpPr>
      <xdr:spPr>
        <a:xfrm>
          <a:off x="1838326" y="3105150"/>
          <a:ext cx="971549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Amazon</a:t>
          </a:r>
        </a:p>
      </xdr:txBody>
    </xdr:sp>
    <xdr:clientData/>
  </xdr:twoCellAnchor>
  <xdr:twoCellAnchor>
    <xdr:from>
      <xdr:col>5</xdr:col>
      <xdr:colOff>409576</xdr:colOff>
      <xdr:row>15</xdr:row>
      <xdr:rowOff>19050</xdr:rowOff>
    </xdr:from>
    <xdr:to>
      <xdr:col>7</xdr:col>
      <xdr:colOff>152400</xdr:colOff>
      <xdr:row>17</xdr:row>
      <xdr:rowOff>123825</xdr:rowOff>
    </xdr:to>
    <xdr:sp macro="" textlink="">
      <xdr:nvSpPr>
        <xdr:cNvPr id="5" name="Rounded Rectangle 4"/>
        <xdr:cNvSpPr/>
      </xdr:nvSpPr>
      <xdr:spPr>
        <a:xfrm>
          <a:off x="2905126" y="3105150"/>
          <a:ext cx="962024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Mindtree</a:t>
          </a:r>
        </a:p>
      </xdr:txBody>
    </xdr:sp>
    <xdr:clientData/>
  </xdr:twoCellAnchor>
  <xdr:twoCellAnchor>
    <xdr:from>
      <xdr:col>7</xdr:col>
      <xdr:colOff>257176</xdr:colOff>
      <xdr:row>15</xdr:row>
      <xdr:rowOff>19050</xdr:rowOff>
    </xdr:from>
    <xdr:to>
      <xdr:col>8</xdr:col>
      <xdr:colOff>600075</xdr:colOff>
      <xdr:row>17</xdr:row>
      <xdr:rowOff>123825</xdr:rowOff>
    </xdr:to>
    <xdr:sp macro="" textlink="">
      <xdr:nvSpPr>
        <xdr:cNvPr id="8" name="Rounded Rectangle 7"/>
        <xdr:cNvSpPr/>
      </xdr:nvSpPr>
      <xdr:spPr>
        <a:xfrm>
          <a:off x="3971926" y="3105150"/>
          <a:ext cx="952499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Emphasis</a:t>
          </a:r>
        </a:p>
      </xdr:txBody>
    </xdr:sp>
    <xdr:clientData/>
  </xdr:twoCellAnchor>
  <xdr:twoCellAnchor>
    <xdr:from>
      <xdr:col>9</xdr:col>
      <xdr:colOff>104775</xdr:colOff>
      <xdr:row>6</xdr:row>
      <xdr:rowOff>161925</xdr:rowOff>
    </xdr:from>
    <xdr:to>
      <xdr:col>15</xdr:col>
      <xdr:colOff>66675</xdr:colOff>
      <xdr:row>9</xdr:row>
      <xdr:rowOff>19050</xdr:rowOff>
    </xdr:to>
    <xdr:sp macro="" textlink="">
      <xdr:nvSpPr>
        <xdr:cNvPr id="10" name="Rounded Rectangle 9"/>
        <xdr:cNvSpPr/>
      </xdr:nvSpPr>
      <xdr:spPr>
        <a:xfrm>
          <a:off x="5038725" y="1457325"/>
          <a:ext cx="2743200" cy="4286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/>
            <a:t>HT Stores from Plant 1 &amp; 2 Kitchen</a:t>
          </a:r>
        </a:p>
      </xdr:txBody>
    </xdr:sp>
    <xdr:clientData/>
  </xdr:twoCellAnchor>
  <xdr:twoCellAnchor>
    <xdr:from>
      <xdr:col>9</xdr:col>
      <xdr:colOff>114300</xdr:colOff>
      <xdr:row>11</xdr:row>
      <xdr:rowOff>9525</xdr:rowOff>
    </xdr:from>
    <xdr:to>
      <xdr:col>11</xdr:col>
      <xdr:colOff>285750</xdr:colOff>
      <xdr:row>13</xdr:row>
      <xdr:rowOff>114300</xdr:rowOff>
    </xdr:to>
    <xdr:sp macro="" textlink="">
      <xdr:nvSpPr>
        <xdr:cNvPr id="11" name="Rounded Rectangle 10"/>
        <xdr:cNvSpPr/>
      </xdr:nvSpPr>
      <xdr:spPr>
        <a:xfrm>
          <a:off x="5048250" y="2333625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Malleswaram</a:t>
          </a:r>
        </a:p>
      </xdr:txBody>
    </xdr:sp>
    <xdr:clientData/>
  </xdr:twoCellAnchor>
  <xdr:twoCellAnchor>
    <xdr:from>
      <xdr:col>11</xdr:col>
      <xdr:colOff>133350</xdr:colOff>
      <xdr:row>15</xdr:row>
      <xdr:rowOff>9525</xdr:rowOff>
    </xdr:from>
    <xdr:to>
      <xdr:col>12</xdr:col>
      <xdr:colOff>542925</xdr:colOff>
      <xdr:row>17</xdr:row>
      <xdr:rowOff>114300</xdr:rowOff>
    </xdr:to>
    <xdr:sp macro="" textlink="">
      <xdr:nvSpPr>
        <xdr:cNvPr id="12" name="Rounded Rectangle 11"/>
        <xdr:cNvSpPr/>
      </xdr:nvSpPr>
      <xdr:spPr>
        <a:xfrm>
          <a:off x="5915025" y="3095625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Event</a:t>
          </a:r>
          <a:r>
            <a:rPr lang="en-IN" sz="1100" baseline="0"/>
            <a:t> Catering</a:t>
          </a:r>
          <a:endParaRPr lang="en-IN" sz="1100"/>
        </a:p>
      </xdr:txBody>
    </xdr:sp>
    <xdr:clientData/>
  </xdr:twoCellAnchor>
  <xdr:twoCellAnchor>
    <xdr:from>
      <xdr:col>12</xdr:col>
      <xdr:colOff>314325</xdr:colOff>
      <xdr:row>11</xdr:row>
      <xdr:rowOff>9525</xdr:rowOff>
    </xdr:from>
    <xdr:to>
      <xdr:col>15</xdr:col>
      <xdr:colOff>9525</xdr:colOff>
      <xdr:row>13</xdr:row>
      <xdr:rowOff>114300</xdr:rowOff>
    </xdr:to>
    <xdr:sp macro="" textlink="">
      <xdr:nvSpPr>
        <xdr:cNvPr id="13" name="Rounded Rectangle 12"/>
        <xdr:cNvSpPr/>
      </xdr:nvSpPr>
      <xdr:spPr>
        <a:xfrm>
          <a:off x="6705600" y="2333625"/>
          <a:ext cx="1019175" cy="4857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/>
            <a:t>Temple</a:t>
          </a:r>
          <a:r>
            <a:rPr lang="en-IN" sz="1100" baseline="0"/>
            <a:t> Stores</a:t>
          </a:r>
          <a:endParaRPr lang="en-IN" sz="1100"/>
        </a:p>
      </xdr:txBody>
    </xdr:sp>
    <xdr:clientData/>
  </xdr:twoCellAnchor>
  <xdr:twoCellAnchor>
    <xdr:from>
      <xdr:col>16</xdr:col>
      <xdr:colOff>28576</xdr:colOff>
      <xdr:row>6</xdr:row>
      <xdr:rowOff>152400</xdr:rowOff>
    </xdr:from>
    <xdr:to>
      <xdr:col>20</xdr:col>
      <xdr:colOff>304800</xdr:colOff>
      <xdr:row>9</xdr:row>
      <xdr:rowOff>9525</xdr:rowOff>
    </xdr:to>
    <xdr:sp macro="" textlink="">
      <xdr:nvSpPr>
        <xdr:cNvPr id="20" name="Rounded Rectangle 19"/>
        <xdr:cNvSpPr/>
      </xdr:nvSpPr>
      <xdr:spPr>
        <a:xfrm>
          <a:off x="8353426" y="1447800"/>
          <a:ext cx="2714624" cy="4286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/>
            <a:t>Higher</a:t>
          </a:r>
          <a:r>
            <a:rPr lang="en-IN" sz="1100" b="1" baseline="0"/>
            <a:t> Taste from Plant 2 &amp; 4  Kitchen</a:t>
          </a:r>
          <a:endParaRPr lang="en-IN" sz="1100" b="1"/>
        </a:p>
      </xdr:txBody>
    </xdr:sp>
    <xdr:clientData/>
  </xdr:twoCellAnchor>
  <xdr:twoCellAnchor>
    <xdr:from>
      <xdr:col>7</xdr:col>
      <xdr:colOff>295275</xdr:colOff>
      <xdr:row>1</xdr:row>
      <xdr:rowOff>28576</xdr:rowOff>
    </xdr:from>
    <xdr:to>
      <xdr:col>16</xdr:col>
      <xdr:colOff>438150</xdr:colOff>
      <xdr:row>3</xdr:row>
      <xdr:rowOff>66676</xdr:rowOff>
    </xdr:to>
    <xdr:sp macro="" textlink="">
      <xdr:nvSpPr>
        <xdr:cNvPr id="21" name="Rounded Rectangle 20"/>
        <xdr:cNvSpPr/>
      </xdr:nvSpPr>
      <xdr:spPr>
        <a:xfrm>
          <a:off x="4010025" y="219076"/>
          <a:ext cx="4752975" cy="4953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400" b="1"/>
            <a:t>TSF Prasadam</a:t>
          </a:r>
        </a:p>
      </xdr:txBody>
    </xdr:sp>
    <xdr:clientData/>
  </xdr:twoCellAnchor>
  <xdr:twoCellAnchor>
    <xdr:from>
      <xdr:col>3</xdr:col>
      <xdr:colOff>600075</xdr:colOff>
      <xdr:row>4</xdr:row>
      <xdr:rowOff>171451</xdr:rowOff>
    </xdr:from>
    <xdr:to>
      <xdr:col>18</xdr:col>
      <xdr:colOff>152400</xdr:colOff>
      <xdr:row>4</xdr:row>
      <xdr:rowOff>180975</xdr:rowOff>
    </xdr:to>
    <xdr:cxnSp macro="">
      <xdr:nvCxnSpPr>
        <xdr:cNvPr id="22" name="Straight Connector 21"/>
        <xdr:cNvCxnSpPr/>
      </xdr:nvCxnSpPr>
      <xdr:spPr>
        <a:xfrm>
          <a:off x="2428875" y="1009651"/>
          <a:ext cx="7267575" cy="95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</xdr:row>
      <xdr:rowOff>171450</xdr:rowOff>
    </xdr:from>
    <xdr:to>
      <xdr:col>4</xdr:col>
      <xdr:colOff>4763</xdr:colOff>
      <xdr:row>6</xdr:row>
      <xdr:rowOff>180975</xdr:rowOff>
    </xdr:to>
    <xdr:cxnSp macro="">
      <xdr:nvCxnSpPr>
        <xdr:cNvPr id="24" name="Straight Arrow Connector 23"/>
        <xdr:cNvCxnSpPr/>
      </xdr:nvCxnSpPr>
      <xdr:spPr>
        <a:xfrm>
          <a:off x="2438400" y="1009650"/>
          <a:ext cx="4763" cy="4667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9526</xdr:colOff>
      <xdr:row>4</xdr:row>
      <xdr:rowOff>133350</xdr:rowOff>
    </xdr:from>
    <xdr:to>
      <xdr:col>12</xdr:col>
      <xdr:colOff>19050</xdr:colOff>
      <xdr:row>6</xdr:row>
      <xdr:rowOff>161925</xdr:rowOff>
    </xdr:to>
    <xdr:cxnSp macro="">
      <xdr:nvCxnSpPr>
        <xdr:cNvPr id="25" name="Straight Arrow Connector 24"/>
        <xdr:cNvCxnSpPr>
          <a:endCxn id="10" idx="0"/>
        </xdr:cNvCxnSpPr>
      </xdr:nvCxnSpPr>
      <xdr:spPr>
        <a:xfrm>
          <a:off x="6400801" y="971550"/>
          <a:ext cx="9524" cy="4857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161925</xdr:colOff>
      <xdr:row>5</xdr:row>
      <xdr:rowOff>0</xdr:rowOff>
    </xdr:from>
    <xdr:to>
      <xdr:col>18</xdr:col>
      <xdr:colOff>166688</xdr:colOff>
      <xdr:row>6</xdr:row>
      <xdr:rowOff>152400</xdr:rowOff>
    </xdr:to>
    <xdr:cxnSp macro="">
      <xdr:nvCxnSpPr>
        <xdr:cNvPr id="27" name="Straight Arrow Connector 26"/>
        <xdr:cNvCxnSpPr>
          <a:endCxn id="20" idx="0"/>
        </xdr:cNvCxnSpPr>
      </xdr:nvCxnSpPr>
      <xdr:spPr>
        <a:xfrm>
          <a:off x="9705975" y="1028700"/>
          <a:ext cx="4763" cy="419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604838</xdr:colOff>
      <xdr:row>3</xdr:row>
      <xdr:rowOff>66676</xdr:rowOff>
    </xdr:from>
    <xdr:to>
      <xdr:col>12</xdr:col>
      <xdr:colOff>0</xdr:colOff>
      <xdr:row>4</xdr:row>
      <xdr:rowOff>152400</xdr:rowOff>
    </xdr:to>
    <xdr:cxnSp macro="">
      <xdr:nvCxnSpPr>
        <xdr:cNvPr id="28" name="Straight Arrow Connector 27"/>
        <xdr:cNvCxnSpPr>
          <a:stCxn id="21" idx="2"/>
        </xdr:cNvCxnSpPr>
      </xdr:nvCxnSpPr>
      <xdr:spPr>
        <a:xfrm>
          <a:off x="6386513" y="714376"/>
          <a:ext cx="4762" cy="276224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9</xdr:row>
      <xdr:rowOff>19050</xdr:rowOff>
    </xdr:from>
    <xdr:to>
      <xdr:col>3</xdr:col>
      <xdr:colOff>604838</xdr:colOff>
      <xdr:row>10</xdr:row>
      <xdr:rowOff>85725</xdr:rowOff>
    </xdr:to>
    <xdr:cxnSp macro="">
      <xdr:nvCxnSpPr>
        <xdr:cNvPr id="51" name="Straight Arrow Connector 50"/>
        <xdr:cNvCxnSpPr>
          <a:stCxn id="2" idx="2"/>
        </xdr:cNvCxnSpPr>
      </xdr:nvCxnSpPr>
      <xdr:spPr>
        <a:xfrm flipH="1">
          <a:off x="2428875" y="1885950"/>
          <a:ext cx="4763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10</xdr:row>
      <xdr:rowOff>85725</xdr:rowOff>
    </xdr:from>
    <xdr:to>
      <xdr:col>6</xdr:col>
      <xdr:colOff>295275</xdr:colOff>
      <xdr:row>10</xdr:row>
      <xdr:rowOff>85727</xdr:rowOff>
    </xdr:to>
    <xdr:cxnSp macro="">
      <xdr:nvCxnSpPr>
        <xdr:cNvPr id="53" name="Straight Connector 52"/>
        <xdr:cNvCxnSpPr/>
      </xdr:nvCxnSpPr>
      <xdr:spPr>
        <a:xfrm flipV="1">
          <a:off x="1428750" y="2143125"/>
          <a:ext cx="1971675" cy="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195263</xdr:colOff>
      <xdr:row>10</xdr:row>
      <xdr:rowOff>76200</xdr:rowOff>
    </xdr:from>
    <xdr:to>
      <xdr:col>2</xdr:col>
      <xdr:colOff>200025</xdr:colOff>
      <xdr:row>11</xdr:row>
      <xdr:rowOff>9525</xdr:rowOff>
    </xdr:to>
    <xdr:cxnSp macro="">
      <xdr:nvCxnSpPr>
        <xdr:cNvPr id="57" name="Straight Arrow Connector 56"/>
        <xdr:cNvCxnSpPr>
          <a:endCxn id="3" idx="0"/>
        </xdr:cNvCxnSpPr>
      </xdr:nvCxnSpPr>
      <xdr:spPr>
        <a:xfrm flipH="1">
          <a:off x="1414463" y="2133600"/>
          <a:ext cx="4762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276225</xdr:colOff>
      <xdr:row>10</xdr:row>
      <xdr:rowOff>95250</xdr:rowOff>
    </xdr:from>
    <xdr:to>
      <xdr:col>6</xdr:col>
      <xdr:colOff>295276</xdr:colOff>
      <xdr:row>13</xdr:row>
      <xdr:rowOff>142875</xdr:rowOff>
    </xdr:to>
    <xdr:cxnSp macro="">
      <xdr:nvCxnSpPr>
        <xdr:cNvPr id="61" name="Straight Arrow Connector 60"/>
        <xdr:cNvCxnSpPr/>
      </xdr:nvCxnSpPr>
      <xdr:spPr>
        <a:xfrm flipH="1">
          <a:off x="3381375" y="2152650"/>
          <a:ext cx="19051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13</xdr:row>
      <xdr:rowOff>123825</xdr:rowOff>
    </xdr:from>
    <xdr:to>
      <xdr:col>8</xdr:col>
      <xdr:colOff>161925</xdr:colOff>
      <xdr:row>13</xdr:row>
      <xdr:rowOff>123825</xdr:rowOff>
    </xdr:to>
    <xdr:cxnSp macro="">
      <xdr:nvCxnSpPr>
        <xdr:cNvPr id="65" name="Straight Connector 64"/>
        <xdr:cNvCxnSpPr/>
      </xdr:nvCxnSpPr>
      <xdr:spPr>
        <a:xfrm>
          <a:off x="2333625" y="2828925"/>
          <a:ext cx="21526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13</xdr:row>
      <xdr:rowOff>123825</xdr:rowOff>
    </xdr:from>
    <xdr:to>
      <xdr:col>3</xdr:col>
      <xdr:colOff>495301</xdr:colOff>
      <xdr:row>15</xdr:row>
      <xdr:rowOff>19050</xdr:rowOff>
    </xdr:to>
    <xdr:cxnSp macro="">
      <xdr:nvCxnSpPr>
        <xdr:cNvPr id="69" name="Straight Arrow Connector 68"/>
        <xdr:cNvCxnSpPr>
          <a:endCxn id="4" idx="0"/>
        </xdr:cNvCxnSpPr>
      </xdr:nvCxnSpPr>
      <xdr:spPr>
        <a:xfrm>
          <a:off x="2324100" y="2828925"/>
          <a:ext cx="1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276225</xdr:colOff>
      <xdr:row>13</xdr:row>
      <xdr:rowOff>123825</xdr:rowOff>
    </xdr:from>
    <xdr:to>
      <xdr:col>6</xdr:col>
      <xdr:colOff>276226</xdr:colOff>
      <xdr:row>15</xdr:row>
      <xdr:rowOff>19050</xdr:rowOff>
    </xdr:to>
    <xdr:cxnSp macro="">
      <xdr:nvCxnSpPr>
        <xdr:cNvPr id="72" name="Straight Arrow Connector 71"/>
        <xdr:cNvCxnSpPr/>
      </xdr:nvCxnSpPr>
      <xdr:spPr>
        <a:xfrm>
          <a:off x="3381375" y="2828925"/>
          <a:ext cx="1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</xdr:row>
      <xdr:rowOff>133350</xdr:rowOff>
    </xdr:from>
    <xdr:to>
      <xdr:col>8</xdr:col>
      <xdr:colOff>142876</xdr:colOff>
      <xdr:row>15</xdr:row>
      <xdr:rowOff>28575</xdr:rowOff>
    </xdr:to>
    <xdr:cxnSp macro="">
      <xdr:nvCxnSpPr>
        <xdr:cNvPr id="73" name="Straight Arrow Connector 72"/>
        <xdr:cNvCxnSpPr/>
      </xdr:nvCxnSpPr>
      <xdr:spPr>
        <a:xfrm>
          <a:off x="4467225" y="2838450"/>
          <a:ext cx="1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9</xdr:row>
      <xdr:rowOff>19050</xdr:rowOff>
    </xdr:from>
    <xdr:to>
      <xdr:col>12</xdr:col>
      <xdr:colOff>33338</xdr:colOff>
      <xdr:row>15</xdr:row>
      <xdr:rowOff>9525</xdr:rowOff>
    </xdr:to>
    <xdr:cxnSp macro="">
      <xdr:nvCxnSpPr>
        <xdr:cNvPr id="79" name="Straight Arrow Connector 78"/>
        <xdr:cNvCxnSpPr>
          <a:stCxn id="10" idx="2"/>
          <a:endCxn id="12" idx="0"/>
        </xdr:cNvCxnSpPr>
      </xdr:nvCxnSpPr>
      <xdr:spPr>
        <a:xfrm>
          <a:off x="6410325" y="1885950"/>
          <a:ext cx="14288" cy="1209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385763</xdr:colOff>
      <xdr:row>9</xdr:row>
      <xdr:rowOff>57150</xdr:rowOff>
    </xdr:from>
    <xdr:to>
      <xdr:col>10</xdr:col>
      <xdr:colOff>390525</xdr:colOff>
      <xdr:row>11</xdr:row>
      <xdr:rowOff>9525</xdr:rowOff>
    </xdr:to>
    <xdr:cxnSp macro="">
      <xdr:nvCxnSpPr>
        <xdr:cNvPr id="82" name="Straight Arrow Connector 81"/>
        <xdr:cNvCxnSpPr>
          <a:endCxn id="11" idx="0"/>
        </xdr:cNvCxnSpPr>
      </xdr:nvCxnSpPr>
      <xdr:spPr>
        <a:xfrm flipH="1">
          <a:off x="5557838" y="1924050"/>
          <a:ext cx="4762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9</xdr:row>
      <xdr:rowOff>28575</xdr:rowOff>
    </xdr:from>
    <xdr:to>
      <xdr:col>13</xdr:col>
      <xdr:colOff>214313</xdr:colOff>
      <xdr:row>11</xdr:row>
      <xdr:rowOff>9525</xdr:rowOff>
    </xdr:to>
    <xdr:cxnSp macro="">
      <xdr:nvCxnSpPr>
        <xdr:cNvPr id="85" name="Straight Arrow Connector 84"/>
        <xdr:cNvCxnSpPr>
          <a:endCxn id="13" idx="0"/>
        </xdr:cNvCxnSpPr>
      </xdr:nvCxnSpPr>
      <xdr:spPr>
        <a:xfrm>
          <a:off x="7200900" y="1895475"/>
          <a:ext cx="14288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20</xdr:row>
      <xdr:rowOff>9524</xdr:rowOff>
    </xdr:from>
    <xdr:to>
      <xdr:col>9</xdr:col>
      <xdr:colOff>409575</xdr:colOff>
      <xdr:row>24</xdr:row>
      <xdr:rowOff>57149</xdr:rowOff>
    </xdr:to>
    <xdr:sp macro="" textlink="">
      <xdr:nvSpPr>
        <xdr:cNvPr id="62" name="Rectangle 61"/>
        <xdr:cNvSpPr/>
      </xdr:nvSpPr>
      <xdr:spPr>
        <a:xfrm>
          <a:off x="3809999" y="3838574"/>
          <a:ext cx="1952626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Oppurtunity identification for mass coomunication through paraphernalia and other outlets within</a:t>
          </a:r>
          <a:r>
            <a:rPr lang="en-IN" sz="1000" b="1" baseline="0"/>
            <a:t> the Revenue Block</a:t>
          </a:r>
          <a:endParaRPr lang="en-IN" sz="1000" b="1"/>
        </a:p>
      </xdr:txBody>
    </xdr:sp>
    <xdr:clientData/>
  </xdr:twoCellAnchor>
  <xdr:twoCellAnchor>
    <xdr:from>
      <xdr:col>0</xdr:col>
      <xdr:colOff>57150</xdr:colOff>
      <xdr:row>1</xdr:row>
      <xdr:rowOff>76200</xdr:rowOff>
    </xdr:from>
    <xdr:to>
      <xdr:col>18</xdr:col>
      <xdr:colOff>523875</xdr:colOff>
      <xdr:row>2</xdr:row>
      <xdr:rowOff>142875</xdr:rowOff>
    </xdr:to>
    <xdr:sp macro="" textlink="">
      <xdr:nvSpPr>
        <xdr:cNvPr id="2" name="Rectangle 1"/>
        <xdr:cNvSpPr/>
      </xdr:nvSpPr>
      <xdr:spPr>
        <a:xfrm>
          <a:off x="57150" y="266700"/>
          <a:ext cx="11306175" cy="2571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600" b="1"/>
            <a:t>TOUCHSTONE FOUNDATION (GIFTS)</a:t>
          </a:r>
          <a:r>
            <a:rPr lang="en-IN" sz="1600" b="1" baseline="0"/>
            <a:t> BLOCK</a:t>
          </a:r>
          <a:r>
            <a:rPr lang="en-IN" sz="1600" b="1"/>
            <a:t> BALANCED SCORECARD</a:t>
          </a:r>
          <a:r>
            <a:rPr lang="en-IN" sz="1600" b="1" baseline="0"/>
            <a:t> STRATEGY INTENT MAP FOR FY14-15</a:t>
          </a:r>
          <a:endParaRPr lang="en-IN" sz="1600" b="1"/>
        </a:p>
      </xdr:txBody>
    </xdr:sp>
    <xdr:clientData/>
  </xdr:twoCellAnchor>
  <xdr:twoCellAnchor>
    <xdr:from>
      <xdr:col>0</xdr:col>
      <xdr:colOff>66675</xdr:colOff>
      <xdr:row>7</xdr:row>
      <xdr:rowOff>1</xdr:rowOff>
    </xdr:from>
    <xdr:to>
      <xdr:col>2</xdr:col>
      <xdr:colOff>257175</xdr:colOff>
      <xdr:row>16</xdr:row>
      <xdr:rowOff>114301</xdr:rowOff>
    </xdr:to>
    <xdr:sp macro="" textlink="">
      <xdr:nvSpPr>
        <xdr:cNvPr id="3" name="Rectangle 2"/>
        <xdr:cNvSpPr/>
      </xdr:nvSpPr>
      <xdr:spPr>
        <a:xfrm>
          <a:off x="66675" y="1352551"/>
          <a:ext cx="1409700" cy="6858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FINANCIAL</a:t>
          </a:r>
        </a:p>
      </xdr:txBody>
    </xdr:sp>
    <xdr:clientData/>
  </xdr:twoCellAnchor>
  <xdr:twoCellAnchor>
    <xdr:from>
      <xdr:col>3</xdr:col>
      <xdr:colOff>38099</xdr:colOff>
      <xdr:row>7</xdr:row>
      <xdr:rowOff>76200</xdr:rowOff>
    </xdr:from>
    <xdr:to>
      <xdr:col>11</xdr:col>
      <xdr:colOff>238124</xdr:colOff>
      <xdr:row>9</xdr:row>
      <xdr:rowOff>152400</xdr:rowOff>
    </xdr:to>
    <xdr:sp macro="" textlink="">
      <xdr:nvSpPr>
        <xdr:cNvPr id="4" name="Rectangle 3"/>
        <xdr:cNvSpPr/>
      </xdr:nvSpPr>
      <xdr:spPr>
        <a:xfrm>
          <a:off x="1733549" y="1428750"/>
          <a:ext cx="507682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Revenue Generation</a:t>
          </a:r>
        </a:p>
      </xdr:txBody>
    </xdr:sp>
    <xdr:clientData/>
  </xdr:twoCellAnchor>
  <xdr:twoCellAnchor>
    <xdr:from>
      <xdr:col>11</xdr:col>
      <xdr:colOff>438150</xdr:colOff>
      <xdr:row>7</xdr:row>
      <xdr:rowOff>76200</xdr:rowOff>
    </xdr:from>
    <xdr:to>
      <xdr:col>18</xdr:col>
      <xdr:colOff>476250</xdr:colOff>
      <xdr:row>9</xdr:row>
      <xdr:rowOff>152400</xdr:rowOff>
    </xdr:to>
    <xdr:sp macro="" textlink="">
      <xdr:nvSpPr>
        <xdr:cNvPr id="5" name="Rectangle 4"/>
        <xdr:cNvSpPr/>
      </xdr:nvSpPr>
      <xdr:spPr>
        <a:xfrm>
          <a:off x="7010400" y="1428750"/>
          <a:ext cx="4305300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Profitability</a:t>
          </a:r>
        </a:p>
      </xdr:txBody>
    </xdr:sp>
    <xdr:clientData/>
  </xdr:twoCellAnchor>
  <xdr:twoCellAnchor>
    <xdr:from>
      <xdr:col>0</xdr:col>
      <xdr:colOff>66675</xdr:colOff>
      <xdr:row>17</xdr:row>
      <xdr:rowOff>180975</xdr:rowOff>
    </xdr:from>
    <xdr:to>
      <xdr:col>2</xdr:col>
      <xdr:colOff>257175</xdr:colOff>
      <xdr:row>24</xdr:row>
      <xdr:rowOff>76200</xdr:rowOff>
    </xdr:to>
    <xdr:sp macro="" textlink="">
      <xdr:nvSpPr>
        <xdr:cNvPr id="6" name="Rectangle 5"/>
        <xdr:cNvSpPr/>
      </xdr:nvSpPr>
      <xdr:spPr>
        <a:xfrm>
          <a:off x="66675" y="2295525"/>
          <a:ext cx="1409700" cy="12287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CUSTOMER</a:t>
          </a:r>
        </a:p>
      </xdr:txBody>
    </xdr:sp>
    <xdr:clientData/>
  </xdr:twoCellAnchor>
  <xdr:twoCellAnchor>
    <xdr:from>
      <xdr:col>3</xdr:col>
      <xdr:colOff>1</xdr:colOff>
      <xdr:row>18</xdr:row>
      <xdr:rowOff>0</xdr:rowOff>
    </xdr:from>
    <xdr:to>
      <xdr:col>6</xdr:col>
      <xdr:colOff>123824</xdr:colOff>
      <xdr:row>19</xdr:row>
      <xdr:rowOff>38099</xdr:rowOff>
    </xdr:to>
    <xdr:sp macro="" textlink="">
      <xdr:nvSpPr>
        <xdr:cNvPr id="7" name="Rectangle 6"/>
        <xdr:cNvSpPr/>
      </xdr:nvSpPr>
      <xdr:spPr>
        <a:xfrm>
          <a:off x="1695451" y="2305050"/>
          <a:ext cx="1952623" cy="22859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Grievance Handling</a:t>
          </a:r>
        </a:p>
      </xdr:txBody>
    </xdr:sp>
    <xdr:clientData/>
  </xdr:twoCellAnchor>
  <xdr:twoCellAnchor>
    <xdr:from>
      <xdr:col>2</xdr:col>
      <xdr:colOff>476249</xdr:colOff>
      <xdr:row>19</xdr:row>
      <xdr:rowOff>190499</xdr:rowOff>
    </xdr:from>
    <xdr:to>
      <xdr:col>6</xdr:col>
      <xdr:colOff>123825</xdr:colOff>
      <xdr:row>24</xdr:row>
      <xdr:rowOff>47624</xdr:rowOff>
    </xdr:to>
    <xdr:sp macro="" textlink="">
      <xdr:nvSpPr>
        <xdr:cNvPr id="8" name="Rectangle 7"/>
        <xdr:cNvSpPr/>
      </xdr:nvSpPr>
      <xdr:spPr>
        <a:xfrm>
          <a:off x="1695449" y="2686049"/>
          <a:ext cx="1952626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Complaint and grievance Handling of Donors/ Patrons</a:t>
          </a:r>
        </a:p>
      </xdr:txBody>
    </xdr:sp>
    <xdr:clientData/>
  </xdr:twoCellAnchor>
  <xdr:twoCellAnchor>
    <xdr:from>
      <xdr:col>0</xdr:col>
      <xdr:colOff>76200</xdr:colOff>
      <xdr:row>25</xdr:row>
      <xdr:rowOff>180976</xdr:rowOff>
    </xdr:from>
    <xdr:to>
      <xdr:col>2</xdr:col>
      <xdr:colOff>266700</xdr:colOff>
      <xdr:row>31</xdr:row>
      <xdr:rowOff>19050</xdr:rowOff>
    </xdr:to>
    <xdr:sp macro="" textlink="">
      <xdr:nvSpPr>
        <xdr:cNvPr id="14" name="Rectangle 13"/>
        <xdr:cNvSpPr/>
      </xdr:nvSpPr>
      <xdr:spPr>
        <a:xfrm>
          <a:off x="76200" y="3762376"/>
          <a:ext cx="1409700" cy="981074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INTERNAL BUSINESS PROCESS</a:t>
          </a:r>
        </a:p>
      </xdr:txBody>
    </xdr:sp>
    <xdr:clientData/>
  </xdr:twoCellAnchor>
  <xdr:twoCellAnchor>
    <xdr:from>
      <xdr:col>2</xdr:col>
      <xdr:colOff>476249</xdr:colOff>
      <xdr:row>25</xdr:row>
      <xdr:rowOff>171451</xdr:rowOff>
    </xdr:from>
    <xdr:to>
      <xdr:col>10</xdr:col>
      <xdr:colOff>228600</xdr:colOff>
      <xdr:row>27</xdr:row>
      <xdr:rowOff>47625</xdr:rowOff>
    </xdr:to>
    <xdr:sp macro="" textlink="">
      <xdr:nvSpPr>
        <xdr:cNvPr id="15" name="Rectangle 14"/>
        <xdr:cNvSpPr/>
      </xdr:nvSpPr>
      <xdr:spPr>
        <a:xfrm>
          <a:off x="1695449" y="4895851"/>
          <a:ext cx="449580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SKU Optimization and Pricing</a:t>
          </a:r>
        </a:p>
      </xdr:txBody>
    </xdr:sp>
    <xdr:clientData/>
  </xdr:twoCellAnchor>
  <xdr:twoCellAnchor>
    <xdr:from>
      <xdr:col>3</xdr:col>
      <xdr:colOff>9525</xdr:colOff>
      <xdr:row>27</xdr:row>
      <xdr:rowOff>161925</xdr:rowOff>
    </xdr:from>
    <xdr:to>
      <xdr:col>5</xdr:col>
      <xdr:colOff>295275</xdr:colOff>
      <xdr:row>31</xdr:row>
      <xdr:rowOff>0</xdr:rowOff>
    </xdr:to>
    <xdr:sp macro="" textlink="">
      <xdr:nvSpPr>
        <xdr:cNvPr id="16" name="Rectangle 15"/>
        <xdr:cNvSpPr/>
      </xdr:nvSpPr>
      <xdr:spPr>
        <a:xfrm>
          <a:off x="1704975" y="4124325"/>
          <a:ext cx="150495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SKU Rationalization</a:t>
          </a:r>
          <a:endParaRPr lang="en-IN" sz="1000" b="1">
            <a:solidFill>
              <a:srgbClr val="C00000"/>
            </a:solidFill>
          </a:endParaRPr>
        </a:p>
      </xdr:txBody>
    </xdr:sp>
    <xdr:clientData/>
  </xdr:twoCellAnchor>
  <xdr:twoCellAnchor>
    <xdr:from>
      <xdr:col>5</xdr:col>
      <xdr:colOff>352425</xdr:colOff>
      <xdr:row>27</xdr:row>
      <xdr:rowOff>161925</xdr:rowOff>
    </xdr:from>
    <xdr:to>
      <xdr:col>7</xdr:col>
      <xdr:colOff>542925</xdr:colOff>
      <xdr:row>31</xdr:row>
      <xdr:rowOff>0</xdr:rowOff>
    </xdr:to>
    <xdr:sp macro="" textlink="">
      <xdr:nvSpPr>
        <xdr:cNvPr id="17" name="Rectangle 16"/>
        <xdr:cNvSpPr/>
      </xdr:nvSpPr>
      <xdr:spPr>
        <a:xfrm>
          <a:off x="3267075" y="4124325"/>
          <a:ext cx="14097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Product Performance</a:t>
          </a:r>
        </a:p>
      </xdr:txBody>
    </xdr:sp>
    <xdr:clientData/>
  </xdr:twoCellAnchor>
  <xdr:twoCellAnchor>
    <xdr:from>
      <xdr:col>0</xdr:col>
      <xdr:colOff>85725</xdr:colOff>
      <xdr:row>33</xdr:row>
      <xdr:rowOff>0</xdr:rowOff>
    </xdr:from>
    <xdr:to>
      <xdr:col>2</xdr:col>
      <xdr:colOff>276225</xdr:colOff>
      <xdr:row>37</xdr:row>
      <xdr:rowOff>171450</xdr:rowOff>
    </xdr:to>
    <xdr:sp macro="" textlink="">
      <xdr:nvSpPr>
        <xdr:cNvPr id="20" name="Rectangle 19"/>
        <xdr:cNvSpPr/>
      </xdr:nvSpPr>
      <xdr:spPr>
        <a:xfrm>
          <a:off x="85725" y="5029200"/>
          <a:ext cx="1409700" cy="9334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100" b="1"/>
            <a:t>PEOPLE &amp; SYSTEM</a:t>
          </a:r>
        </a:p>
      </xdr:txBody>
    </xdr:sp>
    <xdr:clientData/>
  </xdr:twoCellAnchor>
  <xdr:twoCellAnchor>
    <xdr:from>
      <xdr:col>2</xdr:col>
      <xdr:colOff>476249</xdr:colOff>
      <xdr:row>33</xdr:row>
      <xdr:rowOff>1</xdr:rowOff>
    </xdr:from>
    <xdr:to>
      <xdr:col>5</xdr:col>
      <xdr:colOff>333374</xdr:colOff>
      <xdr:row>34</xdr:row>
      <xdr:rowOff>66675</xdr:rowOff>
    </xdr:to>
    <xdr:sp macro="" textlink="">
      <xdr:nvSpPr>
        <xdr:cNvPr id="21" name="Rectangle 20"/>
        <xdr:cNvSpPr/>
      </xdr:nvSpPr>
      <xdr:spPr>
        <a:xfrm>
          <a:off x="1695449" y="5029201"/>
          <a:ext cx="1552575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 baseline="0">
              <a:solidFill>
                <a:schemeClr val="bg1"/>
              </a:solidFill>
            </a:rPr>
            <a:t>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476249</xdr:colOff>
      <xdr:row>35</xdr:row>
      <xdr:rowOff>0</xdr:rowOff>
    </xdr:from>
    <xdr:to>
      <xdr:col>5</xdr:col>
      <xdr:colOff>333374</xdr:colOff>
      <xdr:row>38</xdr:row>
      <xdr:rowOff>0</xdr:rowOff>
    </xdr:to>
    <xdr:sp macro="" textlink="">
      <xdr:nvSpPr>
        <xdr:cNvPr id="22" name="Rectangle 21"/>
        <xdr:cNvSpPr/>
      </xdr:nvSpPr>
      <xdr:spPr>
        <a:xfrm>
          <a:off x="1695449" y="5410200"/>
          <a:ext cx="1552575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Sr &amp; Middle</a:t>
          </a:r>
          <a:r>
            <a:rPr lang="en-IN" sz="1000" b="1" baseline="0"/>
            <a:t> Managers</a:t>
          </a:r>
          <a:r>
            <a:rPr lang="en-IN" sz="1000" b="1"/>
            <a:t> Training Manhrs</a:t>
          </a:r>
        </a:p>
      </xdr:txBody>
    </xdr:sp>
    <xdr:clientData/>
  </xdr:twoCellAnchor>
  <xdr:twoCellAnchor>
    <xdr:from>
      <xdr:col>5</xdr:col>
      <xdr:colOff>561975</xdr:colOff>
      <xdr:row>35</xdr:row>
      <xdr:rowOff>0</xdr:rowOff>
    </xdr:from>
    <xdr:to>
      <xdr:col>8</xdr:col>
      <xdr:colOff>142875</xdr:colOff>
      <xdr:row>38</xdr:row>
      <xdr:rowOff>0</xdr:rowOff>
    </xdr:to>
    <xdr:sp macro="" textlink="">
      <xdr:nvSpPr>
        <xdr:cNvPr id="23" name="Rectangle 22"/>
        <xdr:cNvSpPr/>
      </xdr:nvSpPr>
      <xdr:spPr>
        <a:xfrm>
          <a:off x="3476625" y="5410200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Employee Training Manhr</a:t>
          </a:r>
        </a:p>
      </xdr:txBody>
    </xdr:sp>
    <xdr:clientData/>
  </xdr:twoCellAnchor>
  <xdr:twoCellAnchor>
    <xdr:from>
      <xdr:col>0</xdr:col>
      <xdr:colOff>66675</xdr:colOff>
      <xdr:row>4</xdr:row>
      <xdr:rowOff>0</xdr:rowOff>
    </xdr:from>
    <xdr:to>
      <xdr:col>18</xdr:col>
      <xdr:colOff>533400</xdr:colOff>
      <xdr:row>6</xdr:row>
      <xdr:rowOff>85725</xdr:rowOff>
    </xdr:to>
    <xdr:sp macro="" textlink="">
      <xdr:nvSpPr>
        <xdr:cNvPr id="24" name="Rectangle 23"/>
        <xdr:cNvSpPr/>
      </xdr:nvSpPr>
      <xdr:spPr>
        <a:xfrm>
          <a:off x="66675" y="638175"/>
          <a:ext cx="11306175" cy="561975"/>
        </a:xfrm>
        <a:prstGeom prst="rect">
          <a:avLst/>
        </a:prstGeom>
        <a:gradFill flip="none" rotWithShape="1">
          <a:gsLst>
            <a:gs pos="0">
              <a:srgbClr val="66FF99">
                <a:tint val="66000"/>
                <a:satMod val="160000"/>
              </a:srgbClr>
            </a:gs>
            <a:gs pos="50000">
              <a:srgbClr val="66FF99">
                <a:tint val="44500"/>
                <a:satMod val="160000"/>
              </a:srgbClr>
            </a:gs>
            <a:gs pos="100000">
              <a:srgbClr val="66FF99">
                <a:tint val="23500"/>
                <a:satMod val="160000"/>
              </a:srgbClr>
            </a:gs>
          </a:gsLst>
          <a:lin ang="16200000" scaled="1"/>
          <a:tileRect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r>
            <a:rPr lang="en-IN" sz="1050" b="1" u="sng"/>
            <a:t>Objective 8</a:t>
          </a:r>
          <a:r>
            <a:rPr lang="en-IN" sz="1200" b="1"/>
            <a:t>:</a:t>
          </a:r>
          <a:r>
            <a:rPr lang="en-IN" sz="1200" b="1" baseline="0"/>
            <a:t> </a:t>
          </a:r>
          <a:r>
            <a:rPr lang="en-IN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IN" sz="1000" b="1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To create for-profit activities that helps to further Krishna consciousness and is also in line with the principles of Krishna consciousness, to meet the expenses of temple activities. </a:t>
          </a:r>
          <a:endParaRPr lang="en-IN" sz="1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1050" b="1" u="sng">
              <a:solidFill>
                <a:schemeClr val="dk1"/>
              </a:solidFill>
              <a:latin typeface="+mn-lt"/>
              <a:ea typeface="+mn-ea"/>
              <a:cs typeface="+mn-cs"/>
            </a:rPr>
            <a:t>Objective 11</a:t>
          </a:r>
          <a:r>
            <a:rPr lang="en-IN" sz="1000" b="1">
              <a:solidFill>
                <a:schemeClr val="dk1"/>
              </a:solidFill>
              <a:latin typeface="+mn-lt"/>
              <a:ea typeface="+mn-ea"/>
              <a:cs typeface="+mn-cs"/>
            </a:rPr>
            <a:t>: To promote sustainable and socially responsible practices while achieving the above objectives.</a:t>
          </a:r>
          <a:endParaRPr lang="en-IN" sz="1200" b="1"/>
        </a:p>
      </xdr:txBody>
    </xdr:sp>
    <xdr:clientData/>
  </xdr:twoCellAnchor>
  <xdr:twoCellAnchor>
    <xdr:from>
      <xdr:col>4</xdr:col>
      <xdr:colOff>333375</xdr:colOff>
      <xdr:row>17</xdr:row>
      <xdr:rowOff>19050</xdr:rowOff>
    </xdr:from>
    <xdr:to>
      <xdr:col>4</xdr:col>
      <xdr:colOff>514350</xdr:colOff>
      <xdr:row>17</xdr:row>
      <xdr:rowOff>161925</xdr:rowOff>
    </xdr:to>
    <xdr:sp macro="" textlink="">
      <xdr:nvSpPr>
        <xdr:cNvPr id="25" name="Up Arrow 24"/>
        <xdr:cNvSpPr/>
      </xdr:nvSpPr>
      <xdr:spPr>
        <a:xfrm>
          <a:off x="2638425" y="3276600"/>
          <a:ext cx="180975" cy="142875"/>
        </a:xfrm>
        <a:prstGeom prst="upArrow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15</xdr:col>
      <xdr:colOff>257175</xdr:colOff>
      <xdr:row>17</xdr:row>
      <xdr:rowOff>38100</xdr:rowOff>
    </xdr:from>
    <xdr:to>
      <xdr:col>15</xdr:col>
      <xdr:colOff>438150</xdr:colOff>
      <xdr:row>17</xdr:row>
      <xdr:rowOff>180975</xdr:rowOff>
    </xdr:to>
    <xdr:sp macro="" textlink="">
      <xdr:nvSpPr>
        <xdr:cNvPr id="26" name="Up Arrow 25"/>
        <xdr:cNvSpPr/>
      </xdr:nvSpPr>
      <xdr:spPr>
        <a:xfrm>
          <a:off x="9267825" y="3295650"/>
          <a:ext cx="180975" cy="142875"/>
        </a:xfrm>
        <a:prstGeom prst="upArrow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6</xdr:col>
      <xdr:colOff>495300</xdr:colOff>
      <xdr:row>25</xdr:row>
      <xdr:rowOff>19050</xdr:rowOff>
    </xdr:from>
    <xdr:to>
      <xdr:col>7</xdr:col>
      <xdr:colOff>66675</xdr:colOff>
      <xdr:row>25</xdr:row>
      <xdr:rowOff>161925</xdr:rowOff>
    </xdr:to>
    <xdr:sp macro="" textlink="">
      <xdr:nvSpPr>
        <xdr:cNvPr id="28" name="Up Arrow 27"/>
        <xdr:cNvSpPr/>
      </xdr:nvSpPr>
      <xdr:spPr>
        <a:xfrm>
          <a:off x="4019550" y="4743450"/>
          <a:ext cx="180975" cy="142875"/>
        </a:xfrm>
        <a:prstGeom prst="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171450</xdr:colOff>
      <xdr:row>32</xdr:row>
      <xdr:rowOff>28575</xdr:rowOff>
    </xdr:from>
    <xdr:to>
      <xdr:col>4</xdr:col>
      <xdr:colOff>352425</xdr:colOff>
      <xdr:row>32</xdr:row>
      <xdr:rowOff>171450</xdr:rowOff>
    </xdr:to>
    <xdr:sp macro="" textlink="">
      <xdr:nvSpPr>
        <xdr:cNvPr id="29" name="Up Arrow 28"/>
        <xdr:cNvSpPr/>
      </xdr:nvSpPr>
      <xdr:spPr>
        <a:xfrm>
          <a:off x="2476500" y="4867275"/>
          <a:ext cx="180975" cy="142875"/>
        </a:xfrm>
        <a:prstGeom prst="up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542924</xdr:colOff>
      <xdr:row>33</xdr:row>
      <xdr:rowOff>1</xdr:rowOff>
    </xdr:from>
    <xdr:to>
      <xdr:col>10</xdr:col>
      <xdr:colOff>504825</xdr:colOff>
      <xdr:row>34</xdr:row>
      <xdr:rowOff>66675</xdr:rowOff>
    </xdr:to>
    <xdr:sp macro="" textlink="">
      <xdr:nvSpPr>
        <xdr:cNvPr id="36" name="Rectangle 35"/>
        <xdr:cNvSpPr/>
      </xdr:nvSpPr>
      <xdr:spPr>
        <a:xfrm>
          <a:off x="3457574" y="6172201"/>
          <a:ext cx="300990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Employee</a:t>
          </a:r>
          <a:r>
            <a:rPr lang="en-IN" sz="1100" b="1" baseline="0">
              <a:solidFill>
                <a:schemeClr val="bg1"/>
              </a:solidFill>
            </a:rPr>
            <a:t> Management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295275</xdr:colOff>
      <xdr:row>35</xdr:row>
      <xdr:rowOff>0</xdr:rowOff>
    </xdr:from>
    <xdr:to>
      <xdr:col>10</xdr:col>
      <xdr:colOff>485775</xdr:colOff>
      <xdr:row>38</xdr:row>
      <xdr:rowOff>0</xdr:rowOff>
    </xdr:to>
    <xdr:sp macro="" textlink="">
      <xdr:nvSpPr>
        <xdr:cNvPr id="37" name="Rectangle 36"/>
        <xdr:cNvSpPr/>
      </xdr:nvSpPr>
      <xdr:spPr>
        <a:xfrm>
          <a:off x="5038725" y="5410200"/>
          <a:ext cx="1409700" cy="5715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Employee Attrition</a:t>
          </a:r>
        </a:p>
      </xdr:txBody>
    </xdr:sp>
    <xdr:clientData/>
  </xdr:twoCellAnchor>
  <xdr:twoCellAnchor>
    <xdr:from>
      <xdr:col>8</xdr:col>
      <xdr:colOff>114300</xdr:colOff>
      <xdr:row>32</xdr:row>
      <xdr:rowOff>28575</xdr:rowOff>
    </xdr:from>
    <xdr:to>
      <xdr:col>8</xdr:col>
      <xdr:colOff>295275</xdr:colOff>
      <xdr:row>32</xdr:row>
      <xdr:rowOff>171450</xdr:rowOff>
    </xdr:to>
    <xdr:sp macro="" textlink="">
      <xdr:nvSpPr>
        <xdr:cNvPr id="39" name="Up Arrow 38"/>
        <xdr:cNvSpPr/>
      </xdr:nvSpPr>
      <xdr:spPr>
        <a:xfrm>
          <a:off x="4857750" y="6010275"/>
          <a:ext cx="180975" cy="142875"/>
        </a:xfrm>
        <a:prstGeom prst="upArrow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9526</xdr:colOff>
      <xdr:row>10</xdr:row>
      <xdr:rowOff>76200</xdr:rowOff>
    </xdr:from>
    <xdr:to>
      <xdr:col>11</xdr:col>
      <xdr:colOff>247650</xdr:colOff>
      <xdr:row>11</xdr:row>
      <xdr:rowOff>133349</xdr:rowOff>
    </xdr:to>
    <xdr:sp macro="" textlink="">
      <xdr:nvSpPr>
        <xdr:cNvPr id="40" name="Rectangle 39"/>
        <xdr:cNvSpPr/>
      </xdr:nvSpPr>
      <xdr:spPr>
        <a:xfrm>
          <a:off x="1704976" y="2000250"/>
          <a:ext cx="5114924" cy="247649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Revenue Split</a:t>
          </a:r>
        </a:p>
      </xdr:txBody>
    </xdr:sp>
    <xdr:clientData/>
  </xdr:twoCellAnchor>
  <xdr:twoCellAnchor>
    <xdr:from>
      <xdr:col>2</xdr:col>
      <xdr:colOff>476249</xdr:colOff>
      <xdr:row>12</xdr:row>
      <xdr:rowOff>85725</xdr:rowOff>
    </xdr:from>
    <xdr:to>
      <xdr:col>4</xdr:col>
      <xdr:colOff>314325</xdr:colOff>
      <xdr:row>16</xdr:row>
      <xdr:rowOff>19051</xdr:rowOff>
    </xdr:to>
    <xdr:sp macro="" textlink="">
      <xdr:nvSpPr>
        <xdr:cNvPr id="41" name="Rectangle 40"/>
        <xdr:cNvSpPr/>
      </xdr:nvSpPr>
      <xdr:spPr>
        <a:xfrm>
          <a:off x="1695449" y="2390775"/>
          <a:ext cx="9239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Online</a:t>
          </a:r>
        </a:p>
      </xdr:txBody>
    </xdr:sp>
    <xdr:clientData/>
  </xdr:twoCellAnchor>
  <xdr:twoCellAnchor>
    <xdr:from>
      <xdr:col>4</xdr:col>
      <xdr:colOff>428624</xdr:colOff>
      <xdr:row>12</xdr:row>
      <xdr:rowOff>85725</xdr:rowOff>
    </xdr:from>
    <xdr:to>
      <xdr:col>6</xdr:col>
      <xdr:colOff>133350</xdr:colOff>
      <xdr:row>16</xdr:row>
      <xdr:rowOff>19051</xdr:rowOff>
    </xdr:to>
    <xdr:sp macro="" textlink="">
      <xdr:nvSpPr>
        <xdr:cNvPr id="42" name="Rectangle 41"/>
        <xdr:cNvSpPr/>
      </xdr:nvSpPr>
      <xdr:spPr>
        <a:xfrm>
          <a:off x="2733674" y="2390775"/>
          <a:ext cx="9239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Non-Books</a:t>
          </a:r>
        </a:p>
      </xdr:txBody>
    </xdr:sp>
    <xdr:clientData/>
  </xdr:twoCellAnchor>
  <xdr:twoCellAnchor>
    <xdr:from>
      <xdr:col>6</xdr:col>
      <xdr:colOff>238124</xdr:colOff>
      <xdr:row>12</xdr:row>
      <xdr:rowOff>95250</xdr:rowOff>
    </xdr:from>
    <xdr:to>
      <xdr:col>7</xdr:col>
      <xdr:colOff>590549</xdr:colOff>
      <xdr:row>16</xdr:row>
      <xdr:rowOff>28576</xdr:rowOff>
    </xdr:to>
    <xdr:sp macro="" textlink="">
      <xdr:nvSpPr>
        <xdr:cNvPr id="43" name="Rectangle 42"/>
        <xdr:cNvSpPr/>
      </xdr:nvSpPr>
      <xdr:spPr>
        <a:xfrm>
          <a:off x="3762374" y="2400300"/>
          <a:ext cx="962025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Books</a:t>
          </a:r>
        </a:p>
      </xdr:txBody>
    </xdr:sp>
    <xdr:clientData/>
  </xdr:twoCellAnchor>
  <xdr:twoCellAnchor>
    <xdr:from>
      <xdr:col>8</xdr:col>
      <xdr:colOff>66675</xdr:colOff>
      <xdr:row>12</xdr:row>
      <xdr:rowOff>95250</xdr:rowOff>
    </xdr:from>
    <xdr:to>
      <xdr:col>9</xdr:col>
      <xdr:colOff>381000</xdr:colOff>
      <xdr:row>16</xdr:row>
      <xdr:rowOff>28576</xdr:rowOff>
    </xdr:to>
    <xdr:sp macro="" textlink="">
      <xdr:nvSpPr>
        <xdr:cNvPr id="44" name="Rectangle 43"/>
        <xdr:cNvSpPr/>
      </xdr:nvSpPr>
      <xdr:spPr>
        <a:xfrm>
          <a:off x="4810125" y="2400300"/>
          <a:ext cx="923925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Temple</a:t>
          </a:r>
        </a:p>
      </xdr:txBody>
    </xdr:sp>
    <xdr:clientData/>
  </xdr:twoCellAnchor>
  <xdr:twoCellAnchor>
    <xdr:from>
      <xdr:col>9</xdr:col>
      <xdr:colOff>485775</xdr:colOff>
      <xdr:row>12</xdr:row>
      <xdr:rowOff>104775</xdr:rowOff>
    </xdr:from>
    <xdr:to>
      <xdr:col>11</xdr:col>
      <xdr:colOff>266701</xdr:colOff>
      <xdr:row>16</xdr:row>
      <xdr:rowOff>38101</xdr:rowOff>
    </xdr:to>
    <xdr:sp macro="" textlink="">
      <xdr:nvSpPr>
        <xdr:cNvPr id="45" name="Rectangle 44"/>
        <xdr:cNvSpPr/>
      </xdr:nvSpPr>
      <xdr:spPr>
        <a:xfrm>
          <a:off x="5838825" y="2409825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External</a:t>
          </a:r>
        </a:p>
      </xdr:txBody>
    </xdr:sp>
    <xdr:clientData/>
  </xdr:twoCellAnchor>
  <xdr:twoCellAnchor>
    <xdr:from>
      <xdr:col>11</xdr:col>
      <xdr:colOff>457200</xdr:colOff>
      <xdr:row>12</xdr:row>
      <xdr:rowOff>104775</xdr:rowOff>
    </xdr:from>
    <xdr:to>
      <xdr:col>13</xdr:col>
      <xdr:colOff>238126</xdr:colOff>
      <xdr:row>16</xdr:row>
      <xdr:rowOff>38101</xdr:rowOff>
    </xdr:to>
    <xdr:sp macro="" textlink="">
      <xdr:nvSpPr>
        <xdr:cNvPr id="46" name="Rectangle 45"/>
        <xdr:cNvSpPr/>
      </xdr:nvSpPr>
      <xdr:spPr>
        <a:xfrm>
          <a:off x="7029450" y="2409825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PAT overall and across units</a:t>
          </a:r>
        </a:p>
      </xdr:txBody>
    </xdr:sp>
    <xdr:clientData/>
  </xdr:twoCellAnchor>
  <xdr:twoCellAnchor>
    <xdr:from>
      <xdr:col>13</xdr:col>
      <xdr:colOff>333375</xdr:colOff>
      <xdr:row>12</xdr:row>
      <xdr:rowOff>114300</xdr:rowOff>
    </xdr:from>
    <xdr:to>
      <xdr:col>15</xdr:col>
      <xdr:colOff>114301</xdr:colOff>
      <xdr:row>16</xdr:row>
      <xdr:rowOff>47626</xdr:rowOff>
    </xdr:to>
    <xdr:sp macro="" textlink="">
      <xdr:nvSpPr>
        <xdr:cNvPr id="47" name="Rectangle 46"/>
        <xdr:cNvSpPr/>
      </xdr:nvSpPr>
      <xdr:spPr>
        <a:xfrm>
          <a:off x="8124825" y="2419350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Overall Cost and across units</a:t>
          </a:r>
        </a:p>
      </xdr:txBody>
    </xdr:sp>
    <xdr:clientData/>
  </xdr:twoCellAnchor>
  <xdr:twoCellAnchor>
    <xdr:from>
      <xdr:col>15</xdr:col>
      <xdr:colOff>200025</xdr:colOff>
      <xdr:row>12</xdr:row>
      <xdr:rowOff>123825</xdr:rowOff>
    </xdr:from>
    <xdr:to>
      <xdr:col>16</xdr:col>
      <xdr:colOff>590551</xdr:colOff>
      <xdr:row>16</xdr:row>
      <xdr:rowOff>57151</xdr:rowOff>
    </xdr:to>
    <xdr:sp macro="" textlink="">
      <xdr:nvSpPr>
        <xdr:cNvPr id="48" name="Rectangle 47"/>
        <xdr:cNvSpPr/>
      </xdr:nvSpPr>
      <xdr:spPr>
        <a:xfrm>
          <a:off x="9210675" y="2428875"/>
          <a:ext cx="1000126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Net Donation</a:t>
          </a:r>
          <a:r>
            <a:rPr lang="en-IN" sz="1000" b="1" baseline="0"/>
            <a:t> for Charitable Activities</a:t>
          </a:r>
          <a:endParaRPr lang="en-IN" sz="1000" b="1"/>
        </a:p>
      </xdr:txBody>
    </xdr:sp>
    <xdr:clientData/>
  </xdr:twoCellAnchor>
  <xdr:twoCellAnchor>
    <xdr:from>
      <xdr:col>17</xdr:col>
      <xdr:colOff>66674</xdr:colOff>
      <xdr:row>12</xdr:row>
      <xdr:rowOff>123825</xdr:rowOff>
    </xdr:from>
    <xdr:to>
      <xdr:col>18</xdr:col>
      <xdr:colOff>514349</xdr:colOff>
      <xdr:row>16</xdr:row>
      <xdr:rowOff>57151</xdr:rowOff>
    </xdr:to>
    <xdr:sp macro="" textlink="">
      <xdr:nvSpPr>
        <xdr:cNvPr id="49" name="Rectangle 48"/>
        <xdr:cNvSpPr/>
      </xdr:nvSpPr>
      <xdr:spPr>
        <a:xfrm>
          <a:off x="10296524" y="2428875"/>
          <a:ext cx="1057275" cy="6953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Asset Utilization and People Productivity</a:t>
          </a:r>
        </a:p>
      </xdr:txBody>
    </xdr:sp>
    <xdr:clientData/>
  </xdr:twoCellAnchor>
  <xdr:twoCellAnchor>
    <xdr:from>
      <xdr:col>8</xdr:col>
      <xdr:colOff>0</xdr:colOff>
      <xdr:row>27</xdr:row>
      <xdr:rowOff>171450</xdr:rowOff>
    </xdr:from>
    <xdr:to>
      <xdr:col>10</xdr:col>
      <xdr:colOff>190500</xdr:colOff>
      <xdr:row>31</xdr:row>
      <xdr:rowOff>9525</xdr:rowOff>
    </xdr:to>
    <xdr:sp macro="" textlink="">
      <xdr:nvSpPr>
        <xdr:cNvPr id="51" name="Rectangle 50"/>
        <xdr:cNvSpPr/>
      </xdr:nvSpPr>
      <xdr:spPr>
        <a:xfrm>
          <a:off x="4743450" y="5276850"/>
          <a:ext cx="14097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Inventory</a:t>
          </a:r>
        </a:p>
      </xdr:txBody>
    </xdr:sp>
    <xdr:clientData/>
  </xdr:twoCellAnchor>
  <xdr:twoCellAnchor>
    <xdr:from>
      <xdr:col>10</xdr:col>
      <xdr:colOff>380999</xdr:colOff>
      <xdr:row>26</xdr:row>
      <xdr:rowOff>1</xdr:rowOff>
    </xdr:from>
    <xdr:to>
      <xdr:col>14</xdr:col>
      <xdr:colOff>209550</xdr:colOff>
      <xdr:row>27</xdr:row>
      <xdr:rowOff>66675</xdr:rowOff>
    </xdr:to>
    <xdr:sp macro="" textlink="">
      <xdr:nvSpPr>
        <xdr:cNvPr id="58" name="Rectangle 57"/>
        <xdr:cNvSpPr/>
      </xdr:nvSpPr>
      <xdr:spPr>
        <a:xfrm>
          <a:off x="6343649" y="4914901"/>
          <a:ext cx="226695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Marketing &amp;</a:t>
          </a:r>
          <a:r>
            <a:rPr lang="en-IN" sz="11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Promotion</a:t>
          </a:r>
          <a:endParaRPr lang="en-IN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166686</xdr:colOff>
      <xdr:row>31</xdr:row>
      <xdr:rowOff>9526</xdr:rowOff>
    </xdr:from>
    <xdr:to>
      <xdr:col>9</xdr:col>
      <xdr:colOff>95249</xdr:colOff>
      <xdr:row>33</xdr:row>
      <xdr:rowOff>2</xdr:rowOff>
    </xdr:to>
    <xdr:cxnSp macro="">
      <xdr:nvCxnSpPr>
        <xdr:cNvPr id="60" name="Curved Connector 59"/>
        <xdr:cNvCxnSpPr>
          <a:stCxn id="21" idx="0"/>
          <a:endCxn id="51" idx="2"/>
        </xdr:cNvCxnSpPr>
      </xdr:nvCxnSpPr>
      <xdr:spPr>
        <a:xfrm rot="5400000" flipH="1" flipV="1">
          <a:off x="3812380" y="4536282"/>
          <a:ext cx="295276" cy="2976563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295276</xdr:colOff>
      <xdr:row>18</xdr:row>
      <xdr:rowOff>0</xdr:rowOff>
    </xdr:from>
    <xdr:to>
      <xdr:col>9</xdr:col>
      <xdr:colOff>419099</xdr:colOff>
      <xdr:row>19</xdr:row>
      <xdr:rowOff>38099</xdr:rowOff>
    </xdr:to>
    <xdr:sp macro="" textlink="">
      <xdr:nvSpPr>
        <xdr:cNvPr id="61" name="Rectangle 60"/>
        <xdr:cNvSpPr/>
      </xdr:nvSpPr>
      <xdr:spPr>
        <a:xfrm>
          <a:off x="3819526" y="3448050"/>
          <a:ext cx="1952623" cy="22859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Distribute Holy Name</a:t>
          </a:r>
        </a:p>
      </xdr:txBody>
    </xdr:sp>
    <xdr:clientData/>
  </xdr:twoCellAnchor>
  <xdr:twoCellAnchor>
    <xdr:from>
      <xdr:col>10</xdr:col>
      <xdr:colOff>9526</xdr:colOff>
      <xdr:row>18</xdr:row>
      <xdr:rowOff>19050</xdr:rowOff>
    </xdr:from>
    <xdr:to>
      <xdr:col>14</xdr:col>
      <xdr:colOff>581025</xdr:colOff>
      <xdr:row>19</xdr:row>
      <xdr:rowOff>38099</xdr:rowOff>
    </xdr:to>
    <xdr:sp macro="" textlink="">
      <xdr:nvSpPr>
        <xdr:cNvPr id="63" name="Rectangle 62"/>
        <xdr:cNvSpPr/>
      </xdr:nvSpPr>
      <xdr:spPr>
        <a:xfrm>
          <a:off x="5972176" y="3467100"/>
          <a:ext cx="3009899" cy="20954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Distribute  Books to  Desired</a:t>
          </a:r>
          <a:r>
            <a:rPr lang="en-IN" sz="1100" b="1" baseline="0">
              <a:solidFill>
                <a:schemeClr val="bg1"/>
              </a:solidFill>
            </a:rPr>
            <a:t> Audience</a:t>
          </a:r>
          <a:r>
            <a:rPr lang="en-IN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9</xdr:col>
      <xdr:colOff>609599</xdr:colOff>
      <xdr:row>20</xdr:row>
      <xdr:rowOff>19049</xdr:rowOff>
    </xdr:from>
    <xdr:to>
      <xdr:col>14</xdr:col>
      <xdr:colOff>590550</xdr:colOff>
      <xdr:row>24</xdr:row>
      <xdr:rowOff>66674</xdr:rowOff>
    </xdr:to>
    <xdr:sp macro="" textlink="">
      <xdr:nvSpPr>
        <xdr:cNvPr id="64" name="Rectangle 63"/>
        <xdr:cNvSpPr/>
      </xdr:nvSpPr>
      <xdr:spPr>
        <a:xfrm>
          <a:off x="5962649" y="3848099"/>
          <a:ext cx="3028951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Books distributed and related promotional activities  done</a:t>
          </a:r>
        </a:p>
      </xdr:txBody>
    </xdr:sp>
    <xdr:clientData/>
  </xdr:twoCellAnchor>
  <xdr:twoCellAnchor>
    <xdr:from>
      <xdr:col>15</xdr:col>
      <xdr:colOff>76199</xdr:colOff>
      <xdr:row>26</xdr:row>
      <xdr:rowOff>19051</xdr:rowOff>
    </xdr:from>
    <xdr:to>
      <xdr:col>18</xdr:col>
      <xdr:colOff>514350</xdr:colOff>
      <xdr:row>27</xdr:row>
      <xdr:rowOff>85725</xdr:rowOff>
    </xdr:to>
    <xdr:sp macro="" textlink="">
      <xdr:nvSpPr>
        <xdr:cNvPr id="68" name="Rectangle 67"/>
        <xdr:cNvSpPr/>
      </xdr:nvSpPr>
      <xdr:spPr>
        <a:xfrm>
          <a:off x="9086849" y="4933951"/>
          <a:ext cx="2266951" cy="257174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en-IN" sz="1100" b="1">
              <a:solidFill>
                <a:schemeClr val="bg1"/>
              </a:solidFill>
              <a:latin typeface="+mn-lt"/>
              <a:ea typeface="+mn-ea"/>
              <a:cs typeface="+mn-cs"/>
            </a:rPr>
            <a:t>Social Responsibility</a:t>
          </a:r>
        </a:p>
      </xdr:txBody>
    </xdr:sp>
    <xdr:clientData/>
  </xdr:twoCellAnchor>
  <xdr:twoCellAnchor>
    <xdr:from>
      <xdr:col>10</xdr:col>
      <xdr:colOff>390524</xdr:colOff>
      <xdr:row>27</xdr:row>
      <xdr:rowOff>180975</xdr:rowOff>
    </xdr:from>
    <xdr:to>
      <xdr:col>14</xdr:col>
      <xdr:colOff>247649</xdr:colOff>
      <xdr:row>31</xdr:row>
      <xdr:rowOff>19050</xdr:rowOff>
    </xdr:to>
    <xdr:sp macro="" textlink="">
      <xdr:nvSpPr>
        <xdr:cNvPr id="69" name="Rectangle 68"/>
        <xdr:cNvSpPr/>
      </xdr:nvSpPr>
      <xdr:spPr>
        <a:xfrm>
          <a:off x="6353174" y="5286375"/>
          <a:ext cx="2295525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Engagement activities &amp; promotion efforts made to increase sales that helps to further Krishna Consciousness</a:t>
          </a:r>
        </a:p>
      </xdr:txBody>
    </xdr:sp>
    <xdr:clientData/>
  </xdr:twoCellAnchor>
  <xdr:twoCellAnchor>
    <xdr:from>
      <xdr:col>15</xdr:col>
      <xdr:colOff>381000</xdr:colOff>
      <xdr:row>28</xdr:row>
      <xdr:rowOff>0</xdr:rowOff>
    </xdr:from>
    <xdr:to>
      <xdr:col>18</xdr:col>
      <xdr:colOff>190500</xdr:colOff>
      <xdr:row>31</xdr:row>
      <xdr:rowOff>28575</xdr:rowOff>
    </xdr:to>
    <xdr:sp macro="" textlink="">
      <xdr:nvSpPr>
        <xdr:cNvPr id="70" name="Rectangle 69"/>
        <xdr:cNvSpPr/>
      </xdr:nvSpPr>
      <xdr:spPr>
        <a:xfrm>
          <a:off x="9391650" y="5295900"/>
          <a:ext cx="1638300" cy="6000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>
              <a:solidFill>
                <a:sysClr val="windowText" lastClr="000000"/>
              </a:solidFill>
            </a:rPr>
            <a:t>Reduction in usage of material that spreads environmental pollution</a:t>
          </a:r>
        </a:p>
      </xdr:txBody>
    </xdr:sp>
    <xdr:clientData/>
  </xdr:twoCellAnchor>
  <xdr:twoCellAnchor>
    <xdr:from>
      <xdr:col>15</xdr:col>
      <xdr:colOff>180976</xdr:colOff>
      <xdr:row>18</xdr:row>
      <xdr:rowOff>9525</xdr:rowOff>
    </xdr:from>
    <xdr:to>
      <xdr:col>18</xdr:col>
      <xdr:colOff>304799</xdr:colOff>
      <xdr:row>19</xdr:row>
      <xdr:rowOff>47624</xdr:rowOff>
    </xdr:to>
    <xdr:sp macro="" textlink="">
      <xdr:nvSpPr>
        <xdr:cNvPr id="52" name="Rectangle 51"/>
        <xdr:cNvSpPr/>
      </xdr:nvSpPr>
      <xdr:spPr>
        <a:xfrm>
          <a:off x="9191626" y="3457575"/>
          <a:ext cx="1952623" cy="228599"/>
        </a:xfrm>
        <a:prstGeom prst="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External Sales</a:t>
          </a:r>
        </a:p>
      </xdr:txBody>
    </xdr:sp>
    <xdr:clientData/>
  </xdr:twoCellAnchor>
  <xdr:twoCellAnchor>
    <xdr:from>
      <xdr:col>15</xdr:col>
      <xdr:colOff>180974</xdr:colOff>
      <xdr:row>20</xdr:row>
      <xdr:rowOff>19049</xdr:rowOff>
    </xdr:from>
    <xdr:to>
      <xdr:col>18</xdr:col>
      <xdr:colOff>304800</xdr:colOff>
      <xdr:row>24</xdr:row>
      <xdr:rowOff>66674</xdr:rowOff>
    </xdr:to>
    <xdr:sp macro="" textlink="">
      <xdr:nvSpPr>
        <xdr:cNvPr id="54" name="Rectangle 53"/>
        <xdr:cNvSpPr/>
      </xdr:nvSpPr>
      <xdr:spPr>
        <a:xfrm>
          <a:off x="9191624" y="3848099"/>
          <a:ext cx="1952626" cy="80962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IN" sz="1000" b="1"/>
            <a:t>Monitoring the new client and new outlet addition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hnamurthybg/Desktop/TSF%20(Prasadam)%20BS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6.Sep'14%20-%20Ver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7.Oct'14%20-%20Ver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nt Map"/>
      <sheetName val="Org Structure"/>
      <sheetName val="TSF Prasadam Overall"/>
      <sheetName val="HT Express BSC"/>
      <sheetName val="HT Stores BSC"/>
      <sheetName val="HT Fine Dining"/>
      <sheetName val="Strategic Intent Map"/>
      <sheetName val="Incentive Data"/>
    </sheetNames>
    <sheetDataSet>
      <sheetData sheetId="0" refreshError="1"/>
      <sheetData sheetId="1" refreshError="1"/>
      <sheetData sheetId="2">
        <row r="4">
          <cell r="I4">
            <v>17215578</v>
          </cell>
          <cell r="L4">
            <v>17259219</v>
          </cell>
        </row>
        <row r="75">
          <cell r="I75">
            <v>316042.09999999998</v>
          </cell>
          <cell r="L75">
            <v>425652.7</v>
          </cell>
        </row>
        <row r="80">
          <cell r="I80">
            <v>2110.0112859561277</v>
          </cell>
          <cell r="L80">
            <v>3593.650221076166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Sheet2"/>
      <sheetName val="Level 1 "/>
      <sheetName val="HTR GOC"/>
      <sheetName val="HT Express"/>
      <sheetName val="Annakuta"/>
      <sheetName val="Amazon"/>
      <sheetName val="Mphasis"/>
      <sheetName val="Mind Tree"/>
      <sheetName val="HT Stores"/>
      <sheetName val="Catering"/>
      <sheetName val="NonCatering"/>
      <sheetName val="Mlsrm"/>
      <sheetName val="TS"/>
      <sheetName val="KM"/>
      <sheetName val="Sch"/>
      <sheetName val="Food Cost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F5">
            <v>27585.84</v>
          </cell>
        </row>
      </sheetData>
      <sheetData sheetId="12">
        <row r="5">
          <cell r="F5">
            <v>112493.88</v>
          </cell>
        </row>
        <row r="12">
          <cell r="F12">
            <v>1594.16</v>
          </cell>
        </row>
        <row r="15">
          <cell r="F15">
            <v>858</v>
          </cell>
        </row>
      </sheetData>
      <sheetData sheetId="13">
        <row r="5">
          <cell r="F5">
            <v>31475.200000000001</v>
          </cell>
        </row>
      </sheetData>
      <sheetData sheetId="14">
        <row r="6">
          <cell r="F6">
            <v>231605.4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Addtnl workng for Level - 1"/>
      <sheetName val="Level 1 "/>
      <sheetName val="Sheet2"/>
      <sheetName val="HTR GOC"/>
      <sheetName val="HT Express"/>
      <sheetName val="Annakuta"/>
      <sheetName val="Amazon"/>
      <sheetName val="Mphasis"/>
      <sheetName val="Mind Tree"/>
      <sheetName val="HT Stores"/>
      <sheetName val="Catering"/>
      <sheetName val="NonCatering"/>
      <sheetName val="Mlsrm"/>
      <sheetName val="TS"/>
      <sheetName val="KM"/>
      <sheetName val="Sch"/>
      <sheetName val="Food 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7">
          <cell r="F17">
            <v>1672</v>
          </cell>
        </row>
      </sheetData>
      <sheetData sheetId="12">
        <row r="29">
          <cell r="C29">
            <v>0</v>
          </cell>
        </row>
      </sheetData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7.xml"/><Relationship Id="rId231" Type="http://schemas.openxmlformats.org/officeDocument/2006/relationships/revisionLog" Target="revisionLog116.xml"/><Relationship Id="rId252" Type="http://schemas.openxmlformats.org/officeDocument/2006/relationships/revisionLog" Target="revisionLog137.xml"/><Relationship Id="rId273" Type="http://schemas.openxmlformats.org/officeDocument/2006/relationships/revisionLog" Target="revisionLog158.xml"/><Relationship Id="rId138" Type="http://schemas.openxmlformats.org/officeDocument/2006/relationships/revisionLog" Target="revisionLog28.xml"/><Relationship Id="rId133" Type="http://schemas.openxmlformats.org/officeDocument/2006/relationships/revisionLog" Target="revisionLog23.xml"/><Relationship Id="rId154" Type="http://schemas.openxmlformats.org/officeDocument/2006/relationships/revisionLog" Target="revisionLog4.xml"/><Relationship Id="rId159" Type="http://schemas.openxmlformats.org/officeDocument/2006/relationships/revisionLog" Target="revisionLog45.xml"/><Relationship Id="rId175" Type="http://schemas.openxmlformats.org/officeDocument/2006/relationships/revisionLog" Target="revisionLog61.xml"/><Relationship Id="rId170" Type="http://schemas.openxmlformats.org/officeDocument/2006/relationships/revisionLog" Target="revisionLog56.xml"/><Relationship Id="rId191" Type="http://schemas.openxmlformats.org/officeDocument/2006/relationships/revisionLog" Target="revisionLog77.xml"/><Relationship Id="rId196" Type="http://schemas.openxmlformats.org/officeDocument/2006/relationships/revisionLog" Target="revisionLog82.xml"/><Relationship Id="rId200" Type="http://schemas.openxmlformats.org/officeDocument/2006/relationships/revisionLog" Target="revisionLog86.xml"/><Relationship Id="rId205" Type="http://schemas.openxmlformats.org/officeDocument/2006/relationships/revisionLog" Target="revisionLog91.xml"/><Relationship Id="rId226" Type="http://schemas.openxmlformats.org/officeDocument/2006/relationships/revisionLog" Target="revisionLog111.xml"/><Relationship Id="rId247" Type="http://schemas.openxmlformats.org/officeDocument/2006/relationships/revisionLog" Target="revisionLog132.xml"/><Relationship Id="rId221" Type="http://schemas.openxmlformats.org/officeDocument/2006/relationships/revisionLog" Target="revisionLog106.xml"/><Relationship Id="rId242" Type="http://schemas.openxmlformats.org/officeDocument/2006/relationships/revisionLog" Target="revisionLog127.xml"/><Relationship Id="rId263" Type="http://schemas.openxmlformats.org/officeDocument/2006/relationships/revisionLog" Target="revisionLog148.xml"/><Relationship Id="rId268" Type="http://schemas.openxmlformats.org/officeDocument/2006/relationships/revisionLog" Target="revisionLog153.xml"/><Relationship Id="rId144" Type="http://schemas.openxmlformats.org/officeDocument/2006/relationships/revisionLog" Target="revisionLog34.xml"/><Relationship Id="rId128" Type="http://schemas.openxmlformats.org/officeDocument/2006/relationships/revisionLog" Target="revisionLog18.xml"/><Relationship Id="rId123" Type="http://schemas.openxmlformats.org/officeDocument/2006/relationships/revisionLog" Target="revisionLog13.xml"/><Relationship Id="rId149" Type="http://schemas.openxmlformats.org/officeDocument/2006/relationships/revisionLog" Target="revisionLog39.xml"/><Relationship Id="rId160" Type="http://schemas.openxmlformats.org/officeDocument/2006/relationships/revisionLog" Target="revisionLog46.xml"/><Relationship Id="rId165" Type="http://schemas.openxmlformats.org/officeDocument/2006/relationships/revisionLog" Target="revisionLog51.xml"/><Relationship Id="rId181" Type="http://schemas.openxmlformats.org/officeDocument/2006/relationships/revisionLog" Target="revisionLog67.xml"/><Relationship Id="rId186" Type="http://schemas.openxmlformats.org/officeDocument/2006/relationships/revisionLog" Target="revisionLog72.xml"/><Relationship Id="rId216" Type="http://schemas.openxmlformats.org/officeDocument/2006/relationships/revisionLog" Target="revisionLog101.xml"/><Relationship Id="rId237" Type="http://schemas.openxmlformats.org/officeDocument/2006/relationships/revisionLog" Target="revisionLog122.xml"/><Relationship Id="rId211" Type="http://schemas.openxmlformats.org/officeDocument/2006/relationships/revisionLog" Target="revisionLog97.xml"/><Relationship Id="rId232" Type="http://schemas.openxmlformats.org/officeDocument/2006/relationships/revisionLog" Target="revisionLog117.xml"/><Relationship Id="rId253" Type="http://schemas.openxmlformats.org/officeDocument/2006/relationships/revisionLog" Target="revisionLog138.xml"/><Relationship Id="rId258" Type="http://schemas.openxmlformats.org/officeDocument/2006/relationships/revisionLog" Target="revisionLog143.xml"/><Relationship Id="rId274" Type="http://schemas.openxmlformats.org/officeDocument/2006/relationships/revisionLog" Target="revisionLog159.xml"/><Relationship Id="rId279" Type="http://schemas.openxmlformats.org/officeDocument/2006/relationships/revisionLog" Target="revisionLog164.xml"/><Relationship Id="rId134" Type="http://schemas.openxmlformats.org/officeDocument/2006/relationships/revisionLog" Target="revisionLog24.xml"/><Relationship Id="rId118" Type="http://schemas.openxmlformats.org/officeDocument/2006/relationships/revisionLog" Target="revisionLog8.xml"/><Relationship Id="rId139" Type="http://schemas.openxmlformats.org/officeDocument/2006/relationships/revisionLog" Target="revisionLog29.xml"/><Relationship Id="rId150" Type="http://schemas.openxmlformats.org/officeDocument/2006/relationships/revisionLog" Target="revisionLog40.xml"/><Relationship Id="rId155" Type="http://schemas.openxmlformats.org/officeDocument/2006/relationships/revisionLog" Target="revisionLog41.xml"/><Relationship Id="rId171" Type="http://schemas.openxmlformats.org/officeDocument/2006/relationships/revisionLog" Target="revisionLog57.xml"/><Relationship Id="rId176" Type="http://schemas.openxmlformats.org/officeDocument/2006/relationships/revisionLog" Target="revisionLog62.xml"/><Relationship Id="rId192" Type="http://schemas.openxmlformats.org/officeDocument/2006/relationships/revisionLog" Target="revisionLog78.xml"/><Relationship Id="rId197" Type="http://schemas.openxmlformats.org/officeDocument/2006/relationships/revisionLog" Target="revisionLog83.xml"/><Relationship Id="rId206" Type="http://schemas.openxmlformats.org/officeDocument/2006/relationships/revisionLog" Target="revisionLog92.xml"/><Relationship Id="rId227" Type="http://schemas.openxmlformats.org/officeDocument/2006/relationships/revisionLog" Target="revisionLog112.xml"/><Relationship Id="rId201" Type="http://schemas.openxmlformats.org/officeDocument/2006/relationships/revisionLog" Target="revisionLog87.xml"/><Relationship Id="rId222" Type="http://schemas.openxmlformats.org/officeDocument/2006/relationships/revisionLog" Target="revisionLog107.xml"/><Relationship Id="rId243" Type="http://schemas.openxmlformats.org/officeDocument/2006/relationships/revisionLog" Target="revisionLog128.xml"/><Relationship Id="rId248" Type="http://schemas.openxmlformats.org/officeDocument/2006/relationships/revisionLog" Target="revisionLog133.xml"/><Relationship Id="rId264" Type="http://schemas.openxmlformats.org/officeDocument/2006/relationships/revisionLog" Target="revisionLog149.xml"/><Relationship Id="rId269" Type="http://schemas.openxmlformats.org/officeDocument/2006/relationships/revisionLog" Target="revisionLog154.xml"/><Relationship Id="rId129" Type="http://schemas.openxmlformats.org/officeDocument/2006/relationships/revisionLog" Target="revisionLog19.xml"/><Relationship Id="rId124" Type="http://schemas.openxmlformats.org/officeDocument/2006/relationships/revisionLog" Target="revisionLog14.xml"/><Relationship Id="rId140" Type="http://schemas.openxmlformats.org/officeDocument/2006/relationships/revisionLog" Target="revisionLog30.xml"/><Relationship Id="rId145" Type="http://schemas.openxmlformats.org/officeDocument/2006/relationships/revisionLog" Target="revisionLog35.xml"/><Relationship Id="rId161" Type="http://schemas.openxmlformats.org/officeDocument/2006/relationships/revisionLog" Target="revisionLog47.xml"/><Relationship Id="rId166" Type="http://schemas.openxmlformats.org/officeDocument/2006/relationships/revisionLog" Target="revisionLog52.xml"/><Relationship Id="rId182" Type="http://schemas.openxmlformats.org/officeDocument/2006/relationships/revisionLog" Target="revisionLog68.xml"/><Relationship Id="rId187" Type="http://schemas.openxmlformats.org/officeDocument/2006/relationships/revisionLog" Target="revisionLog73.xml"/><Relationship Id="rId217" Type="http://schemas.openxmlformats.org/officeDocument/2006/relationships/revisionLog" Target="revisionLog102.xml"/><Relationship Id="rId190" Type="http://schemas.openxmlformats.org/officeDocument/2006/relationships/revisionLog" Target="revisionLog76.xml"/><Relationship Id="rId204" Type="http://schemas.openxmlformats.org/officeDocument/2006/relationships/revisionLog" Target="revisionLog90.xml"/><Relationship Id="rId212" Type="http://schemas.openxmlformats.org/officeDocument/2006/relationships/revisionLog" Target="revisionLog98.xml"/><Relationship Id="rId220" Type="http://schemas.openxmlformats.org/officeDocument/2006/relationships/revisionLog" Target="revisionLog105.xml"/><Relationship Id="rId225" Type="http://schemas.openxmlformats.org/officeDocument/2006/relationships/revisionLog" Target="revisionLog110.xml"/><Relationship Id="rId233" Type="http://schemas.openxmlformats.org/officeDocument/2006/relationships/revisionLog" Target="revisionLog118.xml"/><Relationship Id="rId238" Type="http://schemas.openxmlformats.org/officeDocument/2006/relationships/revisionLog" Target="revisionLog123.xml"/><Relationship Id="rId241" Type="http://schemas.openxmlformats.org/officeDocument/2006/relationships/revisionLog" Target="revisionLog126.xml"/><Relationship Id="rId246" Type="http://schemas.openxmlformats.org/officeDocument/2006/relationships/revisionLog" Target="revisionLog131.xml"/><Relationship Id="rId254" Type="http://schemas.openxmlformats.org/officeDocument/2006/relationships/revisionLog" Target="revisionLog139.xml"/><Relationship Id="rId259" Type="http://schemas.openxmlformats.org/officeDocument/2006/relationships/revisionLog" Target="revisionLog144.xml"/><Relationship Id="rId267" Type="http://schemas.openxmlformats.org/officeDocument/2006/relationships/revisionLog" Target="revisionLog152.xml"/><Relationship Id="rId119" Type="http://schemas.openxmlformats.org/officeDocument/2006/relationships/revisionLog" Target="revisionLog9.xml"/><Relationship Id="rId127" Type="http://schemas.openxmlformats.org/officeDocument/2006/relationships/revisionLog" Target="revisionLog17.xml"/><Relationship Id="rId262" Type="http://schemas.openxmlformats.org/officeDocument/2006/relationships/revisionLog" Target="revisionLog147.xml"/><Relationship Id="rId270" Type="http://schemas.openxmlformats.org/officeDocument/2006/relationships/revisionLog" Target="revisionLog155.xml"/><Relationship Id="rId275" Type="http://schemas.openxmlformats.org/officeDocument/2006/relationships/revisionLog" Target="revisionLog160.xml"/><Relationship Id="rId130" Type="http://schemas.openxmlformats.org/officeDocument/2006/relationships/revisionLog" Target="revisionLog20.xml"/><Relationship Id="rId122" Type="http://schemas.openxmlformats.org/officeDocument/2006/relationships/revisionLog" Target="revisionLog12.xml"/><Relationship Id="rId143" Type="http://schemas.openxmlformats.org/officeDocument/2006/relationships/revisionLog" Target="revisionLog33.xml"/><Relationship Id="rId148" Type="http://schemas.openxmlformats.org/officeDocument/2006/relationships/revisionLog" Target="revisionLog38.xml"/><Relationship Id="rId135" Type="http://schemas.openxmlformats.org/officeDocument/2006/relationships/revisionLog" Target="revisionLog25.xml"/><Relationship Id="rId151" Type="http://schemas.openxmlformats.org/officeDocument/2006/relationships/revisionLog" Target="revisionLog1.xml"/><Relationship Id="rId156" Type="http://schemas.openxmlformats.org/officeDocument/2006/relationships/revisionLog" Target="revisionLog42.xml"/><Relationship Id="rId164" Type="http://schemas.openxmlformats.org/officeDocument/2006/relationships/revisionLog" Target="revisionLog50.xml"/><Relationship Id="rId169" Type="http://schemas.openxmlformats.org/officeDocument/2006/relationships/revisionLog" Target="revisionLog55.xml"/><Relationship Id="rId177" Type="http://schemas.openxmlformats.org/officeDocument/2006/relationships/revisionLog" Target="revisionLog63.xml"/><Relationship Id="rId185" Type="http://schemas.openxmlformats.org/officeDocument/2006/relationships/revisionLog" Target="revisionLog71.xml"/><Relationship Id="rId198" Type="http://schemas.openxmlformats.org/officeDocument/2006/relationships/revisionLog" Target="revisionLog84.xml"/><Relationship Id="rId172" Type="http://schemas.openxmlformats.org/officeDocument/2006/relationships/revisionLog" Target="revisionLog58.xml"/><Relationship Id="rId180" Type="http://schemas.openxmlformats.org/officeDocument/2006/relationships/revisionLog" Target="revisionLog66.xml"/><Relationship Id="rId193" Type="http://schemas.openxmlformats.org/officeDocument/2006/relationships/revisionLog" Target="revisionLog79.xml"/><Relationship Id="rId202" Type="http://schemas.openxmlformats.org/officeDocument/2006/relationships/revisionLog" Target="revisionLog88.xml"/><Relationship Id="rId207" Type="http://schemas.openxmlformats.org/officeDocument/2006/relationships/revisionLog" Target="revisionLog93.xml"/><Relationship Id="rId210" Type="http://schemas.openxmlformats.org/officeDocument/2006/relationships/revisionLog" Target="revisionLog96.xml"/><Relationship Id="rId215" Type="http://schemas.openxmlformats.org/officeDocument/2006/relationships/revisionLog" Target="revisionLog100.xml"/><Relationship Id="rId223" Type="http://schemas.openxmlformats.org/officeDocument/2006/relationships/revisionLog" Target="revisionLog108.xml"/><Relationship Id="rId228" Type="http://schemas.openxmlformats.org/officeDocument/2006/relationships/revisionLog" Target="revisionLog113.xml"/><Relationship Id="rId236" Type="http://schemas.openxmlformats.org/officeDocument/2006/relationships/revisionLog" Target="revisionLog121.xml"/><Relationship Id="rId244" Type="http://schemas.openxmlformats.org/officeDocument/2006/relationships/revisionLog" Target="revisionLog129.xml"/><Relationship Id="rId249" Type="http://schemas.openxmlformats.org/officeDocument/2006/relationships/revisionLog" Target="revisionLog134.xml"/><Relationship Id="rId257" Type="http://schemas.openxmlformats.org/officeDocument/2006/relationships/revisionLog" Target="revisionLog142.xml"/><Relationship Id="rId278" Type="http://schemas.openxmlformats.org/officeDocument/2006/relationships/revisionLog" Target="revisionLog163.xml"/><Relationship Id="rId260" Type="http://schemas.openxmlformats.org/officeDocument/2006/relationships/revisionLog" Target="revisionLog145.xml"/><Relationship Id="rId265" Type="http://schemas.openxmlformats.org/officeDocument/2006/relationships/revisionLog" Target="revisionLog150.xml"/><Relationship Id="rId125" Type="http://schemas.openxmlformats.org/officeDocument/2006/relationships/revisionLog" Target="revisionLog15.xml"/><Relationship Id="rId141" Type="http://schemas.openxmlformats.org/officeDocument/2006/relationships/revisionLog" Target="revisionLog31.xml"/><Relationship Id="rId146" Type="http://schemas.openxmlformats.org/officeDocument/2006/relationships/revisionLog" Target="revisionLog36.xml"/><Relationship Id="rId120" Type="http://schemas.openxmlformats.org/officeDocument/2006/relationships/revisionLog" Target="revisionLog10.xml"/><Relationship Id="rId167" Type="http://schemas.openxmlformats.org/officeDocument/2006/relationships/revisionLog" Target="revisionLog53.xml"/><Relationship Id="rId188" Type="http://schemas.openxmlformats.org/officeDocument/2006/relationships/revisionLog" Target="revisionLog74.xml"/><Relationship Id="rId162" Type="http://schemas.openxmlformats.org/officeDocument/2006/relationships/revisionLog" Target="revisionLog48.xml"/><Relationship Id="rId183" Type="http://schemas.openxmlformats.org/officeDocument/2006/relationships/revisionLog" Target="revisionLog69.xml"/><Relationship Id="rId213" Type="http://schemas.openxmlformats.org/officeDocument/2006/relationships/revisionLog" Target="revisionLog5.xml"/><Relationship Id="rId218" Type="http://schemas.openxmlformats.org/officeDocument/2006/relationships/revisionLog" Target="revisionLog103.xml"/><Relationship Id="rId234" Type="http://schemas.openxmlformats.org/officeDocument/2006/relationships/revisionLog" Target="revisionLog119.xml"/><Relationship Id="rId239" Type="http://schemas.openxmlformats.org/officeDocument/2006/relationships/revisionLog" Target="revisionLog124.xml"/><Relationship Id="rId250" Type="http://schemas.openxmlformats.org/officeDocument/2006/relationships/revisionLog" Target="revisionLog135.xml"/><Relationship Id="rId255" Type="http://schemas.openxmlformats.org/officeDocument/2006/relationships/revisionLog" Target="revisionLog140.xml"/><Relationship Id="rId271" Type="http://schemas.openxmlformats.org/officeDocument/2006/relationships/revisionLog" Target="revisionLog156.xml"/><Relationship Id="rId276" Type="http://schemas.openxmlformats.org/officeDocument/2006/relationships/revisionLog" Target="revisionLog161.xml"/><Relationship Id="rId131" Type="http://schemas.openxmlformats.org/officeDocument/2006/relationships/revisionLog" Target="revisionLog21.xml"/><Relationship Id="rId178" Type="http://schemas.openxmlformats.org/officeDocument/2006/relationships/revisionLog" Target="revisionLog64.xml"/><Relationship Id="rId136" Type="http://schemas.openxmlformats.org/officeDocument/2006/relationships/revisionLog" Target="revisionLog26.xml"/><Relationship Id="rId157" Type="http://schemas.openxmlformats.org/officeDocument/2006/relationships/revisionLog" Target="revisionLog43.xml"/><Relationship Id="rId152" Type="http://schemas.openxmlformats.org/officeDocument/2006/relationships/revisionLog" Target="revisionLog2.xml"/><Relationship Id="rId173" Type="http://schemas.openxmlformats.org/officeDocument/2006/relationships/revisionLog" Target="revisionLog59.xml"/><Relationship Id="rId194" Type="http://schemas.openxmlformats.org/officeDocument/2006/relationships/revisionLog" Target="revisionLog80.xml"/><Relationship Id="rId199" Type="http://schemas.openxmlformats.org/officeDocument/2006/relationships/revisionLog" Target="revisionLog85.xml"/><Relationship Id="rId203" Type="http://schemas.openxmlformats.org/officeDocument/2006/relationships/revisionLog" Target="revisionLog89.xml"/><Relationship Id="rId208" Type="http://schemas.openxmlformats.org/officeDocument/2006/relationships/revisionLog" Target="revisionLog94.xml"/><Relationship Id="rId229" Type="http://schemas.openxmlformats.org/officeDocument/2006/relationships/revisionLog" Target="revisionLog114.xml"/><Relationship Id="rId224" Type="http://schemas.openxmlformats.org/officeDocument/2006/relationships/revisionLog" Target="revisionLog109.xml"/><Relationship Id="rId240" Type="http://schemas.openxmlformats.org/officeDocument/2006/relationships/revisionLog" Target="revisionLog125.xml"/><Relationship Id="rId245" Type="http://schemas.openxmlformats.org/officeDocument/2006/relationships/revisionLog" Target="revisionLog130.xml"/><Relationship Id="rId261" Type="http://schemas.openxmlformats.org/officeDocument/2006/relationships/revisionLog" Target="revisionLog146.xml"/><Relationship Id="rId266" Type="http://schemas.openxmlformats.org/officeDocument/2006/relationships/revisionLog" Target="revisionLog151.xml"/><Relationship Id="rId168" Type="http://schemas.openxmlformats.org/officeDocument/2006/relationships/revisionLog" Target="revisionLog54.xml"/><Relationship Id="rId147" Type="http://schemas.openxmlformats.org/officeDocument/2006/relationships/revisionLog" Target="revisionLog37.xml"/><Relationship Id="rId126" Type="http://schemas.openxmlformats.org/officeDocument/2006/relationships/revisionLog" Target="revisionLog16.xml"/><Relationship Id="rId142" Type="http://schemas.openxmlformats.org/officeDocument/2006/relationships/revisionLog" Target="revisionLog32.xml"/><Relationship Id="rId121" Type="http://schemas.openxmlformats.org/officeDocument/2006/relationships/revisionLog" Target="revisionLog11.xml"/><Relationship Id="rId163" Type="http://schemas.openxmlformats.org/officeDocument/2006/relationships/revisionLog" Target="revisionLog49.xml"/><Relationship Id="rId184" Type="http://schemas.openxmlformats.org/officeDocument/2006/relationships/revisionLog" Target="revisionLog70.xml"/><Relationship Id="rId189" Type="http://schemas.openxmlformats.org/officeDocument/2006/relationships/revisionLog" Target="revisionLog75.xml"/><Relationship Id="rId219" Type="http://schemas.openxmlformats.org/officeDocument/2006/relationships/revisionLog" Target="revisionLog104.xml"/><Relationship Id="rId214" Type="http://schemas.openxmlformats.org/officeDocument/2006/relationships/revisionLog" Target="revisionLog99.xml"/><Relationship Id="rId230" Type="http://schemas.openxmlformats.org/officeDocument/2006/relationships/revisionLog" Target="revisionLog115.xml"/><Relationship Id="rId235" Type="http://schemas.openxmlformats.org/officeDocument/2006/relationships/revisionLog" Target="revisionLog120.xml"/><Relationship Id="rId251" Type="http://schemas.openxmlformats.org/officeDocument/2006/relationships/revisionLog" Target="revisionLog136.xml"/><Relationship Id="rId256" Type="http://schemas.openxmlformats.org/officeDocument/2006/relationships/revisionLog" Target="revisionLog141.xml"/><Relationship Id="rId277" Type="http://schemas.openxmlformats.org/officeDocument/2006/relationships/revisionLog" Target="revisionLog162.xml"/><Relationship Id="rId137" Type="http://schemas.openxmlformats.org/officeDocument/2006/relationships/revisionLog" Target="revisionLog27.xml"/><Relationship Id="rId116" Type="http://schemas.openxmlformats.org/officeDocument/2006/relationships/revisionLog" Target="revisionLog6.xml"/><Relationship Id="rId158" Type="http://schemas.openxmlformats.org/officeDocument/2006/relationships/revisionLog" Target="revisionLog44.xml"/><Relationship Id="rId272" Type="http://schemas.openxmlformats.org/officeDocument/2006/relationships/revisionLog" Target="revisionLog157.xml"/><Relationship Id="rId132" Type="http://schemas.openxmlformats.org/officeDocument/2006/relationships/revisionLog" Target="revisionLog22.xml"/><Relationship Id="rId153" Type="http://schemas.openxmlformats.org/officeDocument/2006/relationships/revisionLog" Target="revisionLog3.xml"/><Relationship Id="rId174" Type="http://schemas.openxmlformats.org/officeDocument/2006/relationships/revisionLog" Target="revisionLog60.xml"/><Relationship Id="rId179" Type="http://schemas.openxmlformats.org/officeDocument/2006/relationships/revisionLog" Target="revisionLog65.xml"/><Relationship Id="rId195" Type="http://schemas.openxmlformats.org/officeDocument/2006/relationships/revisionLog" Target="revisionLog81.xml"/><Relationship Id="rId209" Type="http://schemas.openxmlformats.org/officeDocument/2006/relationships/revisionLog" Target="revisionLog9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D3362E5-91EB-42A3-9E87-544D03FAFDE7}" diskRevisions="1" revisionId="4885" version="279">
  <header guid="{F8D6AF3C-B133-4622-8966-46EC3C6C04CF}" dateTime="2014-09-22T11:32:01" maxSheetId="10" userName="Sanjeevi Sreekanth" r:id="rId116" minRId="2224" maxRId="22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CDEFD6E-121D-4519-BEF5-7199765CBBE2}" dateTime="2014-09-23T18:45:10" maxSheetId="10" userName="Sanjeevi Sreekanth" r:id="rId117" minRId="22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2110FF8-0BE0-4B80-BDF9-D3BF0C1E4C9F}" dateTime="2014-09-24T12:27:51" maxSheetId="10" userName="Sanjeevi Sreekanth" r:id="rId118" minRId="2259" maxRId="22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A6C1965-6F75-4FDA-AA64-E7257DB9A2B0}" dateTime="2014-09-24T12:28:49" maxSheetId="10" userName="Sanjeevi Sreekanth" r:id="rId119" minRId="2272" maxRId="22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6107090-3705-4379-85E7-9A7B67CE806D}" dateTime="2014-09-24T12:33:37" maxSheetId="10" userName="Sanjeevi Sreekanth" r:id="rId120" minRId="2274" maxRId="228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ED43E8E-2AD3-4C4C-8D01-A63FD1A4CB8B}" dateTime="2014-09-24T12:36:57" maxSheetId="10" userName="Sanjeevi Sreekanth" r:id="rId121" minRId="2288" maxRId="228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F1A4E99-4A95-447F-8000-DABD72E9A68D}" dateTime="2014-09-24T12:41:40" maxSheetId="10" userName="Sanjeevi Sreekanth" r:id="rId1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55F2DDB-7FA1-4179-8C15-258704335087}" dateTime="2014-09-24T12:41:49" maxSheetId="10" userName="Sanjeevi Sreekanth" r:id="rId1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9A92948-D513-4EFA-85B8-795819B7A0E5}" dateTime="2014-09-24T12:46:55" maxSheetId="10" userName="Sanjeevi Sreekanth" r:id="rId124" minRId="2301" maxRId="230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0948190-94C8-4D43-A75D-862037D1A93C}" dateTime="2014-09-24T12:50:30" maxSheetId="10" userName="Sanjeevi Sreekanth" r:id="rId125" minRId="2305" maxRId="23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32C3E5F-A6C7-4A45-8438-6AE9D371EC42}" dateTime="2014-09-24T12:54:26" maxSheetId="10" userName="Sanjeevi Sreekanth" r:id="rId126" minRId="231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DE0B323-2369-492B-AB2C-D8F6FC7DFCCF}" dateTime="2014-09-24T12:55:10" maxSheetId="10" userName="Sanjeevi Sreekanth" r:id="rId127" minRId="23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77A225B-6983-4232-9390-76C030FB9B67}" dateTime="2014-09-24T12:57:20" maxSheetId="10" userName="Sanjeevi Sreekanth" r:id="rId128" minRId="2328" maxRId="234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1E15ABE-8684-4A5B-B82A-BE7D0C080A13}" dateTime="2014-09-24T13:00:01" maxSheetId="10" userName="Sanjeevi Sreekanth" r:id="rId129" minRId="2342" maxRId="23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D83E9CC-F1F4-4FDE-B987-4E73D9130BB0}" dateTime="2014-09-24T13:49:46" maxSheetId="10" userName="Sanjeevi Sreekanth" r:id="rId130" minRId="2345" maxRId="234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2C98E64-546A-4D07-AB3A-812DB17B1BE0}" dateTime="2014-09-24T13:56:41" maxSheetId="10" userName="Sanjeevi Sreekanth" r:id="rId131" minRId="2361" maxRId="23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3386093-F2AE-41FE-B862-6D60C66CEB75}" dateTime="2014-09-24T13:57:09" maxSheetId="10" userName="Sanjeevi Sreekanth" r:id="rId1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26C2127-B935-4D57-B7AD-171CA1C9D0CE}" dateTime="2014-09-24T13:57:28" maxSheetId="10" userName="Sanjeevi Sreekanth" r:id="rId13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4D4AFED-5D93-4E2B-9CA6-C1BFF73259AA}" dateTime="2014-09-24T13:57:53" maxSheetId="10" userName="Sanjeevi Sreekanth" r:id="rId1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4372EFB-DB7A-4B2F-86D4-B267828F9240}" dateTime="2014-09-24T13:58:46" maxSheetId="10" userName="Sanjeevi Sreekanth" r:id="rId1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9F97D22-FEB6-44F3-8CB7-691A73381D9F}" dateTime="2014-09-24T14:00:33" maxSheetId="10" userName="Sanjeevi Sreekanth" r:id="rId136" minRId="2427" maxRId="243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FABF18C-72C2-43F0-975B-2E58251B1D9F}" dateTime="2014-09-24T14:01:04" maxSheetId="10" userName="Sanjeevi Sreekanth" r:id="rId137" minRId="2449" maxRId="245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5848211-55C4-4F9B-8B94-3F00FBA36613}" dateTime="2014-09-24T14:01:39" maxSheetId="10" userName="Sanjeevi Sreekanth" r:id="rId13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BBF9041-BDFB-416F-8233-D7E7B18CD39E}" dateTime="2014-09-24T14:06:06" maxSheetId="10" userName="Sanjeevi Sreekanth" r:id="rId1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107674D-71AB-4217-BD19-9881822923E8}" dateTime="2014-09-24T15:40:58" maxSheetId="10" userName="Gowri R" r:id="rId140" minRId="24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1244C64-1879-4EB9-81CB-FD9FA4FB5692}" dateTime="2014-09-24T15:41:29" maxSheetId="10" userName="Gowri R" r:id="rId141" minRId="2490" maxRId="24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4D1C4C6-9107-441C-A9B4-30C78C07FBD4}" dateTime="2014-09-24T15:42:02" maxSheetId="10" userName="Gowri R" r:id="rId14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53BFC4C-947A-4DBD-A316-F6D88562F969}" dateTime="2014-09-24T15:54:42" maxSheetId="10" userName="Sanjeevi Sreekanth" r:id="rId1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98BCFC7-F292-4A19-AD8E-47BEA7273AA7}" dateTime="2014-10-10T18:56:36" maxSheetId="10" userName="Gowri R" r:id="rId14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C5FA6AB-E498-4891-ABD9-EAF86C34AAB5}" dateTime="2014-10-15T11:23:00" maxSheetId="10" userName="Sanjeevi Sreekanth" r:id="rId145" minRId="2506" maxRId="25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8893609-191E-4EC0-8A81-2D77B42650D1}" dateTime="2014-10-15T11:34:26" maxSheetId="10" userName="Sanjeevi Sreekanth" r:id="rId146" minRId="2532" maxRId="25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F9F43FD-98FD-4287-9064-E2BBF778E6F3}" dateTime="2014-10-15T11:59:05" maxSheetId="10" userName="Gowri R" r:id="rId1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B81B07A-7CC8-425D-AE93-EBFF349588D9}" dateTime="2014-10-15T14:30:51" maxSheetId="10" userName="Sanjeevi Sreekanth" r:id="rId148" minRId="2551" maxRId="255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D53CC0C-3620-4250-BFFE-AA418CEA9021}" dateTime="2014-10-21T10:00:00" maxSheetId="10" userName="Sanjeevi Sreekanth" r:id="rId149" minRId="2554" maxRId="255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915366F-BDC8-44F7-A1C6-9A4AFF791035}" dateTime="2014-10-21T10:04:06" maxSheetId="10" userName="Sanjeevi Sreekanth" r:id="rId150" minRId="2558" maxRId="256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F7F5373-CA1B-4B62-872B-309B8F04EAC0}" dateTime="2014-10-21T10:49:51" maxSheetId="10" userName="Sanjeevi Sreekanth" r:id="rId151" minRId="2563" maxRId="25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F7FACCC-AA96-4D1B-818A-A97ED3C4AD6B}" dateTime="2014-10-21T10:50:34" maxSheetId="10" userName="Sanjeevi Sreekanth" r:id="rId152" minRId="2581" maxRId="25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ACAD58B-A1F9-406A-AC04-DA664B90E65B}" dateTime="2014-10-21T10:52:37" maxSheetId="10" userName="Sanjeevi Sreekanth" r:id="rId153" minRId="2583" maxRId="258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43B05AD-220E-4B4E-A295-73C59D188272}" dateTime="2014-10-21T11:02:34" maxSheetId="10" userName="Sanjeevi Sreekanth" r:id="rId154" minRId="2585" maxRId="26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4F83BB5-4D08-440A-9228-5D77D01CC6E2}" dateTime="2014-10-21T11:12:37" maxSheetId="10" userName="Sanjeevi Sreekanth" r:id="rId155" minRId="26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5E79C3F-273A-492E-9CB1-E07822E8EA8C}" dateTime="2014-10-21T11:23:12" maxSheetId="10" userName="Sanjeevi Sreekanth" r:id="rId156" minRId="2618" maxRId="262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DAAFAC1-060C-46AB-B905-20ACD3D2F975}" dateTime="2014-10-21T11:24:08" maxSheetId="10" userName="Sanjeevi Sreekanth" r:id="rId157" minRId="2633" maxRId="26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685153D-BB9D-42D9-BE27-EF456978903A}" dateTime="2014-10-21T12:10:19" maxSheetId="10" userName="Sanjeevi Sreekanth" r:id="rId158" minRId="2636" maxRId="265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2D6D09D-DE1C-4C39-A122-1F81078F2486}" dateTime="2014-10-21T12:11:12" maxSheetId="10" userName="Sanjeevi Sreekanth" r:id="rId159" minRId="2656" maxRId="265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C189BB3-FB39-487F-AE65-BB56B4993FDA}" dateTime="2014-10-21T12:24:31" maxSheetId="10" userName="Gowri R" r:id="rId1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3BA1091-C7F9-49BC-95EA-58F3D9BA8103}" dateTime="2014-10-21T12:25:00" maxSheetId="10" userName="Gowri R" r:id="rId16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BAE996C-5858-4E20-AC8A-C1866D5D08D1}" dateTime="2014-10-21T12:33:48" maxSheetId="10" userName="Sanjeevi Sreekanth" r:id="rId162" minRId="2680" maxRId="268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C92C325-FD73-481F-B088-36D817EEBA4C}" dateTime="2014-10-21T12:34:22" maxSheetId="10" userName="Sanjeevi Sreekanth" r:id="rId16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449E298-D5B7-4A60-BE92-13451EB09592}" dateTime="2014-10-21T12:34:29" maxSheetId="10" userName="Sanjeevi Sreekanth" r:id="rId1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A77BF9D-33ED-4BAB-84F9-E53B5D4CD5CD}" dateTime="2014-10-21T12:34:35" maxSheetId="10" userName="Sanjeevi Sreekanth" r:id="rId16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07D4C4F-B40B-4502-9EA4-375FE44326E6}" dateTime="2014-10-21T12:34:49" maxSheetId="10" userName="Sanjeevi Sreekanth" r:id="rId16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407B38D-8ECA-4987-A8D7-E9A85486E609}" dateTime="2014-10-21T12:34:55" maxSheetId="10" userName="Sanjeevi Sreekanth" r:id="rId1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9E9FC92-1DCE-4FD7-9040-A6B537293D20}" dateTime="2014-10-21T12:35:26" maxSheetId="10" userName="Sanjeevi Sreekanth" r:id="rId168" minRId="268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53FF2D4-71FD-4215-877F-1A62B2BFFEEA}" dateTime="2014-10-21T12:39:20" maxSheetId="10" userName="Gowri R" r:id="rId169" minRId="2684" maxRId="271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CEB26E5-B9F3-406C-8F7B-0F8BBA81F8C6}" dateTime="2014-10-21T12:41:28" maxSheetId="10" userName="Sanjeevi Sreekanth" r:id="rId170" minRId="2718" maxRId="275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5142E69-77E7-4F79-A8FB-EFBE2963ACED}" dateTime="2014-10-21T12:43:43" maxSheetId="10" userName="Gowri R" r:id="rId171" minRId="2762" maxRId="279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BDD4934-69B7-4469-86AC-697928023500}" dateTime="2014-10-21T12:48:12" maxSheetId="10" userName="Gowri R" r:id="rId172" minRId="2791" maxRId="28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6AECDD8-531F-4692-9E6E-E0DBBCA0F143}" dateTime="2014-10-21T12:57:46" maxSheetId="10" userName="Gowri R" r:id="rId173" minRId="2824" maxRId="283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7830492-05EA-4807-A329-A122C68ADD89}" dateTime="2014-10-21T13:43:46" maxSheetId="10" userName="Sanjeevi Sreekanth" r:id="rId174" minRId="2834" maxRId="28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DB490F5-8BDB-4D38-BC92-1F5559E42408}" dateTime="2014-10-21T13:50:14" maxSheetId="10" userName="Sanjeevi Sreekanth" r:id="rId175" minRId="28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CACF3B8-B145-47EE-A2D5-239E05A56376}" dateTime="2014-10-21T13:51:08" maxSheetId="10" userName="Sanjeevi Sreekanth" r:id="rId176" minRId="28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C2E9B40-4053-42FA-82FC-CA30693931BC}" dateTime="2014-10-21T13:53:31" maxSheetId="10" userName="Sanjeevi Sreekanth" r:id="rId177" minRId="2870" maxRId="28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653A632-EBD0-4754-9B00-15948BCADA51}" dateTime="2014-10-21T13:55:44" maxSheetId="10" userName="Sanjeevi Sreekanth" r:id="rId178" minRId="2889" maxRId="290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492A90F-EBBC-4227-BC5A-E92110CE0FEA}" dateTime="2014-10-21T13:56:04" maxSheetId="10" userName="Sanjeevi Sreekanth" r:id="rId179" minRId="29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8A8C931-C69F-406B-87B3-D4E07994A41B}" dateTime="2014-10-21T13:58:01" maxSheetId="10" userName="Sanjeevi Sreekanth" r:id="rId180" minRId="2907" maxRId="291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A40D69E-4265-41B2-AE27-D219CEC7A7E7}" dateTime="2014-10-21T13:58:17" maxSheetId="10" userName="Sanjeevi Sreekanth" r:id="rId181" minRId="29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F690BC9-5059-467D-9069-A9564E99AA7A}" dateTime="2014-10-21T14:19:36" maxSheetId="10" userName="Sanjeevi Sreekanth" r:id="rId182" minRId="2913" maxRId="296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EF213F4-307F-419B-BD52-E23D51B74961}" dateTime="2014-10-21T14:57:28" maxSheetId="10" userName="Sanjeevi Sreekanth" r:id="rId183" minRId="2972" maxRId="29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8BFA63B-7CB6-4CEF-8F52-BC967AC0791F}" dateTime="2014-10-21T15:06:07" maxSheetId="10" userName="Sanjeevi Sreekanth" r:id="rId184" minRId="2976" maxRId="29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75F8377-7349-44C0-9A41-A09B6A23D89C}" dateTime="2014-10-21T15:15:41" maxSheetId="10" userName="Sanjeevi Sreekanth" r:id="rId185" minRId="2979" maxRId="299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AC90CA7-FC03-48D4-B3B1-E3FD03481D4C}" dateTime="2014-10-21T15:18:47" maxSheetId="10" userName="Sanjeevi Sreekanth" r:id="rId186" minRId="2997" maxRId="30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141B239-B558-4ABB-8A88-827FB8C3FFD5}" dateTime="2014-10-21T15:59:15" maxSheetId="10" userName="Sanjeevi Sreekanth" r:id="rId187" minRId="30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4B92A8C-E098-49D4-A85E-D33221F48253}" dateTime="2014-10-21T16:29:52" maxSheetId="10" userName="Sanjeevi Sreekanth" r:id="rId188" minRId="3036" maxRId="304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D326612-2E61-4ECD-BE0A-56AA3CAB86A0}" dateTime="2014-10-21T16:43:56" maxSheetId="10" userName="Sanjeevi Sreekanth" r:id="rId189" minRId="304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CBB1B5B-98CF-42C4-B9C0-671AD581E07A}" dateTime="2014-10-21T17:03:39" maxSheetId="10" userName="Sanjeevi Sreekanth" r:id="rId190" minRId="3049" maxRId="306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753E235-8D06-4B15-AB83-97BEA4600EC3}" dateTime="2014-10-21T17:05:33" maxSheetId="10" userName="Sanjeevi Sreekanth" r:id="rId191" minRId="3077" maxRId="309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965709A-F87C-44A3-B8F9-D758A1CC9B1B}" dateTime="2014-10-21T17:06:49" maxSheetId="10" userName="Sanjeevi Sreekanth" r:id="rId19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2DD8868-5923-4E3A-947F-383A912560FD}" dateTime="2014-10-21T17:07:12" maxSheetId="10" userName="Sanjeevi Sreekanth" r:id="rId19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864F1C5-27CD-4086-B66B-5E5642D2AD2D}" dateTime="2014-10-21T17:09:13" maxSheetId="10" userName="Sanjeevi Sreekanth" r:id="rId194" minRId="3117" maxRId="31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FC3DA8C-9A09-4E6F-BCE6-CC6D118D5D65}" dateTime="2014-10-21T17:09:33" maxSheetId="10" userName="Sanjeevi Sreekanth" r:id="rId195" minRId="3135" maxRId="314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1791A29-354B-49AF-81AE-B647F7344FB0}" dateTime="2014-10-21T17:09:47" maxSheetId="10" userName="Sanjeevi Sreekanth" r:id="rId196" minRId="3141" maxRId="31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8D8FD7F-9144-46D4-BD2D-3B9CB25A9C34}" dateTime="2014-10-21T17:09:58" maxSheetId="10" userName="Sanjeevi Sreekanth" r:id="rId197" minRId="3144" maxRId="314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BEAA6CC-80BD-4B03-9946-4F29B6677749}" dateTime="2014-10-21T17:16:13" maxSheetId="10" userName="Sanjeevi Sreekanth" r:id="rId198" minRId="3147" maxRId="31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7F5547B-9DB9-407A-B2C9-383F88775E5D}" dateTime="2014-10-21T17:17:32" maxSheetId="10" userName="Sanjeevi Sreekanth" r:id="rId199" minRId="3178" maxRId="318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F965754-EEA0-4D1D-9A8B-ADD5B842967A}" dateTime="2014-10-21T17:35:28" maxSheetId="10" userName="Sanjeevi Sreekanth" r:id="rId200" minRId="32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40DB00F-FB1A-4C95-98E3-662F16B833D9}" dateTime="2014-10-21T17:40:46" maxSheetId="10" userName="Sanjeevi Sreekanth" r:id="rId201" minRId="320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3464251-11DD-4E3D-BD8A-4B23FD3FE8EC}" dateTime="2014-10-21T17:46:33" maxSheetId="10" userName="Sanjeevi Sreekanth" r:id="rId202" minRId="3202" maxRId="320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106F875-6C38-4EF1-96F5-7C660E176E65}" dateTime="2014-10-21T17:50:40" maxSheetId="10" userName="Sanjeevi Sreekanth" r:id="rId203" minRId="3218" maxRId="32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C54A5DA-71BE-4273-BC02-EAFA90E97772}" dateTime="2014-10-21T17:51:46" maxSheetId="10" userName="Sanjeevi Sreekanth" r:id="rId204" minRId="3221" maxRId="32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54B9E8C-75F6-40BA-B18C-3EF70083F4E0}" dateTime="2014-10-21T17:53:14" maxSheetId="10" userName="Sanjeevi Sreekanth" r:id="rId205" minRId="3224" maxRId="322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C89B095-1C26-4438-ABC9-4C65712973DA}" dateTime="2014-10-21T17:54:42" maxSheetId="10" userName="Sanjeevi Sreekanth" r:id="rId206" minRId="3229" maxRId="323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D72FE79-66DC-48EB-9A60-508BAC639C68}" dateTime="2014-10-21T17:58:21" maxSheetId="10" userName="Sanjeevi Sreekanth" r:id="rId207" minRId="3233" maxRId="323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35C931E-2516-4354-BFDB-6B03FD329F0F}" dateTime="2014-10-21T18:32:23" maxSheetId="10" userName="Gowri R" r:id="rId20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74A5C35-4797-4A78-B693-4CA2C5ACE21B}" dateTime="2014-10-21T18:34:22" maxSheetId="10" userName="Sanjeevi Sreekanth" r:id="rId209" minRId="3249" maxRId="325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4CFD8FD-88A4-46A5-A657-456D48000CA1}" dateTime="2014-10-21T18:38:58" maxSheetId="10" userName="Sanjeevi Sreekanth" r:id="rId210" minRId="326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843CC2B-5F4F-4221-8AC6-570E29BCD291}" dateTime="2014-10-21T18:44:36" maxSheetId="10" userName="Gowri R" r:id="rId211" minRId="3269" maxRId="327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E60E7B2-E3DF-4AB7-AF13-A2275B8FED04}" dateTime="2014-10-23T17:09:20" maxSheetId="10" userName="Gowri R" r:id="rId2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4CF410E-477D-4C64-B01D-672F187C1083}" dateTime="2014-10-27T09:43:05" maxSheetId="10" userName="Sanjeevi Sreekanth" r:id="rId213" minRId="328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E932C54-6A87-4E9C-9627-8EE93AA8DACF}" dateTime="2014-11-17T11:24:30" maxSheetId="10" userName="Sanjeevi Sreekanth" r:id="rId21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D4ADE40-E7EC-48F0-9F96-1B778F9E78A5}" dateTime="2014-11-17T11:36:23" maxSheetId="10" userName="Sanjeevi Sreekanth" r:id="rId215" minRId="3307" maxRId="330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7DF4905-2ACF-48AD-A6F8-CAA7C7BC7CC0}" dateTime="2014-11-17T11:49:56" maxSheetId="10" userName="Sanjeevi Sreekanth" r:id="rId216" minRId="3310" maxRId="332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529FF13-9617-4CCA-8ED4-06B1B97A541A}" dateTime="2014-11-17T11:59:16" maxSheetId="10" userName="Sanjeevi Sreekanth" r:id="rId217" minRId="33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0722F2E-0B55-4325-B784-0A3B0A6B6BB7}" dateTime="2014-11-18T12:24:48" maxSheetId="10" userName="Sanjeevi Sreekanth" r:id="rId2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6BDE15B-6F9E-4399-A3C0-14C3AA20F190}" dateTime="2014-11-18T13:43:45" maxSheetId="10" userName="Sanjeevi Sreekanth" r:id="rId219" minRId="33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DB6DB1C-5607-4268-924D-9C9BE6DA6401}" dateTime="2014-11-18T13:55:19" maxSheetId="10" userName="Sanjeevi Sreekanth" r:id="rId220" minRId="3336" maxRId="334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8BF053E-5702-4AB3-AB6E-0422E43802B2}" dateTime="2014-11-18T14:07:32" maxSheetId="10" userName="Sanjeevi Sreekanth" r:id="rId221" minRId="3341" maxRId="334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AB4ACD6-1B43-4085-B45E-FC9C5D871077}" dateTime="2014-11-18T14:14:53" maxSheetId="10" userName="Sanjeevi Sreekanth" r:id="rId222" minRId="3344" maxRId="336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401F607-EA13-4B79-AA50-06232E278019}" dateTime="2014-11-18T14:16:00" maxSheetId="10" userName="Sanjeevi Sreekanth" r:id="rId22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CCE3DBF-6096-46F1-9332-C0D56801BC32}" dateTime="2014-11-18T15:35:12" maxSheetId="10" userName="Sanjeevi Sreekanth" r:id="rId224" minRId="3374" maxRId="339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181C2C08-C0B2-4574-9787-995D5F92E95B}" dateTime="2014-11-18T17:21:54" maxSheetId="10" userName="Sanjeevi Sreekanth" r:id="rId225" minRId="3397" maxRId="34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6FDEC2E-1FD9-436B-85ED-3EFFB1E119A8}" dateTime="2014-11-18T18:00:28" maxSheetId="10" userName="Sanjeevi Sreekanth" r:id="rId226" minRId="3413" maxRId="341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796955D-8034-4B81-A2A0-A133F9C94963}" dateTime="2014-11-18T18:10:45" maxSheetId="10" userName="Sanjeevi Sreekanth" r:id="rId227" minRId="3418" maxRId="343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88A4AB7-A497-474E-B0B8-871E80249CF7}" dateTime="2014-11-18T18:15:16" maxSheetId="10" userName="Sanjeevi Sreekanth" r:id="rId228" minRId="3435" maxRId="34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28D5742-1851-4A95-A46D-6477CB35FCC0}" dateTime="2014-11-18T19:29:39" maxSheetId="10" userName="Sanjeevi Sreekanth" r:id="rId229" minRId="3440" maxRId="345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6AB1B62-121E-4542-A6BF-4E9333A87D58}" dateTime="2014-11-19T09:54:11" maxSheetId="10" userName="Sanjeevi Sreekanth" r:id="rId230" minRId="3458" maxRId="346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849E935-DDDF-4F72-8064-3C265E33ABA3}" dateTime="2014-11-19T09:55:53" maxSheetId="10" userName="Sanjeevi Sreekanth" r:id="rId231" minRId="3477" maxRId="34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CD48B6B-B310-4C02-8CC9-2EF5E3EDF03D}" dateTime="2014-11-19T09:59:24" maxSheetId="10" userName="Sanjeevi Sreekanth" r:id="rId232" minRId="3479" maxRId="348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F80FBF80-1A34-40E4-BD45-2DDDB0F06FB2}" dateTime="2014-11-19T10:03:44" maxSheetId="10" userName="Sanjeevi Sreekanth" r:id="rId233" minRId="3481" maxRId="348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9B6A336-914A-40EC-900E-F906A9D109A9}" dateTime="2014-11-19T10:06:25" maxSheetId="10" userName="Sanjeevi Sreekanth" r:id="rId234" minRId="3490" maxRId="349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DD2929D-B86D-4550-9C05-39B12FA62785}" dateTime="2014-11-19T10:06:36" maxSheetId="10" userName="Sanjeevi Sreekanth" r:id="rId2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BB421D6-3960-49A1-9724-903343E000DD}" dateTime="2014-11-19T10:50:12" maxSheetId="10" userName="Sanjeevi Sreekanth" r:id="rId236" minRId="3500" maxRId="353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BC903FCC-AF9C-4104-9723-5AC4846F212C}" dateTime="2014-11-19T10:52:46" maxSheetId="10" userName="Sanjeevi Sreekanth" r:id="rId237" minRId="3536" maxRId="353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8506C0E-4E8E-4891-A962-C4533989CE01}" dateTime="2014-11-19T10:56:05" maxSheetId="10" userName="Sanjeevi Sreekanth" r:id="rId238" minRId="3538" maxRId="35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43F4374-6C46-4582-8C42-3D83D1E9EDC4}" dateTime="2014-11-19T11:03:29" maxSheetId="10" userName="Sanjeevi Sreekanth" r:id="rId239" minRId="3540" maxRId="354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FFFC711-971A-4BBF-8349-525E0287B92C}" dateTime="2014-11-19T11:19:34" maxSheetId="10" userName="Sanjeevi Sreekanth" r:id="rId240" minRId="3561" maxRId="35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995C4C6-5636-421A-9025-CC0282296995}" dateTime="2014-11-19T11:32:15" maxSheetId="10" userName="Sanjeevi Sreekanth" r:id="rId241" minRId="3576" maxRId="359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D5501FA-5E8C-435D-A269-F1C8B583F7A4}" dateTime="2014-11-19T11:41:08" maxSheetId="10" userName="Sanjeevi Sreekanth" r:id="rId242" minRId="3597" maxRId="361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73E929C-1B1F-47F4-BEDA-6EABCF4C8850}" dateTime="2014-11-19T11:49:18" maxSheetId="10" userName="Sanjeevi Sreekanth" r:id="rId243" minRId="3617" maxRId="363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3D0C62E-5FB0-4F66-9E5F-D90818CE08E2}" dateTime="2014-11-19T12:17:04" maxSheetId="10" userName="Sanjeevi Sreekanth" r:id="rId244" minRId="3637" maxRId="363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4035B71-EE92-49A0-821D-F47C317AE7F8}" dateTime="2014-11-19T12:17:27" maxSheetId="10" userName="Sanjeevi Sreekanth" r:id="rId24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8461897-3C0A-4D91-B0AB-A693F729FFB9}" dateTime="2014-11-19T12:26:25" maxSheetId="10" userName="Sanjeevi Sreekanth" r:id="rId246" minRId="3662" maxRId="366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DFB708FC-DAA2-442A-8FA6-0D3D5676A673}" dateTime="2014-11-19T12:27:59" maxSheetId="10" userName="Sanjeevi Sreekanth" r:id="rId247" minRId="3665" maxRId="36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305F25F3-51E8-4B83-B784-F629A7F6B18B}" dateTime="2014-11-19T12:36:44" maxSheetId="10" userName="Sanjeevi Sreekanth" r:id="rId248" minRId="3668" maxRId="36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4534C1E-0D06-4983-9C32-32CA0E160BD0}" dateTime="2014-11-19T14:28:16" maxSheetId="10" userName="Sanjeevi Sreekanth" r:id="rId249" minRId="3670" maxRId="367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9E450C7A-BD3F-4D41-A65B-420DE44456A2}" dateTime="2014-11-19T14:34:47" maxSheetId="10" userName="Sanjeevi Sreekanth" r:id="rId250" minRId="36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FAFD1B1-EE7D-40BA-A8AB-8D367BCDB5EE}" dateTime="2014-11-19T14:36:43" maxSheetId="10" userName="Sanjeevi Sreekanth" r:id="rId25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E925498-84DA-47D8-A3BD-A504B605973E}" dateTime="2014-11-19T15:19:47" maxSheetId="10" userName="Sanjeevi Sreekanth" r:id="rId252" minRId="367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73EAC9E-8ABF-474A-A9C2-5034CA50C085}" dateTime="2014-11-19T15:20:46" maxSheetId="10" userName="Sanjeevi Sreekanth" r:id="rId253" minRId="3676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7A41926-11E7-4D68-9DC9-FF9277D539FA}" dateTime="2014-11-19T15:22:09" maxSheetId="10" userName="Sanjeevi Sreekanth" r:id="rId254" minRId="36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04C8F20-EB53-4042-9B95-CDC2E640EB78}" dateTime="2014-11-19T15:22:17" maxSheetId="10" userName="Sanjeevi Sreekanth" r:id="rId255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D14DEED-FACA-406C-809A-53FEC5047F5B}" dateTime="2014-11-19T15:26:02" maxSheetId="10" userName="Sanjeevi Sreekanth" r:id="rId256" minRId="367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C89C6011-EA37-4D89-A405-F19E74BB95F5}" dateTime="2014-11-19T15:36:57" maxSheetId="10" userName="Sanjeevi Sreekanth" r:id="rId257" minRId="3679" maxRId="369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85E4D140-AE3B-42F5-A4C3-BDFEA2F9D792}" dateTime="2014-11-19T15:48:21" maxSheetId="10" userName="Sanjeevi Sreekanth" r:id="rId258" minRId="3692" maxRId="370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421402C-5986-48A3-BCF0-36A777F05238}" dateTime="2014-11-19T15:54:53" maxSheetId="10" userName="Sanjeevi Sreekanth" r:id="rId259" minRId="3705" maxRId="371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2BB7D0C-ABA1-4ADA-B566-0ECAB12629A1}" dateTime="2014-11-19T15:55:09" maxSheetId="10" userName="Sanjeevi Sreekanth" r:id="rId260" minRId="371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ACF15FC-85E7-469B-8994-AD1D77B701B6}" dateTime="2014-11-19T15:57:25" maxSheetId="10" userName="Sanjeevi Sreekanth" r:id="rId261" minRId="3714" maxRId="3718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91CED49-33DB-4870-A2F7-8955E0AB2593}" dateTime="2014-11-21T10:04:09" maxSheetId="10" userName="Sanjeevi Sreekanth" r:id="rId262" minRId="371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A5AB197-AE05-4C38-B603-C836604C9FCB}" dateTime="2014-11-21T10:04:45" maxSheetId="10" userName="Sanjeevi Sreekanth" r:id="rId263" minRId="372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72B4087-6D33-4503-B8F5-891818FF4B3B}" dateTime="2014-11-21T10:06:42" maxSheetId="10" userName="Sanjeevi Sreekanth" r:id="rId264" minRId="3721" maxRId="372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3E73132-962D-4550-81E4-B8E2EF1BE6FC}" dateTime="2014-11-21T10:07:39" maxSheetId="10" userName="Sanjeevi Sreekanth" r:id="rId265" minRId="3725" maxRId="372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A252095-2C42-4389-BCE9-62061A2FB1FB}" dateTime="2014-11-21T10:08:27" maxSheetId="10" userName="Sanjeevi Sreekanth" r:id="rId266" minRId="3728" maxRId="373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86650CC-6C19-489E-AEA4-3A14691D2AD1}" dateTime="2014-11-21T10:23:49" maxSheetId="10" userName="Sanjeevi Sreekanth" r:id="rId26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AA9BB040-7DED-4951-BF29-C0A4EC49A6C4}" dateTime="2014-11-21T11:40:37" maxSheetId="10" userName="Sanjeevi Sreekanth" r:id="rId268" minRId="373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7C0624E-6125-4DD7-B5FB-51D6972B5958}" dateTime="2014-11-21T14:23:30" maxSheetId="10" userName="Gowri R" r:id="rId26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07950300-05C5-4B47-8D42-06A73F334534}" dateTime="2014-11-21T14:28:44" maxSheetId="10" userName="Gowri R" r:id="rId27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013D61A-7830-4E39-B21D-0BFD7B112F74}" dateTime="2014-11-21T15:07:13" maxSheetId="10" userName="Gowri R" r:id="rId271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7C39E87E-458F-48F9-B7CB-F3B844DDB66E}" dateTime="2014-11-25T10:32:34" maxSheetId="10" userName="Sanjeevi Sreekanth" r:id="rId272" minRId="3765" maxRId="377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93C63E5-7AB5-4A2E-AD24-C425201C45DA}" dateTime="2014-11-25T10:39:14" maxSheetId="10" userName="Sanjeevi Sreekanth" r:id="rId273" minRId="3773" maxRId="37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4A819C36-742B-4491-B074-C11B719A443D}" dateTime="2014-11-25T11:52:52" maxSheetId="10" userName="Sanjeevi Sreekanth" r:id="rId274" minRId="3775" maxRId="3777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E9594C2D-FC97-4399-B98C-EBA553F944BB}" dateTime="2014-11-25T12:16:38" maxSheetId="10" userName="Sanjeevi Sreekanth" r:id="rId275" minRId="3778" maxRId="3783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C391A00-1ABE-4B77-82F7-A34EF4AFD2D1}" dateTime="2014-11-25T12:19:11" maxSheetId="10" userName="Sanjeevi Sreekanth" r:id="rId276" minRId="3784" maxRId="3789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60E6E808-9DE7-4858-A1D1-814D0D91B7F6}" dateTime="2014-11-25T12:52:19" maxSheetId="10" userName="Sanjeevi Sreekanth" r:id="rId277" minRId="3790" maxRId="3800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2C2AFC8C-D237-4F6A-9879-7D3D27D3F170}" dateTime="2014-11-25T13:58:33" maxSheetId="10" userName="Sanjeevi Sreekanth" r:id="rId278" minRId="3801" maxRId="3802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  <header guid="{5D3362E5-91EB-42A3-9E87-544D03FAFDE7}" dateTime="2015-01-05T18:34:39" maxSheetId="10" userName="Gowri R" r:id="rId279" minRId="3803" maxRId="4874">
    <sheetIdMap count="9">
      <sheetId val="1"/>
      <sheetId val="2"/>
      <sheetId val="3"/>
      <sheetId val="4"/>
      <sheetId val="5"/>
      <sheetId val="6"/>
      <sheetId val="7"/>
      <sheetId val="8"/>
      <sheetId val="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3" sId="6" numFmtId="34">
    <nc r="AA11">
      <v>0</v>
    </nc>
  </rcc>
  <rcc rId="2564" sId="6" numFmtId="34">
    <nc r="AA31">
      <v>540538</v>
    </nc>
  </rcc>
  <rcc rId="2565" sId="6" numFmtId="34">
    <nc r="AA32">
      <v>96124</v>
    </nc>
  </rcc>
  <rcc rId="2566" sId="6" numFmtId="34">
    <nc r="AA33">
      <v>47752</v>
    </nc>
  </rcc>
  <rcc rId="2567" sId="6" numFmtId="34">
    <nc r="AA34">
      <v>244472.64</v>
    </nc>
  </rcc>
  <rcc rId="2568" sId="6" odxf="1" dxf="1">
    <nc r="AA38">
      <f>AA29-SUM(AA31:AA35)</f>
    </nc>
    <odxf>
      <font>
        <b val="0"/>
        <sz val="9"/>
      </font>
    </odxf>
    <ndxf>
      <font>
        <b/>
        <sz val="9"/>
      </font>
    </ndxf>
  </rcc>
  <rcc rId="2569" sId="6" numFmtId="34">
    <oc r="AA29">
      <v>905404</v>
    </oc>
    <nc r="AA29">
      <f>AA24-SUM(AA26:AA28)</f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Overall'!$AA:$BD</formula>
    <oldFormula>'TSF Prasadam Overall'!$D:$G,'TSF Prasadam Overall'!$AA:$BD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Dining'!$AG:$BG</formula>
    <oldFormula>'HT Fine Dining'!$D:$G,'HT Fine Dining'!$AG:$BG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4" sId="3">
    <oc r="BE20">
      <f>I20+L20+O20+U20+X20+AA20+AG20+AJ20+AM20+AS20+AV20+AY20</f>
    </oc>
    <nc r="BE20">
      <f>I20+L20+O20+U20+X20+AA20+AG20+AJ20+AM20+AS20+AV20+AY20</f>
    </nc>
  </rcc>
  <rcc rId="2275" sId="3">
    <oc r="BE21">
      <f>I21+L21+O21+U21+X21+AA21+AG21+AJ21+AM21+AS21+AV21+AY21</f>
    </oc>
    <nc r="BE21">
      <f>I21+L21+O21+U21+X21+AA21+AG21+AJ21+AM21+AS21+AV21+AY21</f>
    </nc>
  </rcc>
  <rcc rId="2276" sId="3">
    <oc r="BE24">
      <f>I24+L24+O24+U24+X24+AA24+AG24+AJ24+AM24+AS24+AV24+AY24</f>
    </oc>
    <nc r="BE24">
      <f>I24+L24+O24+U24+X24+AA24+AG24+AJ24+AM24+AS24+AV24+AY24</f>
    </nc>
  </rcc>
  <rcc rId="2277" sId="3">
    <oc r="BE25">
      <f>I25+L25+O25+U25+X25+AA25+AG25+AJ25+AM25+AS25+AV25+AY25</f>
    </oc>
    <nc r="BE25">
      <f>I25+L25+O25+U25+X25+AA25+AG25+AJ25+AM25+AS25+AV25+AY25</f>
    </nc>
  </rcc>
  <rcc rId="2278" sId="3">
    <oc r="BE32">
      <f>I32+L32+O32+U32+X32+AA32+AG32+AJ32+AM32+AS32+AV32+AY32</f>
    </oc>
    <nc r="BE32">
      <f>I32+L32+O32+U32+X32+AA32+AG32+AJ32+AM32+AS32+AV32+AY32</f>
    </nc>
  </rcc>
  <rcc rId="2279" sId="3">
    <oc r="BE33">
      <f>I33+L33+O33+U33+X33+AA33+AG33+AJ33+AM33+AS33+AV33+AY33</f>
    </oc>
    <nc r="BE33">
      <f>I33+L33+O33+U33+X33+AA33+AG33+AJ33+AM33+AS33+AV33+AY33</f>
    </nc>
  </rcc>
  <rcc rId="2280" sId="3">
    <oc r="BE36">
      <f>I36+L36+O36+U36+X36+AA36+AG36+AJ36+AM36+AS36+AV36+AY36</f>
    </oc>
    <nc r="BE36">
      <f>I36+L36+O36+U36+X36+AA36+AG36+AJ36+AM36+AS36+AV36+AY36</f>
    </nc>
  </rcc>
  <rcc rId="2281" sId="3">
    <oc r="BE37">
      <f>I37+L37+O37+U37+X37+AA37+AG37+AJ37+AM37+AS37+AV37+AY37</f>
    </oc>
    <nc r="BE37">
      <f>I37+L37+O37+U37+X37+AA37+AG37+AJ37+AM37+AS37+AV37+AY37</f>
    </nc>
  </rcc>
  <rcc rId="2282" sId="3">
    <oc r="BE40">
      <f>I40+L40+O40+U40+X40+AA40+AG40+AJ40+AM40+AS40+AV40+AY40</f>
    </oc>
    <nc r="BE40">
      <f>I40+L40+O40+U40+X40+AA40+AG40+AJ40+AM40+AS40+AV40+AY40</f>
    </nc>
  </rcc>
  <rcc rId="2283" sId="3">
    <oc r="BE41">
      <f>I41+L41+O41+U41+X41+AA41+AG41+AJ41+AM41+AS41+AV41+AY41</f>
    </oc>
    <nc r="BE41">
      <f>I41+L41+O41+U41+X41+AA41+AG41+AJ41+AM41+AS41+AV41+AY41</f>
    </nc>
  </rcc>
  <rcc rId="2284" sId="3">
    <oc r="BE44">
      <f>I44+L44+O44+U44+X44+AA44+AG44+AJ44+AM44+AS44+AV44+AY44</f>
    </oc>
    <nc r="BE44">
      <f>I44+L44+O44+U44+X44+AA44+AG44+AJ44+AM44+AS44+AV44+AY44</f>
    </nc>
  </rcc>
  <rcc rId="2285" sId="3">
    <oc r="BE45">
      <f>I45+L45+O45+U45+X45+AA45+AG45+AJ45+AM45+AS45+AV45+AY45</f>
    </oc>
    <nc r="BE45">
      <f>I45+L45+O45+U45+X45+AA45+AG45+AJ45+AM45+AS45+AV45+AY45</f>
    </nc>
  </rcc>
  <rcc rId="2286" sId="3">
    <oc r="BE48">
      <f>I48+L48+O48+U48+X48+AA48+AG48+AJ48+AM48+AS48+AV48+AY48</f>
    </oc>
    <nc r="BE48">
      <f>I48+L48+O48+U48+X48+AA48+AG48+AJ48+AM48+AS48+AV48+AY48</f>
    </nc>
  </rcc>
  <rcc rId="2287" sId="3">
    <oc r="BE49">
      <f>I49+L49+O49+U49+X49+AA49+AG49+AJ49+AM49+AS49+AV49+AY49</f>
    </oc>
    <nc r="BE49">
      <f>I49+L49+O49+U49+X49+AA49+AG49+AJ49+AM49+AS49+AV49+AY49</f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7" sId="6" numFmtId="34">
    <nc r="AH5">
      <v>1424587.59</v>
    </nc>
  </rcc>
  <rcc rId="3308" sId="6" numFmtId="34">
    <nc r="AH23">
      <v>56984</v>
    </nc>
  </rcc>
  <rfmt sheetId="6" sqref="AB24" start="0" length="2147483647">
    <dxf>
      <font>
        <b/>
      </font>
    </dxf>
  </rfmt>
  <rcc rId="3309" sId="6" odxf="1" dxf="1">
    <nc r="AH24">
      <f>AH5-AH23</f>
    </nc>
    <odxf>
      <font>
        <b val="0"/>
        <sz val="9"/>
      </font>
      <border outline="0">
        <left style="thin">
          <color indexed="64"/>
        </left>
      </border>
    </odxf>
    <ndxf>
      <font>
        <b/>
        <sz val="9"/>
      </font>
      <border outline="0">
        <left style="medium">
          <color indexed="64"/>
        </left>
      </border>
    </ndxf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0" sId="6" numFmtId="34">
    <nc r="AH27">
      <v>100133</v>
    </nc>
  </rcc>
  <rcc rId="3311" sId="6" numFmtId="34">
    <nc r="AH28">
      <v>12497</v>
    </nc>
  </rcc>
  <rcc rId="3312" sId="6" odxf="1" dxf="1" numFmtId="34">
    <nc r="AH26">
      <f>543628+(17764)</f>
    </nc>
    <ndxf>
      <font>
        <sz val="9"/>
      </font>
      <alignment vertical="bottom" wrapText="0" readingOrder="0"/>
      <border outline="0">
        <right/>
        <top/>
        <bottom/>
      </border>
    </ndxf>
  </rcc>
  <rcc rId="3313" sId="6">
    <nc r="AH29">
      <f>AH24-SUM(AH26:AH28)</f>
    </nc>
  </rcc>
  <rcc rId="3314" sId="6" numFmtId="34">
    <nc r="AH31">
      <v>493319</v>
    </nc>
  </rcc>
  <rcc rId="3315" sId="6" numFmtId="34">
    <nc r="AH32">
      <v>101885</v>
    </nc>
  </rcc>
  <rcc rId="3316" sId="6" numFmtId="34">
    <nc r="AH33">
      <v>53157</v>
    </nc>
  </rcc>
  <rcc rId="3317" sId="6" numFmtId="34">
    <nc r="AH34">
      <v>194496</v>
    </nc>
  </rcc>
  <rcc rId="3318" sId="6" numFmtId="34">
    <nc r="AH35">
      <v>0</v>
    </nc>
  </rcc>
  <rcc rId="3319" sId="6" numFmtId="34">
    <oc r="AH5">
      <v>1424587.59</v>
    </oc>
    <nc r="AH5">
      <f>1424587.59+21</f>
    </nc>
  </rcc>
  <rcc rId="3320" sId="6" odxf="1" dxf="1">
    <nc r="AH38">
      <f>AH29-SUM(AH31:AH36)</f>
    </nc>
    <odxf>
      <font>
        <b val="0"/>
        <sz val="9"/>
      </font>
      <border outline="0">
        <left style="thin">
          <color indexed="64"/>
        </left>
      </border>
    </odxf>
    <ndxf>
      <font>
        <b/>
        <sz val="9"/>
      </font>
      <border outline="0">
        <left style="medium">
          <color indexed="64"/>
        </left>
      </border>
    </ndxf>
  </rcc>
  <rcc rId="3321" sId="6" odxf="1" dxf="1">
    <nc r="AH40">
      <f>AH38/AH24</f>
    </nc>
    <odxf>
      <font>
        <b val="0"/>
        <sz val="9"/>
      </font>
      <border outline="0">
        <left style="thin">
          <color indexed="64"/>
        </left>
      </border>
    </odxf>
    <ndxf>
      <font>
        <b/>
        <sz val="9"/>
      </font>
      <border outline="0">
        <left style="medium">
          <color indexed="64"/>
        </left>
      </border>
    </ndxf>
  </rcc>
  <rcc rId="3322" sId="6" odxf="1" dxf="1">
    <nc r="AH42">
      <f>SUM(AH26:AH28)/AH24</f>
    </nc>
    <odxf>
      <font>
        <b val="0"/>
        <sz val="9"/>
      </font>
      <border outline="0">
        <left style="thin">
          <color indexed="64"/>
        </left>
      </border>
    </odxf>
    <ndxf>
      <font>
        <b/>
        <sz val="9"/>
        <color auto="1"/>
      </font>
      <border outline="0">
        <left style="medium">
          <color indexed="64"/>
        </left>
      </border>
    </ndxf>
  </rcc>
  <rfmt sheetId="6" sqref="AH3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="1" sqref="AB3" start="0" length="0">
    <dxf>
      <numFmt numFmtId="165" formatCode="_(* #,##0_);_(* \(#,##0\);_(* &quot;-&quot;??_);_(@_)"/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="1" sqref="AB4" start="0" length="0">
    <dxf>
      <numFmt numFmtId="165" formatCode="_(* #,##0_);_(* \(#,##0\);_(* &quot;-&quot;??_);_(@_)"/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qref="AB5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="1" sqref="AB6" start="0" length="0">
    <dxf>
      <fill>
        <patternFill patternType="none">
          <bgColor indexed="65"/>
        </patternFill>
      </fill>
      <alignment wrapText="1" readingOrder="0"/>
      <border outline="0">
        <right style="medium">
          <color indexed="64"/>
        </right>
      </border>
    </dxf>
  </rfmt>
  <rfmt sheetId="6" s="1" sqref="AB7" start="0" length="0">
    <dxf>
      <numFmt numFmtId="165" formatCode="_(* #,##0_);_(* \(#,##0\);_(* &quot;-&quot;??_);_(@_)"/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="1" sqref="AB8" start="0" length="0">
    <dxf>
      <numFmt numFmtId="165" formatCode="_(* #,##0_);_(* \(#,##0\);_(* &quot;-&quot;??_);_(@_)"/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qref="AB9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qref="AB10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qref="AB11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qref="AB12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="1" sqref="AB13" start="0" length="0">
    <dxf>
      <font>
        <sz val="9"/>
        <color theme="1"/>
        <name val="Calibri"/>
        <scheme val="minor"/>
      </font>
      <numFmt numFmtId="165" formatCode="_(* #,##0_);_(* \(#,##0\);_(* &quot;-&quot;??_);_(@_)"/>
      <fill>
        <patternFill patternType="none">
          <bgColor indexed="65"/>
        </patternFill>
      </fill>
      <alignment wrapText="1" readingOrder="0"/>
      <border outline="0">
        <right style="medium">
          <color indexed="64"/>
        </right>
      </border>
    </dxf>
  </rfmt>
  <rfmt sheetId="6" sqref="AB14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qref="AB15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="1" sqref="AB16" start="0" length="0">
    <dxf>
      <numFmt numFmtId="165" formatCode="_(* #,##0_);_(* \(#,##0\);_(* &quot;-&quot;??_);_(@_)"/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="1" sqref="AB17" start="0" length="0">
    <dxf>
      <font>
        <sz val="9"/>
        <color theme="1"/>
        <name val="Calibri"/>
        <scheme val="minor"/>
      </font>
      <numFmt numFmtId="165" formatCode="_(* #,##0_);_(* \(#,##0\);_(* &quot;-&quot;??_);_(@_)"/>
      <fill>
        <patternFill patternType="none">
          <bgColor indexed="65"/>
        </patternFill>
      </fill>
      <alignment wrapText="1" readingOrder="0"/>
      <border outline="0">
        <right style="medium">
          <color indexed="64"/>
        </right>
      </border>
    </dxf>
  </rfmt>
  <rfmt sheetId="6" sqref="AB18" start="0" length="0">
    <dxf>
      <fill>
        <patternFill patternType="none">
          <bgColor indexed="65"/>
        </patternFill>
      </fill>
      <border outline="0">
        <right style="medium">
          <color indexed="64"/>
        </right>
      </border>
    </dxf>
  </rfmt>
  <rfmt sheetId="6" s="1" sqref="AB19" start="0" length="0">
    <dxf>
      <numFmt numFmtId="165" formatCode="_(* #,##0_);_(* \(#,##0\);_(* &quot;-&quot;??_);_(@_)"/>
      <fill>
        <patternFill patternType="none">
          <bgColor indexed="65"/>
        </patternFill>
      </fill>
      <alignment horizontal="general" readingOrder="0"/>
      <border outline="0">
        <right style="medium">
          <color indexed="64"/>
        </right>
      </border>
    </dxf>
  </rfmt>
  <rfmt sheetId="6" sqref="AH42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23" sId="6" odxf="1" dxf="1">
    <oc r="AH40">
      <f>AH38/AH24</f>
    </oc>
    <nc r="AH40">
      <f>AH38/AH24</f>
    </nc>
    <odxf>
      <font>
        <sz val="9"/>
      </font>
      <border outline="0">
        <left style="medium">
          <color indexed="64"/>
        </left>
      </border>
    </odxf>
    <ndxf>
      <font>
        <sz val="9"/>
        <color auto="1"/>
      </font>
      <border outline="0">
        <left style="thin">
          <color indexed="64"/>
        </left>
      </border>
    </ndxf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Overall'!$D:$F,'TSF Prasadam Overall'!$AJ:$BD</formula>
    <oldFormula>'TSF Prasadam Overall'!$D:$F,'TSF Prasadam Overall'!$AG:$BD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'!$AJ:$BD</formula>
    <oldFormula>'HT Express BSC '!$D:$H,'HT Express BSC '!$AG:$BD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BSC'!$AK:$BD</formula>
    <oldFormula>'HT Stores BSC'!$D:$G,'HT Stores BSC'!$AG:$BD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Dining'!$AJ:$BD</formula>
    <oldFormula>'HT Fine Dining'!$D:$G,'HT Fine Dining'!$AJ:$BD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 numFmtId="34">
    <nc r="AH5">
      <v>6020639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6" sId="4" numFmtId="34">
    <nc r="AH5">
      <f>AH9+AH17+AH21</f>
    </nc>
  </rcc>
  <rcc rId="3337" sId="4" numFmtId="34">
    <nc r="AH9">
      <v>991424</v>
    </nc>
  </rcc>
  <rcc rId="3338" sId="4" numFmtId="34">
    <nc r="AH13">
      <v>0</v>
    </nc>
  </rcc>
  <rcc rId="3339" sId="4" numFmtId="34">
    <nc r="AH17">
      <v>899111</v>
    </nc>
  </rcc>
  <rcc rId="3340" sId="4" numFmtId="34">
    <nc r="AH21">
      <v>112660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3">
    <nc r="AH4">
      <v>16615069.59</v>
    </nc>
  </rcc>
  <rcc rId="3342" sId="3">
    <nc r="AH20">
      <v>6020639</v>
    </nc>
  </rcc>
  <rcc rId="3343" sId="3">
    <nc r="AH24">
      <v>5970014</v>
    </nc>
  </rcc>
  <rfmt sheetId="3" sqref="U2:AI2" start="0" length="2147483647">
    <dxf>
      <font>
        <color theme="0"/>
      </font>
    </dxf>
  </rfmt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4" sId="3">
    <oc r="AH24">
      <v>5970014</v>
    </oc>
    <nc r="AH24"/>
  </rcc>
  <rcc rId="3345" sId="3" odxf="1" s="1" dxf="1">
    <nc r="AH12">
      <f>AH16+AH20+AH24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9"/>
        <color theme="1"/>
        <name val="Calibri"/>
        <scheme val="minor"/>
      </font>
      <numFmt numFmtId="165" formatCode="_(* #,##0_);_(* \(#,##0\);_(* &quot;-&quot;??_);_(@_)"/>
      <border outline="0">
        <left style="medium">
          <color indexed="64"/>
        </left>
      </border>
    </ndxf>
  </rcc>
  <rcc rId="3346" sId="3" odxf="1" s="1" dxf="1">
    <nc r="AB12">
      <f>AB16+AB20+AB24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9"/>
        <color theme="1"/>
        <name val="Calibri"/>
        <scheme val="minor"/>
      </font>
      <numFmt numFmtId="165" formatCode="_(* #,##0_);_(* \(#,##0\);_(* &quot;-&quot;??_);_(@_)"/>
      <border outline="0">
        <left style="medium">
          <color indexed="64"/>
        </left>
      </border>
    </ndxf>
  </rcc>
  <rcc rId="3347" sId="3" odxf="1" s="1" dxf="1">
    <nc r="AH28">
      <f>AH16/AH12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3348" sId="3" odxf="1" s="1" dxf="1">
    <nc r="AH29">
      <f>AH20/AH12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3349" sId="3" odxf="1" s="1" dxf="1">
    <nc r="AH30">
      <f>AH24/AH12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3350" sId="3">
    <nc r="AH84">
      <v>414909</v>
    </nc>
  </rcc>
  <rcc rId="3351" sId="3" odxf="1" dxf="1">
    <nc r="AH85">
      <f>AH4-AH84</f>
    </nc>
    <odxf>
      <numFmt numFmtId="0" formatCode="General"/>
    </odxf>
    <ndxf>
      <numFmt numFmtId="165" formatCode="_(* #,##0_);_(* \(#,##0\);_(* &quot;-&quot;??_);_(@_)"/>
    </ndxf>
  </rcc>
  <rcc rId="3352" sId="3">
    <nc r="AH88">
      <v>895267</v>
    </nc>
  </rcc>
  <rcc rId="3353" sId="3">
    <nc r="AH89">
      <v>-711557</v>
    </nc>
  </rcc>
  <rcc rId="3354" sId="3">
    <nc r="AH87">
      <v>5931412</v>
    </nc>
  </rcc>
  <rcc rId="3355" sId="3" odxf="1" dxf="1">
    <nc r="AH90">
      <f>AH85-SUM(AH87:AH89)</f>
    </nc>
    <odxf>
      <numFmt numFmtId="0" formatCode="General"/>
    </odxf>
    <ndxf>
      <numFmt numFmtId="165" formatCode="_(* #,##0_);_(* \(#,##0\);_(* &quot;-&quot;??_);_(@_)"/>
    </ndxf>
  </rcc>
  <rcc rId="3356" sId="3">
    <nc r="AH92">
      <v>4173714</v>
    </nc>
  </rcc>
  <rcc rId="3357" sId="3">
    <nc r="AH93">
      <v>350915</v>
    </nc>
  </rcc>
  <rcc rId="3358" sId="3">
    <nc r="AH94">
      <v>782732</v>
    </nc>
  </rcc>
  <rcc rId="3359" sId="3">
    <nc r="AH95">
      <v>507347.63</v>
    </nc>
  </rcc>
  <rcc rId="3360" sId="3">
    <nc r="AH96">
      <v>24810</v>
    </nc>
  </rcc>
  <rcc rId="3361" sId="3" odxf="1" dxf="1">
    <nc r="AH100">
      <f>AH90-SUM(AH92:AH98)</f>
    </nc>
    <odxf>
      <numFmt numFmtId="0" formatCode="General"/>
    </odxf>
    <ndxf>
      <numFmt numFmtId="165" formatCode="_(* #,##0_);_(* \(#,##0\);_(* &quot;-&quot;??_);_(@_)"/>
    </ndxf>
  </rcc>
  <rcc rId="3362" sId="3" odxf="1" dxf="1">
    <nc r="AH102">
      <f>AH100/AH85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Overall'!$D:$F,'TSF Prasadam Overall'!$AJ:$BD</formula>
    <oldFormula>'TSF Prasadam Overall'!$D:$F,'TSF Prasadam Overall'!$AJ:$BD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'!$AJ:$BD</formula>
    <oldFormula>'HT Express BSC '!$D:$H,'HT Express BSC '!$AJ:$BD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BSC'!$AJ:$BD</formula>
    <oldFormula>'HT Stores BSC'!$D:$G,'HT Stores BSC'!$AK:$BD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Dining'!$AJ:$BD</formula>
    <oldFormula>'HT Fine Dining'!$D:$G,'HT Fine Dining'!$AJ:$BD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4" sId="6">
    <nc r="AG3">
      <f>AG5/'TSF Prasadam Overall'!AG4</f>
    </nc>
  </rcc>
  <rcc rId="3375" sId="6" numFmtId="34">
    <nc r="AG6">
      <v>1570000</v>
    </nc>
  </rcc>
  <rcc rId="3376" sId="6">
    <nc r="AG7">
      <f>AG5/AG6</f>
    </nc>
  </rcc>
  <rcc rId="3377" sId="6" numFmtId="34">
    <nc r="AG5">
      <f>SUM(AG9:AG11)</f>
    </nc>
  </rcc>
  <rcc rId="3378" sId="6" numFmtId="34">
    <nc r="AG11">
      <v>11442</v>
    </nc>
  </rcc>
  <rcc rId="3379" sId="6" numFmtId="34">
    <nc r="AG23">
      <v>89251.839999999997</v>
    </nc>
  </rcc>
  <rcc rId="3380" sId="6" odxf="1" dxf="1">
    <nc r="AG24">
      <f>AG5-AG23</f>
    </nc>
    <odxf>
      <font>
        <b val="0"/>
        <sz val="9"/>
      </font>
    </odxf>
    <ndxf>
      <font>
        <b/>
        <sz val="9"/>
      </font>
    </ndxf>
  </rcc>
  <rcc rId="3381" sId="6" numFmtId="34">
    <nc r="AG26">
      <v>587451</v>
    </nc>
  </rcc>
  <rcc rId="3382" sId="6" numFmtId="34">
    <nc r="AG27">
      <v>112940</v>
    </nc>
  </rcc>
  <rcc rId="3383" sId="6" numFmtId="34">
    <nc r="AG28">
      <v>29857</v>
    </nc>
  </rcc>
  <rcc rId="3384" sId="6" odxf="1" dxf="1">
    <nc r="AG29">
      <f>AG24-SUM(AG26:AG28)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3385" sId="6" numFmtId="34">
    <nc r="AG31">
      <v>593598</v>
    </nc>
  </rcc>
  <rcc rId="3386" sId="6" numFmtId="34">
    <nc r="AG32">
      <v>119184</v>
    </nc>
  </rcc>
  <rcc rId="3387" sId="6" numFmtId="34">
    <nc r="AG33">
      <v>46170</v>
    </nc>
  </rcc>
  <rcc rId="3388" sId="6" numFmtId="34">
    <nc r="AG34">
      <v>209677</v>
    </nc>
  </rcc>
  <rfmt sheetId="6" sqref="AB38" start="0" length="2147483647">
    <dxf>
      <font>
        <b/>
      </font>
    </dxf>
  </rfmt>
  <rcc rId="3389" sId="6" odxf="1" dxf="1">
    <nc r="AG38">
      <f>AG29-SUM(AG31:AG35)</f>
    </nc>
    <odxf>
      <font>
        <b val="0"/>
        <sz val="9"/>
      </font>
      <border outline="0">
        <left style="medium">
          <color indexed="64"/>
        </left>
        <right/>
      </border>
    </odxf>
    <ndxf>
      <font>
        <b/>
        <sz val="9"/>
      </font>
      <border outline="0">
        <left style="thin">
          <color indexed="64"/>
        </left>
        <right style="thin">
          <color indexed="64"/>
        </right>
      </border>
    </ndxf>
  </rcc>
  <rcc rId="3390" sId="6" numFmtId="34">
    <nc r="AG9">
      <f>2219854+474</f>
    </nc>
  </rcc>
  <rcc rId="3391" sId="6" odxf="1" dxf="1">
    <nc r="AG40">
      <f>AG38/AG24</f>
    </nc>
    <odxf>
      <font>
        <b val="0"/>
        <sz val="9"/>
      </font>
    </odxf>
    <ndxf>
      <font>
        <b/>
        <sz val="9"/>
      </font>
    </ndxf>
  </rcc>
  <rfmt sheetId="6" sqref="AG41" start="0" length="0">
    <dxf>
      <border outline="0">
        <left style="thin">
          <color indexed="64"/>
        </left>
      </border>
    </dxf>
  </rfmt>
  <rcc rId="3392" sId="6" odxf="1" dxf="1">
    <nc r="AG42">
      <f>SUM(AG26:AG28)/AG24</f>
    </nc>
    <odxf>
      <font>
        <b val="0"/>
        <sz val="9"/>
      </font>
      <border outline="0">
        <right/>
      </border>
    </odxf>
    <ndxf>
      <font>
        <b/>
        <sz val="9"/>
        <color auto="1"/>
      </font>
      <border outline="0">
        <right style="thin">
          <color indexed="64"/>
        </right>
      </border>
    </ndxf>
  </rcc>
  <rcc rId="3393" sId="5">
    <nc r="AG3">
      <f>AG5/'TSF Prasadam Overall'!AG4</f>
    </nc>
  </rcc>
  <rcc rId="3394" sId="5">
    <nc r="AG5">
      <f>AG9+AG13+AG17</f>
    </nc>
  </rcc>
  <rcc rId="3395" sId="5" numFmtId="34">
    <nc r="AG9">
      <v>1118702</v>
    </nc>
  </rcc>
  <rcc rId="3396" sId="5" numFmtId="34">
    <nc r="AG13">
      <v>6787070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8" sId="3">
    <oc r="BE57">
      <f>I57+L57+O57+U57+X57+AA57+AG57+AJ57+AM57+AS57+AV57+AY57</f>
    </oc>
    <nc r="BE57">
      <f>I57+L57+O57+U57+X57+AA57+AG57+AJ57+AM57+AS57+AV57+AY57</f>
    </nc>
  </rcc>
  <rcc rId="2289" sId="3">
    <oc r="BE58">
      <f>I58+L58+O58+U58+X58+AA58+AG58+AJ58+AM58+AS58+AV58+AY58</f>
    </oc>
    <nc r="BE58">
      <f>I58+L58+O58+U58+X58+AA58+AG58+AJ58+AM58+AS58+AV58+AY58</f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7" sId="5" numFmtId="34">
    <nc r="AG17">
      <v>3830267</v>
    </nc>
  </rcc>
  <rcc rId="3398" sId="5">
    <nc r="AG19">
      <f>AG17/AG18</f>
    </nc>
  </rcc>
  <rcc rId="3399" sId="5">
    <nc r="AG21">
      <f>AG9/AG5</f>
    </nc>
  </rcc>
  <rcc rId="3400" sId="5">
    <nc r="AG22">
      <f>AG13/AG5</f>
    </nc>
  </rcc>
  <rcc rId="3401" sId="5">
    <nc r="AG23">
      <f>AG17/AG5</f>
    </nc>
  </rcc>
  <rcc rId="3402" sId="5" numFmtId="34">
    <nc r="AG45">
      <v>478056.56</v>
    </nc>
  </rcc>
  <rfmt sheetId="5" sqref="AG46" start="0" length="2147483647">
    <dxf>
      <font>
        <b/>
      </font>
    </dxf>
  </rfmt>
  <rfmt sheetId="5" sqref="AG46" start="0" length="0">
    <dxf>
      <font>
        <b val="0"/>
        <sz val="9"/>
      </font>
      <fill>
        <patternFill patternType="solid">
          <bgColor theme="5" tint="0.39997558519241921"/>
        </patternFill>
      </fill>
      <border outline="0">
        <left style="thin">
          <color indexed="64"/>
        </left>
        <right style="medium">
          <color indexed="64"/>
        </right>
      </border>
    </dxf>
  </rfmt>
  <rcc rId="3403" sId="5">
    <nc r="AG46">
      <f>AG5-AG45</f>
    </nc>
  </rcc>
  <rcc rId="3404" sId="5" numFmtId="34">
    <nc r="AG48">
      <v>7599571</v>
    </nc>
  </rcc>
  <rcc rId="3405" sId="5" numFmtId="34">
    <nc r="AG49">
      <v>18457</v>
    </nc>
  </rcc>
  <rcc rId="3406" sId="5" numFmtId="34">
    <nc r="AG50">
      <v>171765</v>
    </nc>
  </rcc>
  <rcc rId="3407" sId="5">
    <nc r="AG51">
      <f>AG46-SUM(AG48:AG50)</f>
    </nc>
  </rcc>
  <rcc rId="3408" sId="5" numFmtId="34">
    <nc r="AG53">
      <v>1745932</v>
    </nc>
  </rcc>
  <rcc rId="3409" sId="5" numFmtId="34">
    <nc r="AG54">
      <v>268105</v>
    </nc>
  </rcc>
  <rcc rId="3410" sId="5" numFmtId="34">
    <nc r="AG55">
      <v>214815</v>
    </nc>
  </rcc>
  <rcc rId="3411" sId="5" numFmtId="34">
    <nc r="AG56">
      <v>274898</v>
    </nc>
  </rcc>
  <rcc rId="3412" sId="5" numFmtId="34">
    <nc r="AG57">
      <v>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3" sId="5" odxf="1" dxf="1">
    <nc r="AG61">
      <f>AG51-SUM(AG53:AG58)</f>
    </nc>
    <odxf>
      <font>
        <b val="0"/>
        <sz val="9"/>
      </font>
    </odxf>
    <ndxf>
      <font>
        <b/>
        <sz val="9"/>
      </font>
    </ndxf>
  </rcc>
  <rcc rId="3414" sId="5" odxf="1" dxf="1">
    <nc r="AG63">
      <f>AG61/AG5</f>
    </nc>
    <odxf>
      <font>
        <sz val="9"/>
      </font>
    </odxf>
    <ndxf>
      <font>
        <sz val="9"/>
        <color auto="1"/>
      </font>
    </ndxf>
  </rcc>
  <rcc rId="3415" sId="5">
    <oc r="AG51">
      <f>AG46-SUM(AG48:AG50)</f>
    </oc>
    <nc r="AG51">
      <f>AG46-SUM(AG48:AG50)</f>
    </nc>
  </rcc>
  <rfmt sheetId="5" sqref="AA46:AI46">
    <dxf>
      <fill>
        <patternFill>
          <bgColor theme="5" tint="0.39997558519241921"/>
        </patternFill>
      </fill>
    </dxf>
  </rfmt>
  <rcc rId="3416" sId="5" numFmtId="34">
    <oc r="AG48">
      <v>7599571</v>
    </oc>
    <nc r="AG48">
      <v>6059056</v>
    </nc>
  </rcc>
  <rcc rId="3417" sId="5" numFmtId="34">
    <oc r="AG17">
      <v>3830267</v>
    </oc>
    <nc r="AG17">
      <f>3830267+4732</f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8" sId="4" odxf="1" dxf="1">
    <nc r="AG5">
      <f>AG9+AG17+AG21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3419" sId="4" numFmtId="34">
    <nc r="AG13">
      <v>0</v>
    </nc>
  </rcc>
  <rcc rId="3420" sId="4" numFmtId="34">
    <nc r="AG17">
      <v>0</v>
    </nc>
  </rcc>
  <rcc rId="3421" sId="4" numFmtId="34">
    <nc r="AG21">
      <v>0</v>
    </nc>
  </rcc>
  <rcc rId="3422" sId="4" numFmtId="34">
    <nc r="AG53">
      <v>42568.24</v>
    </nc>
  </rcc>
  <rcc rId="3423" sId="4">
    <nc r="AG54">
      <f>AG5-AG53</f>
    </nc>
  </rcc>
  <rcc rId="3424" sId="4" numFmtId="34">
    <nc r="AG56">
      <v>334718</v>
    </nc>
  </rcc>
  <rcc rId="3425" sId="4" numFmtId="34">
    <nc r="AG57">
      <v>166096</v>
    </nc>
  </rcc>
  <rcc rId="3426" sId="4" numFmtId="34">
    <nc r="AG58">
      <v>18198</v>
    </nc>
  </rcc>
  <rfmt sheetId="4" sqref="AE59:AI59">
    <dxf>
      <fill>
        <patternFill patternType="solid">
          <bgColor theme="5" tint="0.39997558519241921"/>
        </patternFill>
      </fill>
    </dxf>
  </rfmt>
  <rcc rId="3427" sId="4" odxf="1" dxf="1">
    <nc r="AG59">
      <f>AG54-SUM(AG56:AG58)</f>
    </nc>
    <odxf>
      <font>
        <b val="0"/>
        <sz val="9"/>
      </font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odxf>
    <ndxf>
      <font>
        <b/>
        <sz val="9"/>
      </font>
      <border outline="0">
        <left/>
        <top style="medium">
          <color indexed="64"/>
        </top>
        <bottom style="medium">
          <color indexed="64"/>
        </bottom>
      </border>
    </ndxf>
  </rcc>
  <rcc rId="3428" sId="4" numFmtId="34">
    <nc r="AG61">
      <v>387303</v>
    </nc>
  </rcc>
  <rcc rId="3429" sId="4" numFmtId="34">
    <nc r="AG62">
      <v>99953</v>
    </nc>
  </rcc>
  <rcc rId="3430" sId="4" numFmtId="34">
    <nc r="AG63">
      <v>58569</v>
    </nc>
  </rcc>
  <rcc rId="3431" sId="4" numFmtId="34">
    <nc r="AG64">
      <v>138219</v>
    </nc>
  </rcc>
  <rcc rId="3432" sId="4">
    <nc r="AG68">
      <f>AG59-SUM(AG61:AG66)</f>
    </nc>
  </rcc>
  <rcc rId="3433" sId="4">
    <nc r="AG9">
      <f>1064206+215375+2708</f>
    </nc>
  </rcc>
  <rcc rId="3434" sId="4">
    <nc r="AG70">
      <f>AG68/AG54</f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5" sId="3">
    <nc r="AG4">
      <f>'HT Express BSC '!AG5+'HT Stores BSC'!AG5+'HT Fine Dining'!AG5</f>
    </nc>
  </rcc>
  <rfmt sheetId="3" sqref="AG4">
    <dxf>
      <numFmt numFmtId="35" formatCode="_(* #,##0.00_);_(* \(#,##0.00\);_(* &quot;-&quot;??_);_(@_)"/>
    </dxf>
  </rfmt>
  <rfmt sheetId="3" sqref="AG4">
    <dxf>
      <numFmt numFmtId="167" formatCode="_(* #,##0.0_);_(* \(#,##0.0\);_(* &quot;-&quot;??_);_(@_)"/>
    </dxf>
  </rfmt>
  <rfmt sheetId="3" sqref="AG4">
    <dxf>
      <numFmt numFmtId="165" formatCode="_(* #,##0_);_(* \(#,##0\);_(* &quot;-&quot;??_);_(@_)"/>
    </dxf>
  </rfmt>
  <rcc rId="3436" sId="3">
    <nc r="AG16">
      <f>'HT Stores BSC'!AG9</f>
    </nc>
  </rcc>
  <rcc rId="3437" sId="3">
    <nc r="AG20">
      <f>'HT Stores BSC'!AG13</f>
    </nc>
  </rcc>
  <rcc rId="3438" sId="3">
    <nc r="AG24">
      <f>'HT Stores BSC'!AG17</f>
    </nc>
  </rcc>
  <rcc rId="3439" sId="3" odxf="1" s="1" dxf="1">
    <nc r="AG12">
      <f>AG16+AG20+AG24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9"/>
        <color theme="1"/>
        <name val="Calibri"/>
        <scheme val="minor"/>
      </font>
      <numFmt numFmtId="165" formatCode="_(* #,##0_);_(* \(#,##0\);_(* &quot;-&quot;??_);_(@_)"/>
      <border outline="0">
        <left style="medium">
          <color indexed="64"/>
        </left>
      </border>
    </ndxf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0" sId="3">
    <nc r="AG36">
      <f>'HT Express BSC '!AD9</f>
    </nc>
  </rcc>
  <rcc rId="3441" sId="3">
    <nc r="AG40">
      <v>0</v>
    </nc>
  </rcc>
  <rcc rId="3442" sId="3">
    <nc r="AG44">
      <v>0</v>
    </nc>
  </rcc>
  <rcc rId="3443" sId="3">
    <nc r="AG48">
      <v>0</v>
    </nc>
  </rcc>
  <rcc rId="3444" sId="3">
    <nc r="AG57">
      <f>'HT Fine Dining'!AG5</f>
    </nc>
  </rcc>
  <rcc rId="3445" sId="3">
    <nc r="AG84">
      <v>609876.64</v>
    </nc>
  </rcc>
  <rcc rId="3446" sId="3" odxf="1" dxf="1">
    <nc r="AG85">
      <f>AG4-AG84</f>
    </nc>
    <odxf>
      <numFmt numFmtId="0" formatCode="General"/>
    </odxf>
    <ndxf>
      <numFmt numFmtId="165" formatCode="_(* #,##0_);_(* \(#,##0\);_(* &quot;-&quot;??_);_(@_)"/>
    </ndxf>
  </rcc>
  <rcc rId="3447" sId="3">
    <nc r="AG87">
      <f>'HT Express BSC '!AG56+'HT Stores BSC'!AG48+'HT Fine Dining'!AG26</f>
    </nc>
  </rcc>
  <rcc rId="3448" sId="3">
    <nc r="AG88">
      <f>'HT Express BSC '!AG57+'HT Stores BSC'!AG49+'HT Fine Dining'!AG27</f>
    </nc>
  </rcc>
  <rcc rId="3449" sId="3">
    <nc r="AG89">
      <f>'HT Express BSC '!AG58+'HT Stores BSC'!AG50+'HT Fine Dining'!AG28</f>
    </nc>
  </rcc>
  <rcc rId="3450" sId="3" odxf="1" dxf="1">
    <nc r="AG90">
      <f>AG85-SUM(AG87:AG89)</f>
    </nc>
    <odxf>
      <numFmt numFmtId="0" formatCode="General"/>
    </odxf>
    <ndxf>
      <numFmt numFmtId="165" formatCode="_(* #,##0_);_(* \(#,##0\);_(* &quot;-&quot;??_);_(@_)"/>
    </ndxf>
  </rcc>
  <rcc rId="3451" sId="3" odxf="1" dxf="1">
    <nc r="AG100">
      <f>AG90-SUM(AG92:AG98)</f>
    </nc>
    <odxf>
      <numFmt numFmtId="0" formatCode="General"/>
    </odxf>
    <ndxf>
      <numFmt numFmtId="165" formatCode="_(* #,##0_);_(* \(#,##0\);_(* &quot;-&quot;??_);_(@_)"/>
    </ndxf>
  </rcc>
  <rcc rId="3452" sId="3">
    <nc r="AG97">
      <f>'HT Express BSC '!AG66+'HT Stores BSC'!AG58+'HT Fine Dining'!AG36</f>
    </nc>
  </rcc>
  <rcc rId="3453" sId="3">
    <nc r="AG96">
      <v>67795</v>
    </nc>
  </rcc>
  <rcc rId="3454" sId="3">
    <nc r="AG93">
      <v>601291</v>
    </nc>
  </rcc>
  <rcc rId="3455" sId="3">
    <nc r="AG94">
      <v>387023</v>
    </nc>
  </rcc>
  <rcc rId="3456" sId="3">
    <nc r="AG92">
      <v>4473136</v>
    </nc>
  </rcc>
  <rcc rId="3457" sId="3">
    <nc r="AG95">
      <v>1253756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58" sId="6" numFmtId="34">
    <nc r="AG10">
      <v>0</v>
    </nc>
  </rcc>
  <rfmt sheetId="5" sqref="AG6" start="0" length="0">
    <dxf>
      <border outline="0">
        <left style="thin">
          <color indexed="64"/>
        </left>
      </border>
    </dxf>
  </rfmt>
  <rcc rId="3459" sId="5" odxf="1" s="1" dxf="1">
    <nc r="AG6">
      <f>AG10+AG14+AG18</f>
    </nc>
    <ndxf>
      <numFmt numFmtId="1" formatCode="0"/>
    </ndxf>
  </rcc>
  <rcc rId="3460" sId="5">
    <nc r="AG7">
      <f>AG5/AG6</f>
    </nc>
  </rcc>
  <rcc rId="3461" sId="5">
    <nc r="AG11">
      <f>AG9/AG10</f>
    </nc>
  </rcc>
  <rcc rId="3462" sId="5" numFmtId="34">
    <nc r="AG10">
      <v>1000000</v>
    </nc>
  </rcc>
  <rcc rId="3463" sId="5" numFmtId="34">
    <nc r="AG14">
      <v>6925000</v>
    </nc>
  </rcc>
  <rcc rId="3464" sId="5">
    <nc r="AG15">
      <f>AG13/AG14</f>
    </nc>
  </rcc>
  <rcc rId="3465" sId="5" numFmtId="34">
    <nc r="AG18">
      <v>2000000</v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Overall'!$D:$F,'TSF Prasadam Overall'!$AJ:$BD</formula>
    <oldFormula>'TSF Prasadam Overall'!$D:$F,'TSF Prasadam Overall'!$AJ:$BD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'!$AJ:$BD</formula>
    <oldFormula>'HT Express BSC '!$D:$H,'HT Express BSC '!$AJ:$BD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BSC'!$AJ:$BD</formula>
    <oldFormula>'HT Stores BSC'!$D:$G,'HT Stores BSC'!$AJ:$BD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Dining'!$AJ:$BD</formula>
    <oldFormula>'HT Fine Dining'!$D:$G,'HT Fine Dining'!$AJ:$BD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7" sId="5" numFmtId="13">
    <nc r="AG65">
      <v>0.15845678295024049</v>
    </nc>
  </rcc>
  <rcc rId="3478" sId="5" numFmtId="13">
    <nc r="AG66">
      <v>0.54732796331848654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9" sId="5" numFmtId="13">
    <nc r="AG67">
      <v>4.1297987842622938E-2</v>
    </nc>
  </rcc>
  <rcc rId="3480" sId="5">
    <nc r="AG69">
      <f>SUM(AG48:AG50)/AG5</f>
    </nc>
  </rcc>
  <rfmt sheetId="5" sqref="AA85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A86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A87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A90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A91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A92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A93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A94" start="0" length="0">
    <dxf>
      <border outline="0">
        <left/>
      </border>
    </dxf>
  </rfmt>
  <rfmt sheetId="5" sqref="AA95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A96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A97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A95" start="0" length="0">
    <dxf>
      <border outline="0">
        <right style="medium">
          <color indexed="64"/>
        </right>
      </border>
    </dxf>
  </rfmt>
  <rfmt sheetId="5" sqref="AA96" start="0" length="0">
    <dxf>
      <border outline="0">
        <right style="medium">
          <color indexed="64"/>
        </right>
      </border>
    </dxf>
  </rfmt>
  <rfmt sheetId="5" sqref="AA97" start="0" length="0">
    <dxf>
      <border outline="0">
        <right style="medium">
          <color indexed="64"/>
        </right>
      </border>
    </dxf>
  </rfmt>
  <rfmt sheetId="5" sqref="AA98" start="0" length="0">
    <dxf>
      <border outline="0">
        <left/>
        <right style="medium">
          <color indexed="64"/>
        </right>
      </border>
    </dxf>
  </rfmt>
  <rfmt sheetId="5" sqref="AA99" start="0" length="0">
    <dxf>
      <border outline="0">
        <left style="thin">
          <color indexed="64"/>
        </left>
        <right style="medium">
          <color indexed="64"/>
        </right>
      </border>
    </dxf>
  </rfmt>
  <rfmt sheetId="5" sqref="AA100" start="0" length="0">
    <dxf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5" sqref="AA101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rfmt>
  <rfmt sheetId="5" sqref="AA102" start="0" length="0">
    <dxf>
      <font>
        <sz val="11"/>
        <color theme="1"/>
        <name val="Calibri"/>
        <scheme val="minor"/>
      </font>
      <alignment vertical="center" readingOrder="0"/>
      <border outline="0">
        <right style="medium">
          <color indexed="64"/>
        </right>
      </border>
    </dxf>
  </rfmt>
  <rfmt sheetId="5" sqref="AA101" start="0" length="0">
    <dxf>
      <border outline="0">
        <right style="thin">
          <color indexed="64"/>
        </right>
      </border>
    </dxf>
  </rfmt>
  <rfmt sheetId="5" sqref="AA102" start="0" length="0">
    <dxf>
      <font>
        <sz val="9"/>
      </font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A103" start="0" length="0">
    <dxf>
      <border outline="0">
        <left/>
      </border>
    </dxf>
  </rfmt>
  <rfmt sheetId="5" sqref="AA104" start="0" length="0">
    <dxf>
      <border outline="0">
        <left style="thin">
          <color indexed="64"/>
        </left>
      </border>
    </dxf>
  </rfmt>
  <rfmt sheetId="5" sqref="AA105" start="0" length="0">
    <dxf>
      <border outline="0">
        <left style="thin">
          <color indexed="64"/>
        </left>
      </border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81" sId="4">
    <nc r="AG6">
      <f>AG10+AG14+AG18+AG22</f>
    </nc>
  </rcc>
  <rcc rId="3482" sId="4" numFmtId="34">
    <nc r="AG10">
      <v>1090000</v>
    </nc>
  </rcc>
  <rcc rId="3483" sId="4">
    <nc r="AG11">
      <f>AG9/AG10</f>
    </nc>
  </rcc>
  <rcc rId="3484" sId="4" numFmtId="34">
    <nc r="AG14">
      <v>0</v>
    </nc>
  </rcc>
  <rcc rId="3485" sId="4" numFmtId="34">
    <nc r="AG18">
      <v>0</v>
    </nc>
  </rcc>
  <rcc rId="3486" sId="4">
    <nc r="AG15">
      <f>AG13/AG14</f>
    </nc>
  </rcc>
  <rcc rId="3487" sId="4">
    <nc r="AG19">
      <f>AG17/AG18</f>
    </nc>
  </rcc>
  <rcc rId="3488" sId="4">
    <nc r="AG23">
      <f>AG21/AG22</f>
    </nc>
  </rcc>
  <rcc rId="3489" sId="4" numFmtId="34">
    <nc r="AG22">
      <v>0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0" sId="4">
    <nc r="AG25">
      <f>AG9/AG5</f>
    </nc>
  </rcc>
  <rcc rId="3491" sId="4">
    <nc r="AG26">
      <f>AG13/AG5</f>
    </nc>
  </rcc>
  <rcc rId="3492" sId="4">
    <nc r="AG27">
      <f>AG17/AG5</f>
    </nc>
  </rcc>
  <rcc rId="3493" sId="4">
    <nc r="AG28">
      <f>AG21/AG5</f>
    </nc>
  </rcc>
  <rcc rId="3494" sId="4" numFmtId="13">
    <nc r="AG72">
      <v>2.8653723367258507E-2</v>
    </nc>
  </rcc>
  <rcc rId="3495" sId="4" numFmtId="13">
    <nc r="AG73">
      <v>0</v>
    </nc>
  </rcc>
  <rcc rId="3496" sId="4" numFmtId="13">
    <nc r="AG74">
      <v>0</v>
    </nc>
  </rcc>
  <rcc rId="3497" sId="4" numFmtId="13">
    <nc r="AG75">
      <v>0</v>
    </nc>
  </rcc>
  <rcc rId="3498" sId="4">
    <nc r="AA77">
      <f>SUM(AA56:AA58)/AA5</f>
    </nc>
  </rcc>
  <rcc rId="3499" sId="4">
    <nc r="AG77">
      <f>SUM(AG56:AG58)/AG5</f>
    </nc>
  </rcc>
  <rfmt sheetId="4" sqref="AA83" start="0" length="0">
    <dxf>
      <border outline="0">
        <left style="thin">
          <color indexed="64"/>
        </left>
      </border>
    </dxf>
  </rfmt>
  <rfmt sheetId="4" sqref="AA84" start="0" length="0">
    <dxf>
      <border outline="0">
        <left/>
      </border>
    </dxf>
  </rfmt>
  <rfmt sheetId="4" sqref="AA85" start="0" length="0">
    <dxf>
      <font>
        <sz val="9"/>
      </font>
      <numFmt numFmtId="165" formatCode="_(* #,##0_);_(* \(#,##0\);_(* &quot;-&quot;??_);_(@_)"/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86" start="0" length="0">
    <dxf>
      <border outline="0">
        <left style="thin">
          <color indexed="64"/>
        </left>
      </border>
    </dxf>
  </rfmt>
  <rfmt sheetId="4" sqref="AA87" start="0" length="0">
    <dxf>
      <border outline="0">
        <left/>
      </border>
    </dxf>
  </rfmt>
  <rfmt sheetId="4" sqref="AA88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89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90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91" start="0" length="0">
    <dxf>
      <border outline="0">
        <left style="thin">
          <color indexed="64"/>
        </left>
      </border>
    </dxf>
  </rfmt>
  <rfmt sheetId="4" sqref="AA92" start="0" length="0">
    <dxf>
      <border outline="0">
        <left/>
      </border>
    </dxf>
  </rfmt>
  <rfmt sheetId="4" sqref="AA93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94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95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96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97" start="0" length="0">
    <dxf>
      <border outline="0">
        <left/>
      </border>
    </dxf>
  </rfmt>
  <rfmt sheetId="4" sqref="AA98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99" start="0" length="0">
    <dxf>
      <font>
        <sz val="9"/>
        <color rgb="FF000000"/>
      </font>
      <fill>
        <patternFill patternType="none">
          <bgColor indexed="65"/>
        </patternFill>
      </fill>
      <alignment horizontal="general" wrapText="1" readingOrder="0"/>
    </dxf>
  </rfmt>
  <rfmt sheetId="4" sqref="AA100" start="0" length="0">
    <dxf>
      <font>
        <sz val="9"/>
        <color rgb="FF000000"/>
      </font>
      <fill>
        <patternFill patternType="none">
          <bgColor indexed="65"/>
        </patternFill>
      </fill>
      <alignment horizontal="general" wrapText="1" readingOrder="0"/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E79">
    <dxf>
      <fill>
        <patternFill patternType="solid">
          <bgColor rgb="FFFFFF00"/>
        </patternFill>
      </fill>
    </dxf>
  </rfmt>
  <rfmt sheetId="3" sqref="BE79" start="0" length="2147483647">
    <dxf>
      <font>
        <color rgb="FFFF0000"/>
      </font>
    </dxf>
  </rfmt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</formula>
    <oldFormula>'TSF Prasadam Overall'!$D:$G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A102" start="0" length="0">
    <dxf>
      <border outline="0">
        <left style="thin">
          <color indexed="64"/>
        </left>
      </border>
    </dxf>
  </rfmt>
  <rfmt sheetId="4" sqref="AA103" start="0" length="0">
    <dxf>
      <border outline="0">
        <left/>
      </border>
    </dxf>
  </rfmt>
  <rfmt sheetId="4" sqref="AA104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105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106" start="0" length="0">
    <dxf>
      <border outline="0">
        <left/>
      </border>
    </dxf>
  </rfmt>
  <rfmt sheetId="4" sqref="AA107" start="0" length="0">
    <dxf>
      <border outline="0">
        <left style="thin">
          <color indexed="64"/>
        </left>
      </border>
    </dxf>
  </rfmt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0" sId="3" odxf="1" dxf="1">
    <nc r="AG5">
      <f>'HT Express BSC '!AG6+'HT Stores BSC'!AG6+'HT Fine Dining'!AG6</f>
    </nc>
    <odxf>
      <numFmt numFmtId="0" formatCode="General"/>
    </odxf>
    <ndxf>
      <numFmt numFmtId="165" formatCode="_(* #,##0_);_(* \(#,##0\);_(* &quot;-&quot;??_);_(@_)"/>
    </ndxf>
  </rcc>
  <rcc rId="3501" sId="3" odxf="1" s="1" dxf="1">
    <nc r="AG6">
      <f>AG4/AG5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3502" sId="3" odxf="1" dxf="1">
    <nc r="AG8">
      <f>'HT Stores BSC'!AG5/'TSF Prasadam Overall'!AG4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503" sId="3" odxf="1" dxf="1">
    <nc r="AG9">
      <f>'HT Express BSC '!AG5/'TSF Prasadam Overall'!AG4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504" sId="3" odxf="1" dxf="1">
    <nc r="AG10">
      <f>'HT Fine Dining'!AG5/'TSF Prasadam Overall'!AG4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505" sId="3" odxf="1" dxf="1" numFmtId="34">
    <nc r="AG17">
      <v>1000000</v>
    </nc>
    <odxf>
      <numFmt numFmtId="0" formatCode="General"/>
    </odxf>
    <ndxf>
      <numFmt numFmtId="165" formatCode="_(* #,##0_);_(* \(#,##0\);_(* &quot;-&quot;??_);_(@_)"/>
    </ndxf>
  </rcc>
  <rcc rId="3506" sId="3" odxf="1" dxf="1">
    <nc r="AG18">
      <f>AG16/AG17</f>
    </nc>
    <odxf>
      <numFmt numFmtId="0" formatCode="General"/>
    </odxf>
    <ndxf>
      <numFmt numFmtId="13" formatCode="0%"/>
    </ndxf>
  </rcc>
  <rcc rId="3507" sId="3" odxf="1" dxf="1">
    <nc r="AG21">
      <f>'HT Stores BSC'!AG14</f>
    </nc>
    <odxf>
      <numFmt numFmtId="0" formatCode="General"/>
    </odxf>
    <ndxf>
      <numFmt numFmtId="165" formatCode="_(* #,##0_);_(* \(#,##0\);_(* &quot;-&quot;??_);_(@_)"/>
    </ndxf>
  </rcc>
  <rcc rId="3508" sId="3" odxf="1" dxf="1">
    <nc r="AG22">
      <f>AG20/AG21</f>
    </nc>
    <odxf>
      <numFmt numFmtId="0" formatCode="General"/>
    </odxf>
    <ndxf>
      <numFmt numFmtId="13" formatCode="0%"/>
    </ndxf>
  </rcc>
  <rcc rId="3509" sId="3" odxf="1" dxf="1">
    <nc r="AG25">
      <f>'HT Stores BSC'!AG18</f>
    </nc>
    <odxf>
      <numFmt numFmtId="0" formatCode="General"/>
    </odxf>
    <ndxf>
      <numFmt numFmtId="165" formatCode="_(* #,##0_);_(* \(#,##0\);_(* &quot;-&quot;??_);_(@_)"/>
    </ndxf>
  </rcc>
  <rcc rId="3510" sId="3" odxf="1" dxf="1">
    <nc r="AG26">
      <f>AG24/AG25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511" sId="3" odxf="1" s="1" dxf="1">
    <nc r="AG28">
      <f>AG16/AG12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512" sId="3" odxf="1" s="1" dxf="1">
    <nc r="AG29">
      <f>AG20/AG12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513" sId="3" odxf="1" s="1" dxf="1">
    <nc r="AG30">
      <f>AG24/AG12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514" sId="3" odxf="1" dxf="1">
    <nc r="AG32">
      <f>'HT Express BSC '!AG5</f>
    </nc>
    <odxf>
      <numFmt numFmtId="0" formatCode="General"/>
    </odxf>
    <ndxf>
      <numFmt numFmtId="165" formatCode="_(* #,##0_);_(* \(#,##0\);_(* &quot;-&quot;??_);_(@_)"/>
    </ndxf>
  </rcc>
  <rcc rId="3515" sId="3" odxf="1" dxf="1">
    <nc r="AG33">
      <f>'HT Express BSC '!AG6</f>
    </nc>
    <odxf>
      <numFmt numFmtId="0" formatCode="General"/>
    </odxf>
    <ndxf>
      <numFmt numFmtId="165" formatCode="_(* #,##0_);_(* \(#,##0\);_(* &quot;-&quot;??_);_(@_)"/>
    </ndxf>
  </rcc>
  <rcc rId="3516" sId="3" odxf="1" dxf="1">
    <nc r="AG34">
      <f>AG32/AG33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517" sId="3" odxf="1" dxf="1">
    <nc r="AG37">
      <f>'HT Express BSC '!AG10</f>
    </nc>
    <odxf>
      <numFmt numFmtId="0" formatCode="General"/>
    </odxf>
    <ndxf>
      <numFmt numFmtId="165" formatCode="_(* #,##0_);_(* \(#,##0\);_(* &quot;-&quot;??_);_(@_)"/>
    </ndxf>
  </rcc>
  <rcc rId="3518" sId="3" odxf="1" dxf="1">
    <nc r="AG38">
      <f>AG36/AG37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519" sId="3" odxf="1" dxf="1">
    <nc r="AG102">
      <f>AG100/AG85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520" sId="3" odxf="1" dxf="1" numFmtId="34">
    <oc r="AG40">
      <v>0</v>
    </oc>
    <nc r="AG40">
      <f>'HT Express BSC '!AG13</f>
    </nc>
    <odxf>
      <numFmt numFmtId="0" formatCode="General"/>
    </odxf>
    <ndxf>
      <numFmt numFmtId="165" formatCode="_(* #,##0_);_(* \(#,##0\);_(* &quot;-&quot;??_);_(@_)"/>
    </ndxf>
  </rcc>
  <rcc rId="3521" sId="3" odxf="1" dxf="1">
    <nc r="AG41">
      <f>'HT Express BSC '!AG14</f>
    </nc>
    <odxf>
      <numFmt numFmtId="0" formatCode="General"/>
    </odxf>
    <ndxf>
      <numFmt numFmtId="165" formatCode="_(* #,##0_);_(* \(#,##0\);_(* &quot;-&quot;??_);_(@_)"/>
    </ndxf>
  </rcc>
  <rcc rId="3522" sId="3" odxf="1" dxf="1">
    <nc r="AG42">
      <f>AG40/AG41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523" sId="3" odxf="1" dxf="1" numFmtId="34">
    <oc r="AG44">
      <v>0</v>
    </oc>
    <nc r="AG44">
      <f>'HT Express BSC '!AG17</f>
    </nc>
    <odxf>
      <numFmt numFmtId="0" formatCode="General"/>
    </odxf>
    <ndxf>
      <numFmt numFmtId="165" formatCode="_(* #,##0_);_(* \(#,##0\);_(* &quot;-&quot;??_);_(@_)"/>
    </ndxf>
  </rcc>
  <rcc rId="3524" sId="3" odxf="1" dxf="1">
    <nc r="AG45">
      <f>'HT Express BSC '!AG18</f>
    </nc>
    <odxf>
      <numFmt numFmtId="0" formatCode="General"/>
    </odxf>
    <ndxf>
      <numFmt numFmtId="165" formatCode="_(* #,##0_);_(* \(#,##0\);_(* &quot;-&quot;??_);_(@_)"/>
    </ndxf>
  </rcc>
  <rcc rId="3525" sId="3" odxf="1" dxf="1">
    <nc r="AG46">
      <f>AG44/AG45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526" sId="3" odxf="1" s="1" dxf="1">
    <nc r="AG52">
      <f>AG36/AG32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527" sId="3" odxf="1" s="1" dxf="1">
    <nc r="AG53">
      <f>AG40/AG32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528" sId="3" odxf="1" s="1" dxf="1">
    <nc r="AG54">
      <f>AG44/AG32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529" sId="3" odxf="1" s="1" dxf="1">
    <nc r="AG55">
      <f>AG48/AG32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530" sId="3" odxf="1" dxf="1">
    <oc r="AG57">
      <f>'HT Fine Dining'!AG5</f>
    </oc>
    <nc r="AG57">
      <f>'HT Fine Dining'!AG5</f>
    </nc>
    <odxf>
      <numFmt numFmtId="0" formatCode="General"/>
    </odxf>
    <ndxf>
      <numFmt numFmtId="165" formatCode="_(* #,##0_);_(* \(#,##0\);_(* &quot;-&quot;??_);_(@_)"/>
    </ndxf>
  </rcc>
  <rcc rId="3531" sId="3" odxf="1" dxf="1">
    <nc r="AG58">
      <f>'HT Fine Dining'!AG6</f>
    </nc>
    <odxf>
      <numFmt numFmtId="0" formatCode="General"/>
    </odxf>
    <ndxf>
      <numFmt numFmtId="165" formatCode="_(* #,##0_);_(* \(#,##0\);_(* &quot;-&quot;??_);_(@_)"/>
    </ndxf>
  </rcc>
  <rcc rId="3532" sId="3" odxf="1" dxf="1">
    <nc r="AG59">
      <f>AG57/AG58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533" sId="3" odxf="1" dxf="1" numFmtId="34">
    <oc r="AG48">
      <v>0</v>
    </oc>
    <nc r="AG48">
      <f>'HT Express BSC '!AG21</f>
    </nc>
    <odxf>
      <numFmt numFmtId="0" formatCode="General"/>
    </odxf>
    <ndxf>
      <numFmt numFmtId="165" formatCode="_(* #,##0_);_(* \(#,##0\);_(* &quot;-&quot;??_);_(@_)"/>
    </ndxf>
  </rcc>
  <rcc rId="3534" sId="3" odxf="1" dxf="1">
    <nc r="AG49">
      <f>'HT Express BSC '!AG22</f>
    </nc>
    <odxf>
      <numFmt numFmtId="0" formatCode="General"/>
    </odxf>
    <ndxf>
      <numFmt numFmtId="165" formatCode="_(* #,##0_);_(* \(#,##0\);_(* &quot;-&quot;??_);_(@_)"/>
    </ndxf>
  </rcc>
  <rcc rId="3535" sId="3" odxf="1" dxf="1">
    <nc r="AG50">
      <f>AG48/AG49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4">
    <nc r="AG3">
      <f>AG5/'TSF Prasadam Overall'!AG4</f>
    </nc>
  </rcc>
  <rcc rId="3537" sId="4">
    <nc r="AG7">
      <f>AG5/AG6</f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8" sId="3" odxf="1" dxf="1">
    <nc r="AG13">
      <f>AG17+AG21+AG25</f>
    </nc>
    <odxf>
      <numFmt numFmtId="0" formatCode="General"/>
    </odxf>
    <ndxf>
      <numFmt numFmtId="165" formatCode="_(* #,##0_);_(* \(#,##0\);_(* &quot;-&quot;??_);_(@_)"/>
    </ndxf>
  </rcc>
  <rcc rId="3539" sId="3" odxf="1" dxf="1">
    <nc r="AG14">
      <f>AG12/AG13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0" sId="6">
    <nc r="AH50">
      <v>760194</v>
    </nc>
  </rcc>
  <rcc rId="3541" sId="6">
    <nc r="AH55">
      <v>42</v>
    </nc>
  </rcc>
  <rcc rId="3542" sId="6">
    <nc r="AH56">
      <v>8</v>
    </nc>
  </rcc>
  <rcc rId="3543" sId="6">
    <nc r="AH60">
      <v>518538</v>
    </nc>
  </rcc>
  <rcc rId="3544" sId="6">
    <nc r="AH61">
      <v>241656</v>
    </nc>
  </rcc>
  <rcc rId="3545" sId="6">
    <nc r="AH65">
      <v>24</v>
    </nc>
  </rcc>
  <rcc rId="3546" sId="6">
    <nc r="AH66">
      <v>2862</v>
    </nc>
  </rcc>
  <rcc rId="3547" sId="6" odxf="1" dxf="1">
    <nc r="AH67" t="inlineStr">
      <is>
        <t>MARISWAMY S</t>
      </is>
    </nc>
    <odxf>
      <font>
        <sz val="9"/>
      </font>
      <fill>
        <patternFill patternType="none">
          <bgColor indexed="65"/>
        </patternFill>
      </fill>
      <alignment horizontal="general" vertical="center" wrapText="1" readingOrder="0"/>
    </odxf>
    <ndxf>
      <font>
        <sz val="9"/>
        <color rgb="FF000000"/>
      </font>
      <fill>
        <patternFill patternType="solid">
          <bgColor rgb="FFFFFFFF"/>
        </patternFill>
      </fill>
      <alignment horizontal="left" vertical="top" wrapText="0" readingOrder="0"/>
    </ndxf>
  </rcc>
  <rcc rId="3548" sId="6" odxf="1" dxf="1">
    <nc r="AH71">
      <v>182668</v>
    </nc>
    <odxf>
      <font>
        <sz val="9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3549" sId="6">
    <nc r="AH72">
      <v>50</v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Overall'!$D:$F,'TSF Prasadam Overall'!$AJ:$BD</formula>
    <oldFormula>'TSF Prasadam Overall'!$D:$F,'TSF Prasadam Overall'!$AJ:$BD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'!$AJ:$BD</formula>
    <oldFormula>'HT Express BSC '!$D:$H,'HT Express BSC '!$AJ:$BD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BSC'!$AJ:$BD</formula>
    <oldFormula>'HT Stores BSC'!$D:$G,'HT Stores BSC'!$AJ:$BD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Dining'!$AJ:$BD</formula>
    <oldFormula>'HT Fine Dining'!$D:$G,'HT Fine Dining'!$AJ:$BD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1" sId="5" numFmtId="34">
    <nc r="AG80">
      <v>2007079</v>
    </nc>
  </rcc>
  <rcc rId="3562" sId="5">
    <nc r="AG81">
      <f>AG80/AG46</f>
    </nc>
  </rcc>
  <rcc rId="3563" sId="5">
    <nc r="AG86">
      <v>161</v>
    </nc>
  </rcc>
  <rcc rId="3564" sId="5">
    <nc r="AG87">
      <v>13</v>
    </nc>
  </rcc>
  <rcc rId="3565" sId="5">
    <nc r="AG88">
      <v>5</v>
    </nc>
  </rcc>
  <rcc rId="3566" sId="5">
    <nc r="AG90">
      <v>1592935</v>
    </nc>
  </rcc>
  <rcc rId="3567" sId="5">
    <nc r="AG91">
      <v>354983</v>
    </nc>
  </rcc>
  <rcc rId="3568" sId="5">
    <nc r="AG92">
      <v>59161</v>
    </nc>
  </rcc>
  <rcc rId="3569" sId="5">
    <nc r="AG95">
      <v>812</v>
    </nc>
  </rcc>
  <rcc rId="3570" sId="5">
    <nc r="AG96">
      <v>56496</v>
    </nc>
  </rcc>
  <rfmt sheetId="5" sqref="AG97" start="0" length="0">
    <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dxf>
  </rfmt>
  <rcc rId="3571" sId="5" odxf="1" dxf="1">
    <nc r="AG97" t="inlineStr">
      <is>
        <t>In Insert</t>
      </is>
    </nc>
    <n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72" sId="5">
    <nc r="AA97" t="inlineStr">
      <is>
        <t>in insert</t>
      </is>
    </nc>
  </rcc>
  <rcc rId="3573" sId="5">
    <nc r="AG99">
      <v>0</v>
    </nc>
  </rcc>
  <rcc rId="3574" sId="5">
    <nc r="AG101">
      <v>123496</v>
    </nc>
  </rcc>
  <rcc rId="3575" sId="5">
    <nc r="AG102">
      <v>118</v>
    </nc>
  </rcc>
  <rcmt sheetId="5" cell="AG97" guid="{C6F6C14F-9AC3-4556-B15C-F2F132EF9617}" author="Ganesh Mavathur" newLength="193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6" sId="4" numFmtId="34">
    <nc r="AG85">
      <v>513524</v>
    </nc>
  </rcc>
  <rcc rId="3577" sId="4">
    <nc r="AG86">
      <f>AG85/AG5</f>
    </nc>
  </rcc>
  <rcc rId="3578" sId="4">
    <nc r="AD86">
      <f>AD85/AD5</f>
    </nc>
  </rcc>
  <rfmt sheetId="4" sqref="AA86" start="0" length="0">
    <dxf>
      <border outline="0">
        <left style="medium">
          <color indexed="64"/>
        </left>
      </border>
    </dxf>
  </rfmt>
  <rcc rId="3579" sId="4">
    <nc r="U86">
      <f>U85/U5</f>
    </nc>
  </rcc>
  <rcc rId="3580" sId="4">
    <oc r="R86">
      <f>O86</f>
    </oc>
    <nc r="R86">
      <f>R85/R5</f>
    </nc>
  </rcc>
  <rcc rId="3581" sId="4">
    <oc r="O86">
      <f>O85/O5</f>
    </oc>
    <nc r="O86">
      <f>O85/O5</f>
    </nc>
  </rcc>
  <rcc rId="3582" sId="4">
    <nc r="L86">
      <f>L85/L5</f>
    </nc>
  </rcc>
  <rcc rId="3583" sId="4">
    <oc r="R85">
      <f>O85</f>
    </oc>
    <nc r="R85">
      <f>SUM(O85+L85+I85)</f>
    </nc>
  </rcc>
  <rcc rId="3584" sId="4">
    <oc r="U85">
      <v>1787065</v>
    </oc>
    <nc r="U85">
      <v>769187</v>
    </nc>
  </rcc>
  <rcc rId="3585" sId="4">
    <nc r="X86">
      <f>X85/X5</f>
    </nc>
  </rcc>
  <rcc rId="3586" sId="4">
    <nc r="AA86">
      <f>AA85/AA5</f>
    </nc>
  </rcc>
  <rcc rId="3587" sId="4">
    <nc r="AD85">
      <f>(U85+X85+AA85)</f>
    </nc>
  </rcc>
  <rcc rId="3588" sId="4">
    <nc r="AG88">
      <v>352183</v>
    </nc>
  </rcc>
  <rcc rId="3589" sId="4">
    <nc r="AG89">
      <v>149648</v>
    </nc>
  </rcc>
  <rcc rId="3590" sId="4">
    <nc r="AG90">
      <v>11693</v>
    </nc>
  </rcc>
  <rcc rId="3591" sId="4">
    <nc r="AG91">
      <v>0</v>
    </nc>
  </rcc>
  <rcc rId="3592" sId="4">
    <nc r="AG98">
      <v>8</v>
    </nc>
  </rcc>
  <rcc rId="3593" sId="4">
    <nc r="AG99">
      <v>527</v>
    </nc>
  </rcc>
  <rcc rId="3594" sId="4" odxf="1" dxf="1">
    <nc r="AG100" t="inlineStr">
      <is>
        <t>ESHWAR ACHAR</t>
      </is>
    </nc>
    <odxf>
      <font>
        <sz val="9"/>
      </font>
      <fill>
        <patternFill patternType="none">
          <bgColor indexed="65"/>
        </patternFill>
      </fill>
      <alignment horizontal="general" vertical="center" wrapText="1" readingOrder="0"/>
      <border outline="0">
        <left style="medium">
          <color indexed="64"/>
        </left>
      </border>
    </odxf>
    <ndxf>
      <font>
        <sz val="9"/>
        <color rgb="FF000000"/>
      </font>
      <fill>
        <patternFill patternType="solid">
          <bgColor rgb="FFFFFFFF"/>
        </patternFill>
      </fill>
      <alignment horizontal="left" vertical="top" wrapText="0" readingOrder="0"/>
      <border outline="0">
        <left style="thin">
          <color indexed="64"/>
        </left>
      </border>
    </ndxf>
  </rcc>
  <rcc rId="3595" sId="4" odxf="1" dxf="1">
    <nc r="AG104">
      <v>26188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3596" sId="4">
    <nc r="AG105">
      <v>29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7" sId="3">
    <nc r="AG132">
      <v>3565304</v>
    </nc>
  </rcc>
  <rcc rId="3598" sId="3" odxf="1" dxf="1">
    <nc r="AG133">
      <f>AG132/AG85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599" sId="3">
    <nc r="AG134">
      <v>2519981</v>
    </nc>
  </rcc>
  <rcc rId="3600" sId="3">
    <nc r="AG135">
      <v>929563</v>
    </nc>
  </rcc>
  <rcc rId="3601" sId="3">
    <nc r="AG136">
      <v>15760</v>
    </nc>
  </rcc>
  <rcc rId="3602" sId="3">
    <nc r="AG143">
      <v>279</v>
    </nc>
  </rcc>
  <rcc rId="3603" sId="3">
    <nc r="AG144">
      <v>240</v>
    </nc>
  </rcc>
  <rcc rId="3604" sId="3">
    <nc r="AG145">
      <v>32</v>
    </nc>
  </rcc>
  <rcc rId="3605" sId="3">
    <nc r="AG146">
      <v>7</v>
    </nc>
  </rcc>
  <rcc rId="3606" sId="3">
    <nc r="AG149">
      <v>844.5</v>
    </nc>
  </rcc>
  <rcc rId="3607" sId="3">
    <nc r="AG150">
      <v>59883</v>
    </nc>
  </rcc>
  <rcc rId="3608" sId="3">
    <nc r="AG151" t="inlineStr">
      <is>
        <t>In Insert</t>
      </is>
    </nc>
  </rcc>
  <rfmt sheetId="4" sqref="AG93:AG96">
    <dxf>
      <fill>
        <patternFill patternType="solid">
          <bgColor rgb="FFFFFF00"/>
        </patternFill>
      </fill>
    </dxf>
  </rfmt>
  <rcc rId="3609" sId="3">
    <nc r="AG155">
      <v>334089</v>
    </nc>
  </rcc>
  <rcc rId="3610" sId="3">
    <nc r="AG156">
      <v>198</v>
    </nc>
  </rcc>
  <rcc rId="3611" sId="4">
    <nc r="AG93">
      <v>352183</v>
    </nc>
  </rcc>
  <rcc rId="3612" sId="4">
    <nc r="AG94">
      <v>149648</v>
    </nc>
  </rcc>
  <rcc rId="3613" sId="4">
    <nc r="AG95">
      <v>11693</v>
    </nc>
  </rcc>
  <rcc rId="3614" sId="4">
    <oc r="AG88">
      <v>352183</v>
    </oc>
    <nc r="AG88">
      <v>33</v>
    </nc>
  </rcc>
  <rcc rId="3615" sId="4">
    <oc r="AG89">
      <v>149648</v>
    </oc>
    <nc r="AG89">
      <v>6</v>
    </nc>
  </rcc>
  <rcc rId="3616" sId="4">
    <oc r="AG90">
      <v>11693</v>
    </oc>
    <nc r="AG90">
      <v>1</v>
    </nc>
  </rcc>
  <rfmt sheetId="4" sqref="AG93:AG96">
    <dxf>
      <fill>
        <patternFill patternType="none">
          <bgColor auto="1"/>
        </patternFill>
      </fill>
    </dxf>
  </rfmt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6">
    <nc r="AG50">
      <v>760194</v>
    </nc>
  </rcc>
  <rcc rId="3618" sId="6">
    <nc r="AG55">
      <v>42</v>
    </nc>
  </rcc>
  <rcc rId="3619" sId="6">
    <nc r="AG56">
      <v>8</v>
    </nc>
  </rcc>
  <rcc rId="3620" sId="6">
    <nc r="AG60">
      <v>518538</v>
    </nc>
  </rcc>
  <rcc rId="3621" sId="6">
    <nc r="AG61">
      <v>241656</v>
    </nc>
  </rcc>
  <rcc rId="3622" sId="6">
    <nc r="AG65">
      <v>24</v>
    </nc>
  </rcc>
  <rcc rId="3623" sId="6">
    <nc r="AG66">
      <v>2862</v>
    </nc>
  </rcc>
  <rcc rId="3624" sId="6">
    <nc r="AG67" t="inlineStr">
      <is>
        <t>MARISWAMY S</t>
      </is>
    </nc>
  </rcc>
  <rcc rId="3625" sId="6">
    <nc r="AG71">
      <v>182668</v>
    </nc>
  </rcc>
  <rcc rId="3626" sId="6">
    <nc r="AG72">
      <v>50</v>
    </nc>
  </rcc>
  <rcc rId="3627" sId="6">
    <oc r="AH50">
      <v>760194</v>
    </oc>
    <nc r="AH50"/>
  </rcc>
  <rcc rId="3628" sId="6">
    <oc r="AH55">
      <v>42</v>
    </oc>
    <nc r="AH55"/>
  </rcc>
  <rcc rId="3629" sId="6">
    <oc r="AH56">
      <v>8</v>
    </oc>
    <nc r="AH56"/>
  </rcc>
  <rcc rId="3630" sId="6">
    <oc r="AH60">
      <v>518538</v>
    </oc>
    <nc r="AH60"/>
  </rcc>
  <rcc rId="3631" sId="6">
    <oc r="AH61">
      <v>241656</v>
    </oc>
    <nc r="AH61"/>
  </rcc>
  <rcc rId="3632" sId="6">
    <oc r="AH65">
      <v>24</v>
    </oc>
    <nc r="AH65"/>
  </rcc>
  <rcc rId="3633" sId="6">
    <oc r="AH66">
      <v>2862</v>
    </oc>
    <nc r="AH66"/>
  </rcc>
  <rcc rId="3634" sId="6">
    <oc r="AH67" t="inlineStr">
      <is>
        <t>MARISWAMY S</t>
      </is>
    </oc>
    <nc r="AH67"/>
  </rcc>
  <rcc rId="3635" sId="6">
    <oc r="AH71">
      <v>182668</v>
    </oc>
    <nc r="AH71"/>
  </rcc>
  <rcc rId="3636" sId="6">
    <oc r="AH72">
      <v>50</v>
    </oc>
    <nc r="AH72"/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7" sId="6">
    <nc r="AG44">
      <v>26204</v>
    </nc>
  </rcc>
  <rcc rId="3638" sId="6">
    <nc r="AG46">
      <f>AG44/AG26</f>
    </nc>
  </rcc>
  <rfmt sheetId="6" sqref="AG46">
    <dxf>
      <numFmt numFmtId="14" formatCode="0.00%"/>
    </dxf>
  </rfmt>
  <rcc rId="3639" sId="6" odxf="1" dxf="1">
    <nc r="AA46">
      <f>AA44/AA26</f>
    </nc>
    <odxf>
      <numFmt numFmtId="0" formatCode="General"/>
    </odxf>
    <ndxf>
      <numFmt numFmtId="14" formatCode="0.00%"/>
    </ndxf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Overall'!$D:$F,'TSF Prasadam Overall'!$AJ:$BD</formula>
    <oldFormula>'TSF Prasadam Overall'!$D:$F,'TSF Prasadam Overall'!$AJ:$BD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'!$AJ:$BD</formula>
    <oldFormula>'HT Express BSC '!$D:$H,'HT Express BSC '!$AJ:$BD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BSC'!$AJ:$BD</formula>
    <oldFormula>'HT Stores BSC'!$D:$G,'HT Stores BSC'!$AJ:$BD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Dining'!$AJ:$BD</formula>
    <oldFormula>'HT Fine Dining'!$D:$G,'HT Fine Dining'!$AJ:$BD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E80">
    <dxf>
      <fill>
        <patternFill patternType="solid">
          <bgColor rgb="FFFFFF00"/>
        </patternFill>
      </fill>
    </dxf>
  </rfmt>
  <rfmt sheetId="3" sqref="BE80" start="0" length="2147483647">
    <dxf>
      <font>
        <color rgb="FFFF0000"/>
      </font>
    </dxf>
  </rfmt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Overall'!$D:$F,'TSF Prasadam Overall'!$AJ:$BD</formula>
    <oldFormula>'TSF Prasadam Overall'!$D:$F,'TSF Prasadam Overall'!$AJ:$BD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'!$AJ:$BD</formula>
    <oldFormula>'HT Express BSC '!$D:$H,'HT Express BSC '!$AJ:$BD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BSC'!$AJ:$BD</formula>
    <oldFormula>'HT Stores BSC'!$D:$G,'HT Stores BSC'!$AJ:$BD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Dining'!$AJ:$BD</formula>
    <oldFormula>'HT Fine Dining'!$D:$G,'HT Fine Dining'!$AJ:$BD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2" sId="5">
    <nc r="AG71">
      <f>44688+19310</f>
    </nc>
  </rcc>
  <rcc rId="3663" sId="5">
    <nc r="AA73">
      <f>AA71/AA48</f>
    </nc>
  </rcc>
  <rfmt sheetId="5" sqref="AA73">
    <dxf>
      <numFmt numFmtId="14" formatCode="0.00%"/>
    </dxf>
  </rfmt>
  <rfmt sheetId="5" sqref="AA73">
    <dxf>
      <numFmt numFmtId="168" formatCode="0.0%"/>
    </dxf>
  </rfmt>
  <rfmt sheetId="5" sqref="AA73">
    <dxf>
      <numFmt numFmtId="13" formatCode="0%"/>
    </dxf>
  </rfmt>
  <rcc rId="3664" sId="5" odxf="1" dxf="1">
    <nc r="AG73">
      <f>AG71/AG48</f>
    </nc>
    <odxf>
      <numFmt numFmtId="0" formatCode="General"/>
    </odxf>
    <ndxf>
      <numFmt numFmtId="13" formatCode="0%"/>
    </ndxf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G104" start="0" length="0">
    <dxf>
      <font>
        <sz val="9"/>
        <color theme="1"/>
        <name val="Calibri"/>
        <scheme val="minor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G105" start="0" length="0">
    <dxf>
      <border outline="0">
        <left style="thin">
          <color indexed="64"/>
        </left>
      </border>
    </dxf>
  </rfmt>
  <rcc rId="3665" sId="4">
    <nc r="AG79">
      <v>651</v>
    </nc>
  </rcc>
  <rcc rId="3666" sId="4">
    <nc r="AG81">
      <f>AG79/AG56</f>
    </nc>
  </rcc>
  <rfmt sheetId="4" sqref="AG81">
    <dxf>
      <numFmt numFmtId="13" formatCode="0%"/>
    </dxf>
  </rfmt>
  <rcc rId="3667" sId="4" odxf="1" dxf="1">
    <nc r="AA81">
      <f>AA79/AA56</f>
    </nc>
    <odxf>
      <numFmt numFmtId="0" formatCode="General"/>
    </odxf>
    <ndxf>
      <numFmt numFmtId="13" formatCode="0%"/>
    </ndxf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8" sId="3">
    <nc r="AG121">
      <f>'HT Express BSC '!AG79+'HT Stores BSC'!AG71+'HT Fine Dining'!AG44</f>
    </nc>
  </rcc>
  <rcc rId="3669" sId="3">
    <nc r="AG123">
      <f>AG121/AG87</f>
    </nc>
  </rcc>
  <rfmt sheetId="3" sqref="AG123">
    <dxf>
      <numFmt numFmtId="13" formatCode="0%"/>
    </dxf>
  </rfmt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0" sId="5">
    <nc r="AG109">
      <v>2</v>
    </nc>
  </rcc>
  <rcc rId="3671" sId="6">
    <nc r="AH79">
      <v>1</v>
    </nc>
  </rcc>
  <rcc rId="3672" sId="3">
    <nc r="AG166">
      <v>3</v>
    </nc>
  </rcc>
  <rcc rId="3673" sId="3">
    <nc r="AG178">
      <v>4987719</v>
    </nc>
  </rcc>
  <rfmt sheetId="3" sqref="AG178">
    <dxf>
      <numFmt numFmtId="35" formatCode="_(* #,##0.00_);_(* \(#,##0.00\);_(* &quot;-&quot;??_);_(@_)"/>
    </dxf>
  </rfmt>
  <rfmt sheetId="3" sqref="AG178">
    <dxf>
      <numFmt numFmtId="167" formatCode="_(* #,##0.0_);_(* \(#,##0.0\);_(* &quot;-&quot;??_);_(@_)"/>
    </dxf>
  </rfmt>
  <rfmt sheetId="3" sqref="AG178">
    <dxf>
      <numFmt numFmtId="165" formatCode="_(* #,##0_);_(* \(#,##0\);_(* &quot;-&quot;??_);_(@_)"/>
    </dxf>
  </rfmt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4" sId="3">
    <nc r="AG185">
      <v>4732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A1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A156" start="0" length="0">
    <dxf>
      <numFmt numFmtId="0" formatCode="General"/>
    </dxf>
  </rfmt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5" sId="3">
    <nc r="AG171">
      <v>3175654.44</v>
    </nc>
  </rcc>
  <rfmt sheetId="3" sqref="AG171">
    <dxf>
      <numFmt numFmtId="35" formatCode="_(* #,##0.00_);_(* \(#,##0.00\);_(* &quot;-&quot;??_);_(@_)"/>
    </dxf>
  </rfmt>
  <rfmt sheetId="3" sqref="AG171">
    <dxf>
      <numFmt numFmtId="167" formatCode="_(* #,##0.0_);_(* \(#,##0.0\);_(* &quot;-&quot;??_);_(@_)"/>
    </dxf>
  </rfmt>
  <rfmt sheetId="3" sqref="AG171">
    <dxf>
      <numFmt numFmtId="165" formatCode="_(* #,##0_);_(* \(#,##0\);_(* &quot;-&quot;??_);_(@_)"/>
    </dxf>
  </rfmt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6" sId="3">
    <nc r="AG172">
      <v>444809</v>
    </nc>
  </rcc>
  <rfmt sheetId="3" sqref="AG172">
    <dxf>
      <numFmt numFmtId="35" formatCode="_(* #,##0.00_);_(* \(#,##0.00\);_(* &quot;-&quot;??_);_(@_)"/>
    </dxf>
  </rfmt>
  <rfmt sheetId="3" sqref="AG172">
    <dxf>
      <numFmt numFmtId="167" formatCode="_(* #,##0.0_);_(* \(#,##0.0\);_(* &quot;-&quot;??_);_(@_)"/>
    </dxf>
  </rfmt>
  <rfmt sheetId="3" sqref="AG172">
    <dxf>
      <numFmt numFmtId="165" formatCode="_(* #,##0_);_(* \(#,##0\);_(* &quot;-&quot;??_);_(@_)"/>
    </dxf>
  </rfmt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7" sId="3">
    <nc r="AG173">
      <v>188883.44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1" sId="3">
    <oc r="BE84">
      <f>L84+I84+O84</f>
    </oc>
    <nc r="BE84">
      <f>I84+L84+O84+U84+X84+AA84+AG84+AJ84+AM84+AS84+AV84+AY84</f>
    </nc>
  </rcc>
  <rfmt sheetId="3" sqref="BE85">
    <dxf>
      <fill>
        <patternFill>
          <bgColor rgb="FFFFFF00"/>
        </patternFill>
      </fill>
    </dxf>
  </rfmt>
  <rfmt sheetId="3" sqref="BE85" start="0" length="2147483647">
    <dxf>
      <font>
        <color rgb="FFFF0000"/>
      </font>
    </dxf>
  </rfmt>
  <rcc rId="2302" sId="3">
    <oc r="BE87">
      <f>L87+I87+O87</f>
    </oc>
    <nc r="BE87">
      <f>L87+I87+O87+U87+X87+AA87+AG87+AJ87+AM87+AS87+AV87+AY87</f>
    </nc>
  </rcc>
  <rcc rId="2303" sId="3">
    <oc r="BE88">
      <f>L88+I88+O88</f>
    </oc>
    <nc r="BE88">
      <f>L88+I88+O88+U88+X88+AA88+AG88+AJ88+AM88+AS88+AV88+AY88</f>
    </nc>
  </rcc>
  <rcc rId="2304" sId="3">
    <oc r="BE89">
      <f>L89+I89+O89</f>
    </oc>
    <nc r="BE89">
      <f>L89+I89+O89+U89+X89+AA89+AG89+AJ89+AM89+AS89+AV89+AY89</f>
    </nc>
  </rcc>
  <rfmt sheetId="3" sqref="BE90">
    <dxf>
      <fill>
        <patternFill>
          <bgColor rgb="FFFFFF00"/>
        </patternFill>
      </fill>
    </dxf>
  </rfmt>
  <rfmt sheetId="3" sqref="BE90" start="0" length="2147483647">
    <dxf>
      <font>
        <color rgb="FFFF0000"/>
      </font>
    </dxf>
  </rfmt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G173">
    <dxf>
      <numFmt numFmtId="35" formatCode="_(* #,##0.00_);_(* \(#,##0.00\);_(* &quot;-&quot;??_);_(@_)"/>
    </dxf>
  </rfmt>
  <rfmt sheetId="3" sqref="AG173">
    <dxf>
      <numFmt numFmtId="167" formatCode="_(* #,##0.0_);_(* \(#,##0.0\);_(* &quot;-&quot;??_);_(@_)"/>
    </dxf>
  </rfmt>
  <rfmt sheetId="3" sqref="AG173">
    <dxf>
      <numFmt numFmtId="165" formatCode="_(* #,##0_);_(* \(#,##0\);_(* &quot;-&quot;??_);_(@_)"/>
    </dxf>
  </rfmt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8" sId="3">
    <nc r="AG174">
      <v>427972</v>
    </nc>
  </rcc>
  <rfmt sheetId="3" sqref="AG174">
    <dxf>
      <numFmt numFmtId="35" formatCode="_(* #,##0.00_);_(* \(#,##0.00\);_(* &quot;-&quot;??_);_(@_)"/>
    </dxf>
  </rfmt>
  <rfmt sheetId="3" sqref="AG174">
    <dxf>
      <numFmt numFmtId="167" formatCode="_(* #,##0.0_);_(* \(#,##0.0\);_(* &quot;-&quot;??_);_(@_)"/>
    </dxf>
  </rfmt>
  <rfmt sheetId="3" sqref="AG174">
    <dxf>
      <numFmt numFmtId="165" formatCode="_(* #,##0_);_(* \(#,##0\);_(* &quot;-&quot;??_);_(@_)"/>
    </dxf>
  </rfmt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G25" start="0" length="0">
    <dxf>
      <numFmt numFmtId="13" formatCode="0%"/>
    </dxf>
  </rfmt>
  <rfmt sheetId="5" sqref="AG26" start="0" length="0">
    <dxf>
      <numFmt numFmtId="13" formatCode="0%"/>
    </dxf>
  </rfmt>
  <rfmt sheetId="5" sqref="AG27" start="0" length="0">
    <dxf>
      <numFmt numFmtId="13" formatCode="0%"/>
    </dxf>
  </rfmt>
  <rfmt sheetId="5" sqref="AG28" start="0" length="0">
    <dxf>
      <numFmt numFmtId="13" formatCode="0%"/>
    </dxf>
  </rfmt>
  <rfmt sheetId="5" sqref="AG29" start="0" length="0">
    <dxf>
      <numFmt numFmtId="13" formatCode="0%"/>
    </dxf>
  </rfmt>
  <rfmt sheetId="5" sqref="AG30" start="0" length="0">
    <dxf>
      <numFmt numFmtId="13" formatCode="0%"/>
    </dxf>
  </rfmt>
  <rfmt sheetId="5" sqref="AG31" start="0" length="0">
    <dxf>
      <numFmt numFmtId="13" formatCode="0%"/>
    </dxf>
  </rfmt>
  <rfmt sheetId="5" sqref="AG32" start="0" length="0">
    <dxf>
      <numFmt numFmtId="13" formatCode="0%"/>
    </dxf>
  </rfmt>
  <rfmt sheetId="5" sqref="AG33" start="0" length="0">
    <dxf>
      <numFmt numFmtId="13" formatCode="0%"/>
    </dxf>
  </rfmt>
  <rfmt sheetId="5" sqref="AG34" start="0" length="0">
    <dxf>
      <numFmt numFmtId="13" formatCode="0%"/>
    </dxf>
  </rfmt>
  <rfmt sheetId="5" sqref="AG35" start="0" length="0">
    <dxf>
      <numFmt numFmtId="13" formatCode="0%"/>
    </dxf>
  </rfmt>
  <rfmt sheetId="5" sqref="AG36" start="0" length="0">
    <dxf>
      <numFmt numFmtId="13" formatCode="0%"/>
    </dxf>
  </rfmt>
  <rfmt sheetId="5" sqref="AG37" start="0" length="0">
    <dxf>
      <numFmt numFmtId="13" formatCode="0%"/>
    </dxf>
  </rfmt>
  <rcc rId="3679" sId="5" numFmtId="13">
    <nc r="AG25">
      <v>0.18</v>
    </nc>
  </rcc>
  <rcc rId="3680" sId="5" numFmtId="13">
    <nc r="AG28">
      <v>0.15</v>
    </nc>
  </rcc>
  <rcc rId="3681" sId="5" numFmtId="13">
    <nc r="AG27">
      <v>0.15</v>
    </nc>
  </rcc>
  <rcc rId="3682" sId="5" numFmtId="13">
    <nc r="AG32">
      <v>0.11</v>
    </nc>
  </rcc>
  <rcc rId="3683" sId="5" numFmtId="13">
    <nc r="AG26">
      <v>0.09</v>
    </nc>
  </rcc>
  <rcc rId="3684" sId="5" numFmtId="13">
    <nc r="AG29">
      <v>0.06</v>
    </nc>
  </rcc>
  <rcc rId="3685" sId="5" numFmtId="13">
    <nc r="AG30">
      <v>0.06</v>
    </nc>
  </rcc>
  <rcc rId="3686" sId="5" numFmtId="13">
    <nc r="AG31">
      <v>0.05</v>
    </nc>
  </rcc>
  <rcc rId="3687" sId="5" numFmtId="13">
    <nc r="AG33">
      <v>0.03</v>
    </nc>
  </rcc>
  <rcc rId="3688" sId="5" numFmtId="13">
    <nc r="AG34">
      <v>0.04</v>
    </nc>
  </rcc>
  <rcc rId="3689" sId="5" numFmtId="13">
    <nc r="AG35">
      <v>0.02</v>
    </nc>
  </rcc>
  <rcc rId="3690" sId="5" numFmtId="13">
    <nc r="AG36">
      <v>0.04</v>
    </nc>
  </rcc>
  <rcc rId="3691" sId="5" numFmtId="13">
    <nc r="AG37">
      <v>0.02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2" sId="3" odxf="1" dxf="1" numFmtId="13">
    <nc r="AG61">
      <v>0.18</v>
    </nc>
    <ndxf>
      <numFmt numFmtId="13" formatCode="0%"/>
      <border outline="0">
        <left style="medium">
          <color indexed="64"/>
        </left>
      </border>
    </ndxf>
  </rcc>
  <rcc rId="3693" sId="3" odxf="1" dxf="1" numFmtId="13">
    <nc r="AG62">
      <v>0.09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694" sId="3" odxf="1" dxf="1" numFmtId="13">
    <nc r="AG63">
      <v>0.15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695" sId="3" odxf="1" dxf="1" numFmtId="13">
    <nc r="AG64">
      <v>0.15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696" sId="3" odxf="1" dxf="1" numFmtId="13">
    <nc r="AG65">
      <v>0.06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697" sId="3" odxf="1" dxf="1" numFmtId="13">
    <nc r="AG66">
      <v>0.06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698" sId="3" odxf="1" dxf="1" numFmtId="13">
    <nc r="AG67">
      <v>0.05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699" sId="3" odxf="1" dxf="1" numFmtId="13">
    <nc r="AG68">
      <v>0.11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700" sId="3" odxf="1" dxf="1" numFmtId="13">
    <nc r="AG69">
      <v>0.03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701" sId="3" odxf="1" dxf="1" numFmtId="13">
    <nc r="AG70">
      <v>0.04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702" sId="3" odxf="1" dxf="1" numFmtId="13">
    <nc r="AG71">
      <v>0.02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703" sId="3" odxf="1" dxf="1" numFmtId="13">
    <nc r="AG72">
      <v>0.04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704" sId="3" odxf="1" dxf="1" numFmtId="13">
    <nc r="AG73">
      <v>0.02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5" sId="3">
    <nc r="AH75">
      <v>233000</v>
    </nc>
  </rcc>
  <rcc rId="3706" sId="3">
    <nc r="AG75">
      <v>328000</v>
    </nc>
  </rcc>
  <rcc rId="3707" sId="3" odxf="1" dxf="1">
    <nc r="AG76">
      <f>AG20/AG75</f>
    </nc>
    <odxf>
      <numFmt numFmtId="0" formatCode="General"/>
      <border outline="0">
        <left style="thin">
          <color indexed="64"/>
        </left>
      </border>
    </odxf>
    <ndxf>
      <numFmt numFmtId="2" formatCode="0.00"/>
      <border outline="0">
        <left style="medium">
          <color indexed="64"/>
        </left>
      </border>
    </ndxf>
  </rcc>
  <rcc rId="3708" sId="3" odxf="1" dxf="1">
    <nc r="AH76">
      <f>AH20/AH75</f>
    </nc>
    <odxf>
      <numFmt numFmtId="0" formatCode="General"/>
      <border outline="0">
        <left style="thin">
          <color indexed="64"/>
        </left>
      </border>
    </odxf>
    <ndxf>
      <numFmt numFmtId="2" formatCode="0.00"/>
      <border outline="0">
        <left style="medium">
          <color indexed="64"/>
        </left>
      </border>
    </ndxf>
  </rcc>
  <rcc rId="3709" sId="3" odxf="1" dxf="1">
    <nc r="AG77">
      <f>AG36/AG75</f>
    </nc>
    <odxf>
      <numFmt numFmtId="0" formatCode="General"/>
      <border outline="0">
        <left style="thin">
          <color indexed="64"/>
        </left>
      </border>
    </odxf>
    <ndxf>
      <numFmt numFmtId="2" formatCode="0.00"/>
      <border outline="0">
        <left style="medium">
          <color indexed="64"/>
        </left>
      </border>
    </ndxf>
  </rcc>
  <rcc rId="3710" sId="3" odxf="1" dxf="1">
    <nc r="AH77">
      <f>AH36/AH75</f>
    </nc>
    <odxf>
      <numFmt numFmtId="0" formatCode="General"/>
      <border outline="0">
        <left style="thin">
          <color indexed="64"/>
        </left>
      </border>
    </odxf>
    <ndxf>
      <numFmt numFmtId="2" formatCode="0.00"/>
      <border outline="0">
        <left style="medium">
          <color indexed="64"/>
        </left>
      </border>
    </ndxf>
  </rcc>
  <rcc rId="3711" sId="3" odxf="1" dxf="1">
    <nc r="AG79">
      <f>AG36/7335</f>
    </nc>
    <odxf>
      <numFmt numFmtId="0" formatCode="General"/>
    </odxf>
    <ndxf>
      <numFmt numFmtId="165" formatCode="_(* #,##0_);_(* \(#,##0\);_(* &quot;-&quot;??_);_(@_)"/>
    </ndxf>
  </rcc>
  <rcc rId="3712" sId="3" odxf="1" dxf="1">
    <oc r="AG36">
      <f>'HT Express BSC '!AD9</f>
    </oc>
    <nc r="AG36">
      <f>'HT Express BSC '!AG9</f>
    </nc>
    <odxf>
      <numFmt numFmtId="0" formatCode="General"/>
    </odxf>
    <ndxf>
      <numFmt numFmtId="165" formatCode="_(* #,##0_);_(* \(#,##0\);_(* &quot;-&quot;??_);_(@_)"/>
    </ndxf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3" sId="3" odxf="1" dxf="1">
    <nc r="AG80">
      <f>AG20/2799.94</f>
    </nc>
    <odxf>
      <numFmt numFmtId="0" formatCode="General"/>
    </odxf>
    <ndxf>
      <numFmt numFmtId="165" formatCode="_(* #,##0_);_(* \(#,##0\);_(* &quot;-&quot;??_);_(@_)"/>
    </ndxf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4" sId="3" odxf="1" dxf="1">
    <nc r="AG190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3715" sId="3" odxf="1" dxf="1">
    <nc r="AG191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3716" sId="3" odxf="1" dxf="1">
    <nc r="AG192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3717" sId="3" odxf="1" dxf="1">
    <nc r="AG193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3718" sId="3" odxf="1" dxf="1">
    <nc r="AG194" t="inlineStr">
      <is>
        <t>NA</t>
      </is>
    </nc>
    <odxf>
      <border outline="0">
        <left style="thin">
          <color indexed="64"/>
        </left>
        <bottom style="thin">
          <color indexed="64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9" sId="6">
    <oc r="R14">
      <f>(O14+L14+I14)/3</f>
    </oc>
    <nc r="R14">
      <f>(O14+L14+I14)</f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0" sId="6">
    <oc r="R14">
      <f>(O14+L14+I14)</f>
    </oc>
    <nc r="R14">
      <f>(O14+L14+I14)/3</f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1" sId="6" numFmtId="34">
    <nc r="X14">
      <v>360842</v>
    </nc>
  </rcc>
  <rcc rId="3722" sId="6" numFmtId="34">
    <nc r="AA14">
      <v>261765</v>
    </nc>
  </rcc>
  <rcc rId="3723" sId="6">
    <nc r="AD14">
      <f>(AA14+X14+U14)</f>
    </nc>
  </rcc>
  <rcc rId="3724" sId="6" numFmtId="34">
    <nc r="AG14">
      <v>343045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5" sId="3">
    <oc r="BE92">
      <f>L92+I92+O92</f>
    </oc>
    <nc r="BE92">
      <f>L92+I92+O92+U92+X92+AA92+AG92+AJ92+AM92+AS92+AV92+AY92</f>
    </nc>
  </rcc>
  <rcc rId="2306" sId="3">
    <oc r="BE93">
      <f>L93+I93+O93</f>
    </oc>
    <nc r="BE93">
      <f>L93+I93+O93+U93+X93+AA93+AG93+AJ93+AM93+AS93+AV93+AY93</f>
    </nc>
  </rcc>
  <rcc rId="2307" sId="3">
    <oc r="BE94">
      <f>L94+I94+O94</f>
    </oc>
    <nc r="BE94">
      <f>L94+I94+O94+U94+X94+AA94+AG94+AJ94+AM94+AS94+AV94+AY94</f>
    </nc>
  </rcc>
  <rcc rId="2308" sId="3">
    <oc r="BE95">
      <f>L95+I95+O95</f>
    </oc>
    <nc r="BE95">
      <f>L95+I95+O95+U95+X95+AA95+AG95+AJ95+AM95+AS95+AV95+AY95</f>
    </nc>
  </rcc>
  <rcc rId="2309" sId="3">
    <oc r="BE96">
      <f>L96+I96+O96</f>
    </oc>
    <nc r="BE96">
      <f>L96+I96+O96+U96+X96+AA96+AG96+AJ96+AM96+AS96+AV96+AY96</f>
    </nc>
  </rcc>
  <rcc rId="2310" sId="3">
    <oc r="BE97">
      <f>L97+I97+O97</f>
    </oc>
    <nc r="BE97">
      <f>L97+I97+O97+U97+X97+AA97+AG97+AJ97+AM97+AS97+AV97+AY97</f>
    </nc>
  </rcc>
  <rcc rId="2311" sId="3">
    <oc r="BE98">
      <f>L98+I98</f>
    </oc>
    <nc r="BE98">
      <f>L98+I98+O98+U98+X98+AA98+AG98+AJ98+AM98+AS98+AV98+AY98</f>
    </nc>
  </rcc>
  <rfmt sheetId="3" s="1" sqref="BE85" start="0" length="0">
    <dxf>
      <font>
        <sz val="9"/>
        <color theme="1"/>
        <name val="Calibri"/>
        <scheme val="minor"/>
      </font>
      <numFmt numFmtId="0" formatCode="General"/>
      <fill>
        <patternFill>
          <bgColor theme="5" tint="0.79998168889431442"/>
        </patternFill>
      </fill>
    </dxf>
  </rfmt>
  <rcc rId="2312" sId="3" odxf="1" dxf="1">
    <oc r="BE85">
      <f>L85+I85</f>
    </oc>
    <nc r="BE85">
      <f>BE4-BE84</f>
    </nc>
    <ndxf>
      <numFmt numFmtId="165" formatCode="_(* #,##0_);_(* \(#,##0\);_(* &quot;-&quot;??_);_(@_)"/>
    </ndxf>
  </rcc>
  <rcc rId="2313" sId="3" odxf="1" s="1" dxf="1">
    <oc r="BE90">
      <f>L90+I90+O90</f>
    </oc>
    <nc r="BE90">
      <f>BE85-SUM(BE87:BE89)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9"/>
        <color theme="1"/>
        <name val="Calibri"/>
        <scheme val="minor"/>
      </font>
      <fill>
        <patternFill>
          <bgColor theme="5" tint="0.79998168889431442"/>
        </patternFill>
      </fill>
    </ndxf>
  </rcc>
  <rcc rId="2314" sId="3" odxf="1" s="1" dxf="1">
    <oc r="BE100">
      <f>BE90-SUM(BE92:BE98)</f>
    </oc>
    <nc r="BE100">
      <f>BE90-SUM(BE92:BE98)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5" sId="5" numFmtId="34">
    <nc r="X39">
      <v>360842</v>
    </nc>
  </rcc>
  <rcc rId="3726" sId="5" numFmtId="34">
    <nc r="AA39">
      <v>261765</v>
    </nc>
  </rcc>
  <rcc rId="3727" sId="5" numFmtId="34">
    <nc r="AG39">
      <v>343045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8" sId="4" numFmtId="34">
    <oc r="X45">
      <v>3.28</v>
    </oc>
    <nc r="X45">
      <v>360842</v>
    </nc>
  </rcc>
  <rcc rId="3729" sId="4" numFmtId="34">
    <nc r="AA45">
      <v>261765</v>
    </nc>
  </rcc>
  <rcc rId="3730" sId="4" numFmtId="34">
    <nc r="AG45">
      <v>343045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H92:AH96">
    <dxf>
      <numFmt numFmtId="35" formatCode="_(* #,##0.00_);_(* \(#,##0.00\);_(* &quot;-&quot;??_);_(@_)"/>
    </dxf>
  </rfmt>
  <rfmt sheetId="3" sqref="AH92:AH96">
    <dxf>
      <numFmt numFmtId="167" formatCode="_(* #,##0.0_);_(* \(#,##0.0\);_(* &quot;-&quot;??_);_(@_)"/>
    </dxf>
  </rfmt>
  <rfmt sheetId="3" sqref="AH92:AH96">
    <dxf>
      <numFmt numFmtId="165" formatCode="_(* #,##0_);_(* \(#,##0\);_(* &quot;-&quot;??_);_(@_)"/>
    </dxf>
  </rfmt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1" sId="3">
    <nc r="AH178">
      <v>8771062</v>
    </nc>
  </rcc>
  <rfmt sheetId="3" sqref="AH178">
    <dxf>
      <numFmt numFmtId="35" formatCode="_(* #,##0.00_);_(* \(#,##0.00\);_(* &quot;-&quot;??_);_(@_)"/>
    </dxf>
  </rfmt>
  <rfmt sheetId="3" sqref="AH178">
    <dxf>
      <numFmt numFmtId="167" formatCode="_(* #,##0.0_);_(* \(#,##0.0\);_(* &quot;-&quot;??_);_(@_)"/>
    </dxf>
  </rfmt>
  <rfmt sheetId="3" sqref="AH178">
    <dxf>
      <numFmt numFmtId="165" formatCode="_(* #,##0_);_(* \(#,##0\);_(* &quot;-&quot;??_);_(@_)"/>
    </dxf>
  </rfmt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DAEB26-20D3-4AB4-B94D-0ED6F1AA8B5C}" action="delete"/>
  <rdn rId="0" localSheetId="3" customView="1" name="Z_40DAEB26_20D3_4AB4_B94D_0ED6F1AA8B5C_.wvu.Rows" hidden="1" oldHidden="1">
    <formula>'TSF Prasadam Overall'!$15:$27,'TSF Prasadam Overall'!$157:$159</formula>
    <oldFormula>'TSF Prasadam Overall'!$15:$27,'TSF Prasadam Overall'!$157:$159</oldFormula>
  </rdn>
  <rdn rId="0" localSheetId="3" customView="1" name="Z_40DAEB26_20D3_4AB4_B94D_0ED6F1AA8B5C_.wvu.Cols" hidden="1" oldHidden="1">
    <formula>'TSF Prasadam Overall'!$D:$G,'TSF Prasadam Overall'!$L:$Q,'TSF Prasadam Overall'!$S:$T,'TSF Prasadam Overall'!$AG:$BD</formula>
    <oldFormula>'TSF Prasadam Overall'!$D:$G,'TSF Prasadam Overall'!$L:$Q,'TSF Prasadam Overall'!$S:$T,'TSF Prasadam Overall'!$AG:$BD</oldFormula>
  </rdn>
  <rdn rId="0" localSheetId="3" customView="1" name="Z_40DAEB26_20D3_4AB4_B94D_0ED6F1AA8B5C_.wvu.FilterData" hidden="1" oldHidden="1">
    <formula>'TSF Prasadam Overall'!$A$1:$AG$7</formula>
    <oldFormula>'TSF Prasadam Overall'!$A$1:$AG$7</oldFormula>
  </rdn>
  <rdn rId="0" localSheetId="4" customView="1" name="Z_40DAEB26_20D3_4AB4_B94D_0ED6F1AA8B5C_.wvu.Cols" hidden="1" oldHidden="1">
    <formula>'HT Express BSC '!$D:$H,'HT Express BSC '!$J:$T,'HT Express BSC '!$AG:$BD</formula>
    <oldFormula>'HT Express BSC '!$D:$H,'HT Express BSC '!$J:$T,'HT Express BSC '!$AG:$BD</oldFormula>
  </rdn>
  <rdn rId="0" localSheetId="4" customView="1" name="Z_40DAEB26_20D3_4AB4_B94D_0ED6F1AA8B5C_.wvu.FilterData" hidden="1" oldHidden="1">
    <formula>'HT Express BSC '!$A$1:$Q$3</formula>
    <oldFormula>'HT Express BSC '!$A$1:$Q$3</oldFormula>
  </rdn>
  <rdn rId="0" localSheetId="5" customView="1" name="Z_40DAEB26_20D3_4AB4_B94D_0ED6F1AA8B5C_.wvu.Rows" hidden="1" oldHidden="1">
    <formula>'HT Stores BSC'!$83:$84</formula>
    <oldFormula>'HT Stores BSC'!$83:$84</oldFormula>
  </rdn>
  <rdn rId="0" localSheetId="5" customView="1" name="Z_40DAEB26_20D3_4AB4_B94D_0ED6F1AA8B5C_.wvu.Cols" hidden="1" oldHidden="1">
    <formula>'HT Stores BSC'!$D:$G,'HT Stores BSC'!$J:$T,'HT Stores BSC'!$AG:$BD</formula>
    <oldFormula>'HT Stores BSC'!$D:$G,'HT Stores BSC'!$J:$T,'HT Stores BSC'!$AG:$BD</oldFormula>
  </rdn>
  <rdn rId="0" localSheetId="5" customView="1" name="Z_40DAEB26_20D3_4AB4_B94D_0ED6F1AA8B5C_.wvu.FilterData" hidden="1" oldHidden="1">
    <formula>'HT Stores BSC'!$A$1:$Q$3</formula>
    <oldFormula>'HT Stores BSC'!$A$1:$Q$3</oldFormula>
  </rdn>
  <rdn rId="0" localSheetId="6" customView="1" name="Z_40DAEB26_20D3_4AB4_B94D_0ED6F1AA8B5C_.wvu.Rows" hidden="1" oldHidden="1">
    <formula>'HT Fine Dining'!$53:$54</formula>
    <oldFormula>'HT Fine Dining'!$53:$54</oldFormula>
  </rdn>
  <rdn rId="0" localSheetId="6" customView="1" name="Z_40DAEB26_20D3_4AB4_B94D_0ED6F1AA8B5C_.wvu.Cols" hidden="1" oldHidden="1">
    <formula>'HT Fine Dining'!$D:$G,'HT Fine Dining'!$J:$T,'HT Fine Dining'!$AG:$BD</formula>
    <oldFormula>'HT Fine Dining'!$D:$G,'HT Fine Dining'!$J:$T,'HT Fine Dining'!$AG:$BD</oldFormula>
  </rdn>
  <rdn rId="0" localSheetId="6" customView="1" name="Z_40DAEB26_20D3_4AB4_B94D_0ED6F1AA8B5C_.wvu.FilterData" hidden="1" oldHidden="1">
    <formula>'HT Fine Dining'!$A$1:$Q$3</formula>
    <oldFormula>'HT Fine Dining'!$A$1:$Q$3</oldFormula>
  </rdn>
  <rcv guid="{40DAEB26-20D3-4AB4-B94D-0ED6F1AA8B5C}" action="add"/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DAEB26-20D3-4AB4-B94D-0ED6F1AA8B5C}" action="delete"/>
  <rdn rId="0" localSheetId="3" customView="1" name="Z_40DAEB26_20D3_4AB4_B94D_0ED6F1AA8B5C_.wvu.Rows" hidden="1" oldHidden="1">
    <formula>'TSF Prasadam Overall'!$15:$27,'TSF Prasadam Overall'!$157:$159</formula>
    <oldFormula>'TSF Prasadam Overall'!$15:$27,'TSF Prasadam Overall'!$157:$159</oldFormula>
  </rdn>
  <rdn rId="0" localSheetId="3" customView="1" name="Z_40DAEB26_20D3_4AB4_B94D_0ED6F1AA8B5C_.wvu.Cols" hidden="1" oldHidden="1">
    <formula>'TSF Prasadam Overall'!$D:$G,'TSF Prasadam Overall'!$L:$Q,'TSF Prasadam Overall'!$S:$T</formula>
    <oldFormula>'TSF Prasadam Overall'!$D:$G,'TSF Prasadam Overall'!$L:$Q,'TSF Prasadam Overall'!$S:$T,'TSF Prasadam Overall'!$AG:$BD</oldFormula>
  </rdn>
  <rdn rId="0" localSheetId="3" customView="1" name="Z_40DAEB26_20D3_4AB4_B94D_0ED6F1AA8B5C_.wvu.FilterData" hidden="1" oldHidden="1">
    <formula>'TSF Prasadam Overall'!$A$1:$AG$7</formula>
    <oldFormula>'TSF Prasadam Overall'!$A$1:$AG$7</oldFormula>
  </rdn>
  <rdn rId="0" localSheetId="4" customView="1" name="Z_40DAEB26_20D3_4AB4_B94D_0ED6F1AA8B5C_.wvu.Cols" hidden="1" oldHidden="1">
    <formula>'HT Express BSC '!$D:$H,'HT Express BSC '!$J:$T,'HT Express BSC '!$AG:$BD</formula>
    <oldFormula>'HT Express BSC '!$D:$H,'HT Express BSC '!$J:$T,'HT Express BSC '!$AG:$BD</oldFormula>
  </rdn>
  <rdn rId="0" localSheetId="4" customView="1" name="Z_40DAEB26_20D3_4AB4_B94D_0ED6F1AA8B5C_.wvu.FilterData" hidden="1" oldHidden="1">
    <formula>'HT Express BSC '!$A$1:$Q$3</formula>
    <oldFormula>'HT Express BSC '!$A$1:$Q$3</oldFormula>
  </rdn>
  <rdn rId="0" localSheetId="5" customView="1" name="Z_40DAEB26_20D3_4AB4_B94D_0ED6F1AA8B5C_.wvu.Rows" hidden="1" oldHidden="1">
    <formula>'HT Stores BSC'!$83:$84</formula>
    <oldFormula>'HT Stores BSC'!$83:$84</oldFormula>
  </rdn>
  <rdn rId="0" localSheetId="5" customView="1" name="Z_40DAEB26_20D3_4AB4_B94D_0ED6F1AA8B5C_.wvu.Cols" hidden="1" oldHidden="1">
    <formula>'HT Stores BSC'!$D:$G,'HT Stores BSC'!$J:$T,'HT Stores BSC'!$AG:$BD</formula>
    <oldFormula>'HT Stores BSC'!$D:$G,'HT Stores BSC'!$J:$T,'HT Stores BSC'!$AG:$BD</oldFormula>
  </rdn>
  <rdn rId="0" localSheetId="5" customView="1" name="Z_40DAEB26_20D3_4AB4_B94D_0ED6F1AA8B5C_.wvu.FilterData" hidden="1" oldHidden="1">
    <formula>'HT Stores BSC'!$A$1:$Q$3</formula>
    <oldFormula>'HT Stores BSC'!$A$1:$Q$3</oldFormula>
  </rdn>
  <rdn rId="0" localSheetId="6" customView="1" name="Z_40DAEB26_20D3_4AB4_B94D_0ED6F1AA8B5C_.wvu.Rows" hidden="1" oldHidden="1">
    <formula>'HT Fine Dining'!$53:$54</formula>
    <oldFormula>'HT Fine Dining'!$53:$54</oldFormula>
  </rdn>
  <rdn rId="0" localSheetId="6" customView="1" name="Z_40DAEB26_20D3_4AB4_B94D_0ED6F1AA8B5C_.wvu.Cols" hidden="1" oldHidden="1">
    <formula>'HT Fine Dining'!$D:$G,'HT Fine Dining'!$J:$T,'HT Fine Dining'!$AG:$BD</formula>
    <oldFormula>'HT Fine Dining'!$D:$G,'HT Fine Dining'!$J:$T,'HT Fine Dining'!$AG:$BD</oldFormula>
  </rdn>
  <rdn rId="0" localSheetId="6" customView="1" name="Z_40DAEB26_20D3_4AB4_B94D_0ED6F1AA8B5C_.wvu.FilterData" hidden="1" oldHidden="1">
    <formula>'HT Fine Dining'!$A$1:$Q$3</formula>
    <oldFormula>'HT Fine Dining'!$A$1:$Q$3</oldFormula>
  </rdn>
  <rcv guid="{40DAEB26-20D3-4AB4-B94D-0ED6F1AA8B5C}" action="add"/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DAEB26-20D3-4AB4-B94D-0ED6F1AA8B5C}" action="delete"/>
  <rdn rId="0" localSheetId="3" customView="1" name="Z_40DAEB26_20D3_4AB4_B94D_0ED6F1AA8B5C_.wvu.Rows" hidden="1" oldHidden="1">
    <formula>'TSF Prasadam Overall'!$15:$27,'TSF Prasadam Overall'!$157:$159</formula>
    <oldFormula>'TSF Prasadam Overall'!$15:$27,'TSF Prasadam Overall'!$157:$159</oldFormula>
  </rdn>
  <rdn rId="0" localSheetId="3" customView="1" name="Z_40DAEB26_20D3_4AB4_B94D_0ED6F1AA8B5C_.wvu.Cols" hidden="1" oldHidden="1">
    <formula>'TSF Prasadam Overall'!$D:$G,'TSF Prasadam Overall'!$L:$Q,'TSF Prasadam Overall'!$S:$T,'TSF Prasadam Overall'!$AJ:$BD</formula>
    <oldFormula>'TSF Prasadam Overall'!$D:$G,'TSF Prasadam Overall'!$L:$Q,'TSF Prasadam Overall'!$S:$T</oldFormula>
  </rdn>
  <rdn rId="0" localSheetId="3" customView="1" name="Z_40DAEB26_20D3_4AB4_B94D_0ED6F1AA8B5C_.wvu.FilterData" hidden="1" oldHidden="1">
    <formula>'TSF Prasadam Overall'!$A$1:$AG$7</formula>
    <oldFormula>'TSF Prasadam Overall'!$A$1:$AG$7</oldFormula>
  </rdn>
  <rdn rId="0" localSheetId="4" customView="1" name="Z_40DAEB26_20D3_4AB4_B94D_0ED6F1AA8B5C_.wvu.Cols" hidden="1" oldHidden="1">
    <formula>'HT Express BSC '!$D:$H,'HT Express BSC '!$J:$T</formula>
    <oldFormula>'HT Express BSC '!$D:$H,'HT Express BSC '!$J:$T,'HT Express BSC '!$AG:$BD</oldFormula>
  </rdn>
  <rdn rId="0" localSheetId="4" customView="1" name="Z_40DAEB26_20D3_4AB4_B94D_0ED6F1AA8B5C_.wvu.FilterData" hidden="1" oldHidden="1">
    <formula>'HT Express BSC '!$A$1:$Q$3</formula>
    <oldFormula>'HT Express BSC '!$A$1:$Q$3</oldFormula>
  </rdn>
  <rdn rId="0" localSheetId="5" customView="1" name="Z_40DAEB26_20D3_4AB4_B94D_0ED6F1AA8B5C_.wvu.Rows" hidden="1" oldHidden="1">
    <formula>'HT Stores BSC'!$83:$84</formula>
    <oldFormula>'HT Stores BSC'!$83:$84</oldFormula>
  </rdn>
  <rdn rId="0" localSheetId="5" customView="1" name="Z_40DAEB26_20D3_4AB4_B94D_0ED6F1AA8B5C_.wvu.Cols" hidden="1" oldHidden="1">
    <formula>'HT Stores BSC'!$D:$G,'HT Stores BSC'!$J:$S,'HT Stores BSC'!$AJ:$BD</formula>
    <oldFormula>'HT Stores BSC'!$D:$G,'HT Stores BSC'!$J:$T,'HT Stores BSC'!$AG:$BD</oldFormula>
  </rdn>
  <rdn rId="0" localSheetId="5" customView="1" name="Z_40DAEB26_20D3_4AB4_B94D_0ED6F1AA8B5C_.wvu.FilterData" hidden="1" oldHidden="1">
    <formula>'HT Stores BSC'!$A$1:$Q$3</formula>
    <oldFormula>'HT Stores BSC'!$A$1:$Q$3</oldFormula>
  </rdn>
  <rdn rId="0" localSheetId="6" customView="1" name="Z_40DAEB26_20D3_4AB4_B94D_0ED6F1AA8B5C_.wvu.Rows" hidden="1" oldHidden="1">
    <formula>'HT Fine Dining'!$53:$54</formula>
    <oldFormula>'HT Fine Dining'!$53:$54</oldFormula>
  </rdn>
  <rdn rId="0" localSheetId="6" customView="1" name="Z_40DAEB26_20D3_4AB4_B94D_0ED6F1AA8B5C_.wvu.Cols" hidden="1" oldHidden="1">
    <formula>'HT Fine Dining'!$D:$G,'HT Fine Dining'!$J:$T</formula>
    <oldFormula>'HT Fine Dining'!$D:$G,'HT Fine Dining'!$J:$T,'HT Fine Dining'!$AG:$BD</oldFormula>
  </rdn>
  <rdn rId="0" localSheetId="6" customView="1" name="Z_40DAEB26_20D3_4AB4_B94D_0ED6F1AA8B5C_.wvu.FilterData" hidden="1" oldHidden="1">
    <formula>'HT Fine Dining'!$A$1:$Q$3</formula>
    <oldFormula>'HT Fine Dining'!$A$1:$Q$3</oldFormula>
  </rdn>
  <rcv guid="{40DAEB26-20D3-4AB4-B94D-0ED6F1AA8B5C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5" sId="5">
    <oc r="AG61">
      <f>AG51-SUM(AG53:AG58)</f>
    </oc>
    <nc r="AG61">
      <f>AG51-SUM(AG53:AG58)</f>
    </nc>
  </rcc>
  <rcc rId="3766" sId="5">
    <oc r="AG46">
      <f>AG5-AG45</f>
    </oc>
    <nc r="AG46">
      <f>AG5-AG45</f>
    </nc>
  </rcc>
  <rcc rId="3767" sId="5">
    <oc r="AG49">
      <v>18457</v>
    </oc>
    <nc r="AG49">
      <f>'C:\Users\sanjeevis\Desktop\Re-work\[7.Oct''14 - Ver.2.xlsx]Catering'!$F$17+'C:\Users\sanjeevis\Desktop\Re-work\[7.Oct''14 - Ver.2.xlsx]NonCatering'!$C$29</f>
    </nc>
  </rcc>
  <rcc rId="3768" sId="5" numFmtId="34">
    <oc r="AG17">
      <f>3830267+4732</f>
    </oc>
    <nc r="AG17">
      <v>5162552</v>
    </nc>
  </rcc>
  <rcc rId="3769" sId="5" numFmtId="34">
    <oc r="AG45">
      <v>478056.56</v>
    </oc>
    <nc r="AG45">
      <v>531347.96</v>
    </nc>
  </rcc>
  <rcc rId="3770" sId="5" numFmtId="34">
    <oc r="AG48">
      <v>6059056</v>
    </oc>
    <nc r="AG48">
      <v>6110805</v>
    </nc>
  </rcc>
  <rcc rId="3771" sId="5">
    <oc r="AG5">
      <f>AG9+AG13+AG17</f>
    </oc>
    <nc r="AG5">
      <f>AG9+AG13+AG17+4732</f>
    </nc>
  </rcc>
  <rfmt sheetId="3" sqref="AG92:AG96">
    <dxf>
      <numFmt numFmtId="35" formatCode="_(* #,##0.00_);_(* \(#,##0.00\);_(* &quot;-&quot;??_);_(@_)"/>
    </dxf>
  </rfmt>
  <rfmt sheetId="3" sqref="AG92:AG96">
    <dxf>
      <numFmt numFmtId="167" formatCode="_(* #,##0.0_);_(* \(#,##0.0\);_(* &quot;-&quot;??_);_(@_)"/>
    </dxf>
  </rfmt>
  <rfmt sheetId="3" sqref="AG92:AG96">
    <dxf>
      <numFmt numFmtId="165" formatCode="_(* #,##0_);_(* \(#,##0\);_(* &quot;-&quot;??_);_(@_)"/>
    </dxf>
  </rfmt>
  <rcc rId="3772" sId="3">
    <oc r="AG84">
      <v>609876.64</v>
    </oc>
    <nc r="AG84">
      <f>'HT Express BSC '!AG53+'HT Stores BSC'!AG45+'HT Fine Dining'!AG23</f>
    </nc>
  </rcc>
  <rfmt sheetId="3" sqref="AG84">
    <dxf>
      <numFmt numFmtId="35" formatCode="_(* #,##0.00_);_(* \(#,##0.00\);_(* &quot;-&quot;??_);_(@_)"/>
    </dxf>
  </rfmt>
  <rfmt sheetId="3" sqref="AG84">
    <dxf>
      <numFmt numFmtId="167" formatCode="_(* #,##0.0_);_(* \(#,##0.0\);_(* &quot;-&quot;??_);_(@_)"/>
    </dxf>
  </rfmt>
  <rfmt sheetId="3" sqref="AG84">
    <dxf>
      <numFmt numFmtId="165" formatCode="_(* #,##0_);_(* \(#,##0\);_(* &quot;-&quot;??_);_(@_)"/>
    </dxf>
  </rfmt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3" sId="3" numFmtId="34">
    <oc r="AG93">
      <v>601291</v>
    </oc>
    <nc r="AG93">
      <f>601291-178</f>
    </nc>
  </rcc>
  <rcc rId="3774" sId="5" numFmtId="34">
    <oc r="AG54">
      <v>268105</v>
    </oc>
    <nc r="AG54">
      <f>268105-178964+35000</f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5" sId="5">
    <oc r="AG49">
      <f>'C:\Users\sanjeevis\Desktop\Re-work\[7.Oct''14 - Ver.2.xlsx]Catering'!$F$17+'C:\Users\sanjeevis\Desktop\Re-work\[7.Oct''14 - Ver.2.xlsx]NonCatering'!$C$29</f>
    </oc>
    <nc r="AG49">
      <f>'C:\Users\sanjeevis\Desktop\Re-work\[7.Oct''14 - Ver.2.xlsx]Catering'!$F$17+'C:\Users\sanjeevis\Desktop\Re-work\[7.Oct''14 - Ver.2.xlsx]NonCatering'!$C$29</f>
    </nc>
  </rcc>
  <rcc rId="3776" sId="5">
    <oc r="AG46">
      <f>AG5-AG45</f>
    </oc>
    <nc r="AG46">
      <f>AG5-AG45</f>
    </nc>
  </rcc>
  <rcc rId="3777" sId="3" numFmtId="34">
    <oc r="AG93">
      <f>601291-178</f>
    </oc>
    <nc r="AG93">
      <v>601291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5" sId="4">
    <nc r="BE3">
      <f>BE5/'TSF Prasadam Overall'!BE4</f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8" sId="3" numFmtId="34">
    <oc r="AG93">
      <v>601291</v>
    </oc>
    <nc r="AG93">
      <f>'HT Express BSC '!AG62+'HT Stores BSC'!AG54+'HT Fine Dining'!AG32</f>
    </nc>
  </rcc>
  <rcc rId="3779" sId="5" numFmtId="34">
    <oc r="AG53">
      <v>1745932</v>
    </oc>
    <nc r="AG53">
      <v>1744435</v>
    </nc>
  </rcc>
  <rcc rId="3780" sId="5" numFmtId="34">
    <oc r="AG54">
      <f>268105-178964+35000</f>
    </oc>
    <nc r="AG54">
      <v>124141</v>
    </nc>
  </rcc>
  <rcc rId="3781" sId="5" numFmtId="34">
    <oc r="AG55">
      <v>214815</v>
    </oc>
    <nc r="AG55">
      <v>216312</v>
    </nc>
  </rcc>
  <rcc rId="3782" sId="5" numFmtId="34">
    <nc r="AG58">
      <v>600</v>
    </nc>
  </rcc>
  <rcc rId="3783" sId="5" numFmtId="34">
    <oc r="AG56">
      <v>274898</v>
    </oc>
    <nc r="AG56">
      <v>274298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4" sId="3" numFmtId="34">
    <oc r="AG92">
      <v>4473136</v>
    </oc>
    <nc r="AG92">
      <v>4445074</v>
    </nc>
  </rcc>
  <rcc rId="3785" sId="3" numFmtId="34">
    <oc r="AG93">
      <f>'HT Express BSC '!AG62+'HT Stores BSC'!AG54+'HT Fine Dining'!AG32</f>
    </oc>
    <nc r="AG93">
      <v>601291</v>
    </nc>
  </rcc>
  <rcc rId="3786" sId="3" numFmtId="34">
    <oc r="AG94">
      <v>387023</v>
    </oc>
    <nc r="AG94">
      <v>388520</v>
    </nc>
  </rcc>
  <rcc rId="3787" sId="3" numFmtId="34">
    <oc r="AG95">
      <v>1253756</v>
    </oc>
    <nc r="AG95">
      <v>1251706</v>
    </nc>
  </rcc>
  <rcc rId="3788" sId="3" numFmtId="34">
    <oc r="AG96">
      <v>67795</v>
    </oc>
    <nc r="AG96">
      <v>68395</v>
    </nc>
  </rcc>
  <rcc rId="3789" sId="3">
    <oc r="AG97">
      <f>'HT Express BSC '!AG66+'HT Stores BSC'!AG58+'HT Fine Dining'!AG36</f>
    </oc>
    <nc r="AG97">
      <v>0</v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0" sId="5" numFmtId="34">
    <oc r="AA17">
      <v>4650122</v>
    </oc>
    <nc r="AA17">
      <v>3301797</v>
    </nc>
  </rcc>
  <rcc rId="3791" sId="5" numFmtId="34">
    <oc r="AA45">
      <v>459545.48</v>
    </oc>
    <nc r="AA45">
      <f>'C:\Users\sanjeevis\Desktop\Re-work\[6.Sep''14 - Ver.2.xlsx]Catering'!$F$5+'C:\Users\sanjeevis\Desktop\Re-work\[6.Sep''14 - Ver.2.xlsx]NonCatering'!$F$5+'C:\Users\sanjeevis\Desktop\Re-work\[6.Sep''14 - Ver.2.xlsx]NonCatering'!$F$12+'C:\Users\sanjeevis\Desktop\Re-work\[6.Sep''14 - Ver.2.xlsx]NonCatering'!$F$15+'C:\Users\sanjeevis\Desktop\Re-work\[6.Sep''14 - Ver.2.xlsx]Mlsrm'!$F$5+'C:\Users\sanjeevis\Desktop\Re-work\[6.Sep''14 - Ver.2.xlsx]TS'!$F$6</f>
    </nc>
  </rcc>
  <rcc rId="3792" sId="5" numFmtId="34">
    <oc r="AA48">
      <v>4463527</v>
    </oc>
    <nc r="AA48">
      <v>3274377</v>
    </nc>
  </rcc>
  <rcc rId="3793" sId="3">
    <oc r="AA84">
      <v>609564.80000000005</v>
    </oc>
    <nc r="AA84">
      <f>'HT Express BSC '!AA53+'HT Stores BSC'!AA45+'HT Fine Dining'!AB23</f>
    </nc>
  </rcc>
  <rcc rId="3794" sId="5">
    <oc r="AG49">
      <f>'C:\Users\sanjeevis\Desktop\Re-work\[7.Oct''14 - Ver.2.xlsx]Catering'!$F$17+'C:\Users\sanjeevis\Desktop\Re-work\[7.Oct''14 - Ver.2.xlsx]NonCatering'!$C$29</f>
    </oc>
    <nc r="AG49">
      <f>'C:\Users\sanjeevis\Desktop\Re-work\[7.Oct''14 - Ver.2.xlsx]Catering'!$F$17+'C:\Users\sanjeevis\Desktop\Re-work\[7.Oct''14 - Ver.2.xlsx]NonCatering'!$C$29</f>
    </nc>
  </rcc>
  <rcc rId="3795" sId="5">
    <oc r="AG46">
      <f>AG5-AG45</f>
    </oc>
    <nc r="AG46">
      <f>AG5-AG45</f>
    </nc>
  </rcc>
  <rcc rId="3796" sId="4" numFmtId="34">
    <oc r="AG61">
      <v>387303</v>
    </oc>
    <nc r="AG61">
      <v>523309</v>
    </nc>
  </rcc>
  <rcc rId="3797" sId="4" numFmtId="34">
    <oc r="AG62">
      <v>99953</v>
    </oc>
    <nc r="AG62">
      <v>99653</v>
    </nc>
  </rcc>
  <rcc rId="3798" sId="4" numFmtId="34">
    <oc r="AG63">
      <v>58569</v>
    </oc>
    <nc r="AG63">
      <v>58269</v>
    </nc>
  </rcc>
  <rcc rId="3799" sId="4" numFmtId="34">
    <oc r="AG64">
      <v>138219</v>
    </oc>
    <nc r="AG64">
      <v>162460</v>
    </nc>
  </rcc>
  <rcc rId="3800" sId="4" numFmtId="34">
    <nc r="AG65">
      <v>4500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1" sId="3" numFmtId="34">
    <oc r="AG95">
      <v>1251706</v>
    </oc>
    <nc r="AG95">
      <v>1253156</v>
    </nc>
  </rcc>
  <rcc rId="3802" sId="3" numFmtId="34">
    <oc r="AG92">
      <v>4445074</v>
    </oc>
    <nc r="AG92">
      <v>4471639</v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3" sId="3" numFmtId="34">
    <oc r="I5">
      <v>13599786.083333332</v>
    </oc>
    <nc r="I5">
      <v>16</v>
    </nc>
  </rcc>
  <rcc rId="3804" sId="3" numFmtId="34">
    <oc r="I4">
      <f>'HT Express BSC '!I5+'HT Stores BSC'!I5+'HT Fine Dining'!I5</f>
    </oc>
    <nc r="I4">
      <v>20</v>
    </nc>
  </rcc>
  <rcc rId="3805" sId="3" numFmtId="34">
    <oc r="J4">
      <f>'HT Express BSC '!J5+'HT Stores BSC'!J5+'HT Fine Dining'!J5</f>
    </oc>
    <nc r="J4">
      <v>17</v>
    </nc>
  </rcc>
  <rcc rId="3806" sId="3" numFmtId="34">
    <nc r="J5">
      <v>15</v>
    </nc>
  </rcc>
  <rcc rId="3807" sId="3" numFmtId="13">
    <oc r="I8">
      <f>'HT Stores BSC'!I5/'TSF Prasadam Overall'!I4</f>
    </oc>
    <nc r="I8">
      <v>0.05</v>
    </nc>
  </rcc>
  <rcc rId="3808" sId="3" numFmtId="13">
    <oc r="J8">
      <f>'HT Stores BSC'!J5/'TSF Prasadam Overall'!J4</f>
    </oc>
    <nc r="J8">
      <v>0.05</v>
    </nc>
  </rcc>
  <rcc rId="3809" sId="3" numFmtId="13">
    <oc r="I9">
      <f>'HT Express BSC '!I5/'TSF Prasadam Overall'!I4</f>
    </oc>
    <nc r="I9">
      <v>0.05</v>
    </nc>
  </rcc>
  <rcc rId="3810" sId="3" numFmtId="13">
    <oc r="J9">
      <f>'HT Express BSC '!J5/'TSF Prasadam Overall'!J4</f>
    </oc>
    <nc r="J9">
      <v>0.05</v>
    </nc>
  </rcc>
  <rcc rId="3811" sId="3" numFmtId="13">
    <oc r="I10">
      <f>'HT Fine Dining'!I5/'TSF Prasadam Overall'!I4</f>
    </oc>
    <nc r="I10">
      <v>0.05</v>
    </nc>
  </rcc>
  <rcc rId="3812" sId="3" numFmtId="13">
    <oc r="J10">
      <f>'HT Fine Dining'!J5/'TSF Prasadam Overall'!J4</f>
    </oc>
    <nc r="J10">
      <v>0.05</v>
    </nc>
  </rcc>
  <rcc rId="3813" sId="3" numFmtId="34">
    <oc r="I12">
      <f>I16+I20+I24</f>
    </oc>
    <nc r="I12">
      <v>15</v>
    </nc>
  </rcc>
  <rcc rId="3814" sId="3" numFmtId="34">
    <oc r="I13">
      <f>I17+I21+I25</f>
    </oc>
    <nc r="I13">
      <v>8</v>
    </nc>
  </rcc>
  <rcc rId="3815" sId="3" numFmtId="34">
    <oc r="J12">
      <f>J16+J20+J24</f>
    </oc>
    <nc r="J12">
      <v>15</v>
    </nc>
  </rcc>
  <rcc rId="3816" sId="3" numFmtId="34">
    <oc r="J13">
      <f>J17+J21+J25</f>
    </oc>
    <nc r="J13">
      <v>8</v>
    </nc>
  </rcc>
  <rcc rId="3817" sId="3" numFmtId="13">
    <oc r="I28">
      <f>I16/I12</f>
    </oc>
    <nc r="I28">
      <v>0.45</v>
    </nc>
  </rcc>
  <rcc rId="3818" sId="3" numFmtId="13">
    <oc r="I29">
      <f>I20/I12</f>
    </oc>
    <nc r="I29">
      <v>0.39</v>
    </nc>
  </rcc>
  <rcc rId="3819" sId="3" numFmtId="13">
    <oc r="I30">
      <f>I24/I12</f>
    </oc>
    <nc r="I30">
      <v>0.37</v>
    </nc>
  </rcc>
  <rcc rId="3820" sId="3" numFmtId="13">
    <oc r="J28">
      <f>J16/J12</f>
    </oc>
    <nc r="J28">
      <v>0.15</v>
    </nc>
  </rcc>
  <rcc rId="3821" sId="3" numFmtId="13">
    <oc r="J29">
      <f>J20/J12</f>
    </oc>
    <nc r="J29">
      <v>0.1</v>
    </nc>
  </rcc>
  <rcc rId="3822" sId="3" numFmtId="13">
    <oc r="J30">
      <f>J24/J12</f>
    </oc>
    <nc r="J30">
      <v>0.06</v>
    </nc>
  </rcc>
  <rcc rId="3823" sId="3" numFmtId="34">
    <oc r="I32">
      <f>'HT Express BSC '!I5</f>
    </oc>
    <nc r="I32">
      <v>29</v>
    </nc>
  </rcc>
  <rcc rId="3824" sId="3" numFmtId="34">
    <oc r="I33">
      <f>'HT Express BSC '!I6</f>
    </oc>
    <nc r="I33">
      <v>30</v>
    </nc>
  </rcc>
  <rcc rId="3825" sId="3" numFmtId="34">
    <oc r="J32">
      <f>'HT Express BSC '!J5</f>
    </oc>
    <nc r="J32">
      <v>21</v>
    </nc>
  </rcc>
  <rcc rId="3826" sId="3" numFmtId="34">
    <oc r="J33">
      <f>'HT Express BSC '!J6</f>
    </oc>
    <nc r="J33">
      <v>20</v>
    </nc>
  </rcc>
  <rcc rId="3827" sId="3" numFmtId="34">
    <oc r="I36">
      <f>'HT Express BSC '!I9</f>
    </oc>
    <nc r="I36">
      <v>12</v>
    </nc>
  </rcc>
  <rcc rId="3828" sId="3" numFmtId="34">
    <oc r="J36">
      <f>'HT Express BSC '!J9</f>
    </oc>
    <nc r="J36">
      <v>12</v>
    </nc>
  </rcc>
  <rcc rId="3829" sId="3" numFmtId="34">
    <oc r="I37">
      <f>'HT Express BSC '!I10</f>
    </oc>
    <nc r="I37">
      <v>12</v>
    </nc>
  </rcc>
  <rcc rId="3830" sId="3" numFmtId="34">
    <oc r="I40">
      <f>'HT Express BSC '!I13</f>
    </oc>
    <nc r="I40">
      <v>7</v>
    </nc>
  </rcc>
  <rcc rId="3831" sId="3" numFmtId="34">
    <oc r="I41">
      <f>'HT Express BSC '!I14</f>
    </oc>
    <nc r="I41">
      <v>7</v>
    </nc>
  </rcc>
  <rcc rId="3832" sId="3" numFmtId="34">
    <oc r="I44">
      <f>'HT Express BSC '!I17</f>
    </oc>
    <nc r="I44">
      <v>6</v>
    </nc>
  </rcc>
  <rcc rId="3833" sId="3">
    <oc r="J40" t="inlineStr">
      <is>
        <t>NA</t>
      </is>
    </oc>
    <nc r="J40">
      <v>5</v>
    </nc>
  </rcc>
  <rcc rId="3834" sId="3">
    <nc r="J41">
      <v>2</v>
    </nc>
  </rcc>
  <rcc rId="3835" sId="3" numFmtId="34">
    <oc r="J44">
      <f>'HT Express BSC '!J17</f>
    </oc>
    <nc r="J44">
      <v>8</v>
    </nc>
  </rcc>
  <rcc rId="3836" sId="3" numFmtId="34">
    <oc r="I45">
      <f>'HT Express BSC '!I18</f>
    </oc>
    <nc r="I45">
      <v>9</v>
    </nc>
  </rcc>
  <rcc rId="3837" sId="3" numFmtId="34">
    <oc r="I48">
      <v>240996</v>
    </oc>
    <nc r="I48">
      <v>2</v>
    </nc>
  </rcc>
  <rcc rId="3838" sId="3" numFmtId="34">
    <oc r="I49">
      <v>300000</v>
    </oc>
    <nc r="I49">
      <v>2.5</v>
    </nc>
  </rcc>
  <rcc rId="3839" sId="3" numFmtId="34">
    <oc r="I57">
      <f>'HT Fine Dining'!I5</f>
    </oc>
    <nc r="I57">
      <v>21</v>
    </nc>
  </rcc>
  <rcc rId="3840" sId="3" numFmtId="34">
    <oc r="I58">
      <f>'HT Fine Dining'!I6</f>
    </oc>
    <nc r="I58">
      <v>25</v>
    </nc>
  </rcc>
  <rcc rId="3841" sId="3" numFmtId="34">
    <oc r="J57">
      <f>'HT Fine Dining'!J5</f>
    </oc>
    <nc r="J57">
      <v>25</v>
    </nc>
  </rcc>
  <rcc rId="3842" sId="3" numFmtId="34">
    <oc r="J58">
      <f>'HT Fine Dining'!J6</f>
    </oc>
    <nc r="J58">
      <v>20</v>
    </nc>
  </rcc>
  <rcc rId="3843" sId="3" numFmtId="34">
    <oc r="I84">
      <f>'HT Express BSC '!I53+'HT Stores BSC'!I45+'HT Fine Dining'!I23</f>
    </oc>
    <nc r="I84">
      <v>0.1</v>
    </nc>
  </rcc>
  <rcc rId="3844" sId="3" numFmtId="34">
    <oc r="I87">
      <f>'HT Express BSC '!I56+'HT Stores BSC'!I48+'HT Fine Dining'!I26</f>
    </oc>
    <nc r="I87">
      <v>3.5</v>
    </nc>
  </rcc>
  <rcc rId="3845" sId="3" numFmtId="34">
    <oc r="I88">
      <f>'HT Express BSC '!I57+'HT Stores BSC'!I49+'HT Fine Dining'!I27</f>
    </oc>
    <nc r="I88">
      <v>1</v>
    </nc>
  </rcc>
  <rcc rId="3846" sId="3" numFmtId="34">
    <oc r="I89">
      <f>'HT Express BSC '!I58+'HT Stores BSC'!I50+'HT Fine Dining'!I28</f>
    </oc>
    <nc r="I89">
      <v>1</v>
    </nc>
  </rcc>
  <rcc rId="3847" sId="3" numFmtId="34">
    <oc r="I93">
      <f>'HT Express BSC '!I62+'HT Stores BSC'!I54+'HT Fine Dining'!I32+99124</f>
    </oc>
    <nc r="I93">
      <v>0.7</v>
    </nc>
  </rcc>
  <rcc rId="3848" sId="3" numFmtId="34">
    <oc r="I92">
      <f>'HT Express BSC '!I61+'HT Stores BSC'!I53+'HT Fine Dining'!I31+1889174-290373</f>
    </oc>
    <nc r="I92">
      <v>2</v>
    </nc>
  </rcc>
  <rcc rId="3849" sId="3" numFmtId="34">
    <oc r="I94">
      <f>'HT Express BSC '!I63+'HT Stores BSC'!I55+'HT Fine Dining'!I33+71309+67169-4140</f>
    </oc>
    <nc r="I94">
      <v>0.75</v>
    </nc>
  </rcc>
  <rcc rId="3850" sId="3" numFmtId="34">
    <oc r="I95">
      <f>'HT Express BSC '!I64+'HT Stores BSC'!I56+'HT Fine Dining'!I34+49882-67169+4140+290373</f>
    </oc>
    <nc r="I95">
      <v>0.6</v>
    </nc>
  </rcc>
  <rcc rId="3851" sId="3" numFmtId="34">
    <oc r="I96">
      <f>'HT Express BSC '!I65+'HT Stores BSC'!I58+'HT Fine Dining'!I35+123021</f>
    </oc>
    <nc r="I96">
      <v>0.2</v>
    </nc>
  </rcc>
  <rcc rId="3852" sId="3" numFmtId="34">
    <oc r="I97">
      <f>'H:\Users\krishnamurthybg\Desktop\BSC\BSC Q1\Copy\[TSF (Prasadam) BSC Draft 3 for R1 Review.xlsx]HT Stores BSC'!I58</f>
    </oc>
    <nc r="I97">
      <v>0.3</v>
    </nc>
  </rcc>
  <rcc rId="3853" sId="3" numFmtId="34">
    <oc r="I132">
      <v>3913889</v>
    </oc>
    <nc r="I132">
      <v>9</v>
    </nc>
  </rcc>
  <rcc rId="3854" sId="3" numFmtId="34">
    <oc r="J132">
      <v>2677086</v>
    </oc>
    <nc r="J132">
      <v>8.5</v>
    </nc>
  </rcc>
  <rcc rId="3855" sId="3" numFmtId="34">
    <oc r="J134">
      <v>2059435</v>
    </oc>
    <nc r="J134">
      <v>8</v>
    </nc>
  </rcc>
  <rcc rId="3856" sId="3" numFmtId="34">
    <oc r="I134">
      <v>2811633</v>
    </oc>
    <nc r="I134">
      <v>7</v>
    </nc>
  </rcc>
  <rcc rId="3857" sId="3" numFmtId="34">
    <oc r="I139">
      <v>826583</v>
    </oc>
    <nc r="I139">
      <v>8</v>
    </nc>
  </rcc>
  <rcc rId="3858" sId="3" numFmtId="34">
    <oc r="I140">
      <v>1793884</v>
    </oc>
    <nc r="I140">
      <v>1</v>
    </nc>
  </rcc>
  <rcc rId="3859" sId="3" numFmtId="34">
    <oc r="I141">
      <v>611684</v>
    </oc>
    <nc r="I141">
      <v>3</v>
    </nc>
  </rcc>
  <rcc rId="3860" sId="3" numFmtId="34">
    <oc r="L4">
      <f>'HT Express BSC '!L5+'HT Stores BSC'!L5+'HT Fine Dining'!L5</f>
    </oc>
    <nc r="L4">
      <v>20</v>
    </nc>
  </rcc>
  <rcc rId="3861" sId="3" numFmtId="34">
    <oc r="M4">
      <f>'HT Express BSC '!M5+'HT Stores BSC'!M5+'HT Fine Dining'!M5</f>
    </oc>
    <nc r="M4">
      <v>17</v>
    </nc>
  </rcc>
  <rcc rId="3862" sId="3" numFmtId="34">
    <oc r="L5">
      <v>19470707.333333332</v>
    </oc>
    <nc r="L5">
      <v>16</v>
    </nc>
  </rcc>
  <rcc rId="3863" sId="3" numFmtId="34">
    <nc r="M5">
      <v>15</v>
    </nc>
  </rcc>
  <rcc rId="3864" sId="3">
    <oc r="L6">
      <f>L4/L5</f>
    </oc>
    <nc r="L6">
      <f>L4/L5</f>
    </nc>
  </rcc>
  <rcc rId="3865" sId="3" numFmtId="13">
    <oc r="L8">
      <f>'HT Stores BSC'!L5/'TSF Prasadam Overall'!L4</f>
    </oc>
    <nc r="L8">
      <v>0.05</v>
    </nc>
  </rcc>
  <rcc rId="3866" sId="3" numFmtId="13">
    <oc r="M8">
      <f>'HT Stores BSC'!M5/'TSF Prasadam Overall'!M4</f>
    </oc>
    <nc r="M8">
      <v>0.05</v>
    </nc>
  </rcc>
  <rcc rId="3867" sId="3" numFmtId="13">
    <oc r="L9">
      <f>'HT Express BSC '!L5/'TSF Prasadam Overall'!L4</f>
    </oc>
    <nc r="L9">
      <v>0.05</v>
    </nc>
  </rcc>
  <rcc rId="3868" sId="3" numFmtId="13">
    <oc r="M9">
      <f>'HT Express BSC '!M5/'TSF Prasadam Overall'!M4</f>
    </oc>
    <nc r="M9">
      <v>0.05</v>
    </nc>
  </rcc>
  <rcc rId="3869" sId="3" numFmtId="13">
    <oc r="L10">
      <f>'HT Fine Dining'!L5/'TSF Prasadam Overall'!L4</f>
    </oc>
    <nc r="L10">
      <v>0.05</v>
    </nc>
  </rcc>
  <rcc rId="3870" sId="3" numFmtId="13">
    <oc r="M10">
      <f>'HT Fine Dining'!M5/'TSF Prasadam Overall'!M4</f>
    </oc>
    <nc r="M10">
      <v>0.05</v>
    </nc>
  </rcc>
  <rcc rId="3871" sId="3" numFmtId="34">
    <oc r="L12">
      <f>L16+L20+L24</f>
    </oc>
    <nc r="L12">
      <v>15</v>
    </nc>
  </rcc>
  <rcc rId="3872" sId="3" numFmtId="34">
    <oc r="M12">
      <f>M16+M20+M24</f>
    </oc>
    <nc r="M12">
      <v>15</v>
    </nc>
  </rcc>
  <rcc rId="3873" sId="3" numFmtId="34">
    <oc r="L13">
      <f>L17+L21+L25</f>
    </oc>
    <nc r="L13">
      <v>8</v>
    </nc>
  </rcc>
  <rcc rId="3874" sId="3" numFmtId="34">
    <oc r="M13">
      <f>M17+M21+M25</f>
    </oc>
    <nc r="M13">
      <v>8</v>
    </nc>
  </rcc>
  <rcc rId="3875" sId="3">
    <oc r="L14">
      <f>L12/L13</f>
    </oc>
    <nc r="L14">
      <f>L12/L13</f>
    </nc>
  </rcc>
  <rcc rId="3876" sId="3">
    <oc r="L16">
      <f>'HT Stores BSC'!L9</f>
    </oc>
    <nc r="L16">
      <f>'HT Stores BSC'!L9</f>
    </nc>
  </rcc>
  <rcc rId="3877" sId="3" numFmtId="34">
    <oc r="M16">
      <v>0</v>
    </oc>
    <nc r="M16"/>
  </rcc>
  <rcc rId="3878" sId="3">
    <oc r="L17">
      <f>'HT Stores BSC'!L10</f>
    </oc>
    <nc r="L17">
      <f>'HT Stores BSC'!L10</f>
    </nc>
  </rcc>
  <rcc rId="3879" sId="3">
    <oc r="L18">
      <f>L16/L17</f>
    </oc>
    <nc r="L18">
      <f>L16/L17</f>
    </nc>
  </rcc>
  <rcc rId="3880" sId="3">
    <oc r="L20">
      <f>'HT Stores BSC'!L13</f>
    </oc>
    <nc r="L20">
      <f>'HT Stores BSC'!L13</f>
    </nc>
  </rcc>
  <rcc rId="3881" sId="3">
    <oc r="M20">
      <f>'HT Stores BSC'!M13</f>
    </oc>
    <nc r="M20">
      <f>'HT Stores BSC'!M13</f>
    </nc>
  </rcc>
  <rcc rId="3882" sId="3">
    <oc r="L21">
      <f>'HT Stores BSC'!L14</f>
    </oc>
    <nc r="L21">
      <f>'HT Stores BSC'!L14</f>
    </nc>
  </rcc>
  <rcc rId="3883" sId="3">
    <oc r="L22">
      <f>'HT Stores BSC'!L15</f>
    </oc>
    <nc r="L22">
      <f>'HT Stores BSC'!L15</f>
    </nc>
  </rcc>
  <rcc rId="3884" sId="3">
    <oc r="L24">
      <f>'HT Stores BSC'!L17</f>
    </oc>
    <nc r="L24">
      <f>'HT Stores BSC'!L17</f>
    </nc>
  </rcc>
  <rcc rId="3885" sId="3" numFmtId="34">
    <oc r="M24">
      <v>1229005.9166666667</v>
    </oc>
    <nc r="M24">
      <v>1294428.1183333334</v>
    </nc>
  </rcc>
  <rcc rId="3886" sId="3">
    <oc r="L25">
      <f>'HT Stores BSC'!L18</f>
    </oc>
    <nc r="L25">
      <f>'HT Stores BSC'!L18</f>
    </nc>
  </rcc>
  <rcc rId="3887" sId="3">
    <oc r="L26">
      <f>L24/L25</f>
    </oc>
    <nc r="L26">
      <f>L24/L25</f>
    </nc>
  </rcc>
  <rcc rId="3888" sId="3" numFmtId="13">
    <oc r="L28">
      <f>L16/L12</f>
    </oc>
    <nc r="L28">
      <v>0.45</v>
    </nc>
  </rcc>
  <rcc rId="3889" sId="3" numFmtId="13">
    <oc r="M28">
      <f>M16/M12</f>
    </oc>
    <nc r="M28">
      <v>0.15</v>
    </nc>
  </rcc>
  <rcc rId="3890" sId="3" numFmtId="13">
    <oc r="L29">
      <f>L20/L12</f>
    </oc>
    <nc r="L29">
      <v>0.39</v>
    </nc>
  </rcc>
  <rcc rId="3891" sId="3" numFmtId="13">
    <oc r="M29">
      <f>M20/M12</f>
    </oc>
    <nc r="M29">
      <v>0.1</v>
    </nc>
  </rcc>
  <rcc rId="3892" sId="3" numFmtId="13">
    <oc r="L30">
      <f>L24/L12</f>
    </oc>
    <nc r="L30">
      <v>0.37</v>
    </nc>
  </rcc>
  <rcc rId="3893" sId="3" numFmtId="13">
    <oc r="M30">
      <f>M24/M12</f>
    </oc>
    <nc r="M30">
      <v>0.06</v>
    </nc>
  </rcc>
  <rcc rId="3894" sId="3" numFmtId="34">
    <oc r="L32">
      <f>'HT Express BSC '!L5</f>
    </oc>
    <nc r="L32">
      <v>29</v>
    </nc>
  </rcc>
  <rcc rId="3895" sId="3" numFmtId="34">
    <oc r="M32">
      <f>'HT Express BSC '!M5</f>
    </oc>
    <nc r="M32">
      <v>21</v>
    </nc>
  </rcc>
  <rcc rId="3896" sId="3" numFmtId="34">
    <oc r="L33">
      <f>'HT Express BSC '!L6</f>
    </oc>
    <nc r="L33">
      <v>30</v>
    </nc>
  </rcc>
  <rcc rId="3897" sId="3" numFmtId="34">
    <oc r="M33">
      <f>'HT Express BSC '!M6</f>
    </oc>
    <nc r="M33">
      <v>20</v>
    </nc>
  </rcc>
  <rcc rId="3898" sId="3">
    <oc r="L34">
      <f>L32/L33</f>
    </oc>
    <nc r="L34">
      <f>L32/L33</f>
    </nc>
  </rcc>
  <rcc rId="3899" sId="3" numFmtId="34">
    <oc r="L36">
      <f>'HT Express BSC '!L9</f>
    </oc>
    <nc r="L36">
      <v>12</v>
    </nc>
  </rcc>
  <rcc rId="3900" sId="3" numFmtId="34">
    <oc r="M36">
      <f>'HT Express BSC '!M9</f>
    </oc>
    <nc r="M36">
      <v>12</v>
    </nc>
  </rcc>
  <rcc rId="3901" sId="3" numFmtId="34">
    <oc r="L37">
      <f>'HT Express BSC '!L10</f>
    </oc>
    <nc r="L37">
      <v>12</v>
    </nc>
  </rcc>
  <rcc rId="3902" sId="3">
    <oc r="M37">
      <f>'HT Express BSC '!M10</f>
    </oc>
    <nc r="M37">
      <f>'HT Express BSC '!M10</f>
    </nc>
  </rcc>
  <rcc rId="3903" sId="3">
    <oc r="L38">
      <f>L36/L37</f>
    </oc>
    <nc r="L38">
      <f>L36/L37</f>
    </nc>
  </rcc>
  <rcc rId="3904" sId="3" numFmtId="34">
    <oc r="L40">
      <f>'HT Express BSC '!L13</f>
    </oc>
    <nc r="L40">
      <v>7</v>
    </nc>
  </rcc>
  <rcc rId="3905" sId="3">
    <oc r="M40" t="inlineStr">
      <is>
        <t>NA</t>
      </is>
    </oc>
    <nc r="M40">
      <v>5</v>
    </nc>
  </rcc>
  <rcc rId="3906" sId="3" numFmtId="34">
    <oc r="L41">
      <f>'HT Express BSC '!L14</f>
    </oc>
    <nc r="L41">
      <v>7</v>
    </nc>
  </rcc>
  <rcc rId="3907" sId="3">
    <nc r="M41">
      <v>2</v>
    </nc>
  </rcc>
  <rcc rId="3908" sId="3">
    <oc r="L42">
      <f>L40/L41</f>
    </oc>
    <nc r="L42">
      <f>L40/L41</f>
    </nc>
  </rcc>
  <rcc rId="3909" sId="3" numFmtId="34">
    <oc r="L44">
      <f>'HT Express BSC '!L17</f>
    </oc>
    <nc r="L44">
      <v>6</v>
    </nc>
  </rcc>
  <rcc rId="3910" sId="3" numFmtId="34">
    <oc r="M44">
      <f>'HT Express BSC '!M17</f>
    </oc>
    <nc r="M44">
      <v>8</v>
    </nc>
  </rcc>
  <rcc rId="3911" sId="3" numFmtId="34">
    <oc r="L45">
      <f>'HT Express BSC '!L18</f>
    </oc>
    <nc r="L45">
      <v>9</v>
    </nc>
  </rcc>
  <rcc rId="3912" sId="3">
    <oc r="M45">
      <f>'HT Express BSC '!M18</f>
    </oc>
    <nc r="M45">
      <f>'HT Express BSC '!M18</f>
    </nc>
  </rcc>
  <rcc rId="3913" sId="3">
    <oc r="L46">
      <f>L44/L45</f>
    </oc>
    <nc r="L46">
      <f>L44/L45</f>
    </nc>
  </rcc>
  <rcc rId="3914" sId="3" numFmtId="34">
    <oc r="L48">
      <v>231710</v>
    </oc>
    <nc r="L48">
      <v>2</v>
    </nc>
  </rcc>
  <rcc rId="3915" sId="3" numFmtId="34">
    <oc r="L49">
      <v>300000</v>
    </oc>
    <nc r="L49">
      <v>2.5</v>
    </nc>
  </rcc>
  <rcc rId="3916" sId="3">
    <oc r="L50">
      <f>L48/L49</f>
    </oc>
    <nc r="L50">
      <f>L48/L49</f>
    </nc>
  </rcc>
  <rcc rId="3917" sId="3">
    <oc r="L52">
      <f>L36/L32</f>
    </oc>
    <nc r="L52">
      <f>L36/L32</f>
    </nc>
  </rcc>
  <rcc rId="3918" sId="3">
    <oc r="M52">
      <f>M36/M32</f>
    </oc>
    <nc r="M52">
      <f>M36/M32</f>
    </nc>
  </rcc>
  <rcc rId="3919" sId="3">
    <oc r="L53">
      <f>L40/L32</f>
    </oc>
    <nc r="L53">
      <f>L40/L32</f>
    </nc>
  </rcc>
  <rcc rId="3920" sId="3">
    <oc r="L54">
      <f>L44/L32</f>
    </oc>
    <nc r="L54">
      <f>L44/L32</f>
    </nc>
  </rcc>
  <rcc rId="3921" sId="3">
    <oc r="M54">
      <f>M44/M32</f>
    </oc>
    <nc r="M54">
      <f>M44/M32</f>
    </nc>
  </rcc>
  <rcc rId="3922" sId="3">
    <oc r="L55">
      <f>L48/L32</f>
    </oc>
    <nc r="L55">
      <f>L48/L32</f>
    </nc>
  </rcc>
  <rcc rId="3923" sId="3" numFmtId="34">
    <oc r="L57">
      <f>'HT Fine Dining'!L5</f>
    </oc>
    <nc r="L57">
      <v>21</v>
    </nc>
  </rcc>
  <rcc rId="3924" sId="3" numFmtId="34">
    <oc r="M57">
      <f>'HT Fine Dining'!M5</f>
    </oc>
    <nc r="M57">
      <v>25</v>
    </nc>
  </rcc>
  <rcc rId="3925" sId="3" numFmtId="34">
    <oc r="L58">
      <f>'HT Fine Dining'!L6</f>
    </oc>
    <nc r="L58">
      <v>25</v>
    </nc>
  </rcc>
  <rcc rId="3926" sId="3" numFmtId="34">
    <oc r="M58">
      <f>'HT Fine Dining'!M6</f>
    </oc>
    <nc r="M58">
      <v>20</v>
    </nc>
  </rcc>
  <rcc rId="3927" sId="3">
    <oc r="L59">
      <f>L57/L58</f>
    </oc>
    <nc r="L59">
      <f>L57/L58</f>
    </nc>
  </rcc>
  <rcc rId="3928" sId="3">
    <oc r="M59">
      <f>M57/M58</f>
    </oc>
    <nc r="M59">
      <f>M57/M58</f>
    </nc>
  </rcc>
  <rcc rId="3929" sId="3" numFmtId="34">
    <oc r="L75">
      <v>425652.7</v>
    </oc>
    <nc r="L75">
      <v>316042.09999999998</v>
    </nc>
  </rcc>
  <rcc rId="3930" sId="3">
    <oc r="M75">
      <v>417014</v>
    </oc>
    <nc r="M75">
      <v>318851</v>
    </nc>
  </rcc>
  <rcc rId="3931" sId="3">
    <oc r="L76">
      <f>L20/L75</f>
    </oc>
    <nc r="L76">
      <f>L20/L75</f>
    </nc>
  </rcc>
  <rcc rId="3932" sId="3">
    <oc r="M76">
      <f>M20/M75</f>
    </oc>
    <nc r="M76">
      <f>M20/M75</f>
    </nc>
  </rcc>
  <rcc rId="3933" sId="3">
    <oc r="L77">
      <f>L36/L75</f>
    </oc>
    <nc r="L77">
      <f>L36/L75</f>
    </nc>
  </rcc>
  <rcc rId="3934" sId="3">
    <oc r="M77">
      <f>M36/M75</f>
    </oc>
    <nc r="M77">
      <f>M36/M75</f>
    </nc>
  </rcc>
  <rcc rId="3935" sId="3">
    <oc r="L79">
      <f>L36/7335</f>
    </oc>
    <nc r="L79">
      <f>L36/7335</f>
    </nc>
  </rcc>
  <rcc rId="3936" sId="3">
    <oc r="M79">
      <f>M36/7335</f>
    </oc>
    <nc r="M79">
      <f>M36/7335</f>
    </nc>
  </rcc>
  <rcc rId="3937" sId="3">
    <oc r="L80">
      <f>L20/2799.94</f>
    </oc>
    <nc r="L80">
      <f>L20/2799.94</f>
    </nc>
  </rcc>
  <rcc rId="3938" sId="3">
    <oc r="M80">
      <f>M20/2799.94</f>
    </oc>
    <nc r="M80">
      <f>M20/2799.94</f>
    </nc>
  </rcc>
  <rcc rId="3939" sId="3" numFmtId="34">
    <oc r="L84">
      <f>'HT Express BSC '!L53+'HT Stores BSC'!L45+'HT Fine Dining'!L23</f>
    </oc>
    <nc r="L84">
      <v>0.1</v>
    </nc>
  </rcc>
  <rcc rId="3940" sId="3">
    <oc r="M84">
      <f>'HT Express BSC '!M53+'HT Stores BSC'!M45+'HT Fine Dining'!M23</f>
    </oc>
    <nc r="M84">
      <f>'HT Express BSC '!M53+'HT Stores BSC'!M45+'HT Fine Dining'!M23</f>
    </nc>
  </rcc>
  <rcc rId="3941" sId="3">
    <oc r="L85">
      <f>L4-L84</f>
    </oc>
    <nc r="L85">
      <f>L4-L84</f>
    </nc>
  </rcc>
  <rcc rId="3942" sId="3" numFmtId="34">
    <oc r="L87">
      <f>'HT Express BSC '!L56+'HT Stores BSC'!L48+'HT Fine Dining'!L26</f>
    </oc>
    <nc r="L87">
      <v>3.5</v>
    </nc>
  </rcc>
  <rcc rId="3943" sId="3" numFmtId="34">
    <oc r="L88">
      <f>'HT Express BSC '!L57+'HT Stores BSC'!L49+'HT Fine Dining'!L27</f>
    </oc>
    <nc r="L88">
      <v>1</v>
    </nc>
  </rcc>
  <rcc rId="3944" sId="3" numFmtId="34">
    <oc r="L89">
      <f>'HT Express BSC '!L58+'HT Stores BSC'!L50+'HT Fine Dining'!L28</f>
    </oc>
    <nc r="L89">
      <v>1</v>
    </nc>
  </rcc>
  <rcc rId="3945" sId="3">
    <oc r="M89">
      <f>(L87+L88+L89)/L4</f>
    </oc>
    <nc r="M89">
      <f>(L87+L88+L89)/L4</f>
    </nc>
  </rcc>
  <rcc rId="3946" sId="3">
    <oc r="L90">
      <f>L85-L87-L88-L89</f>
    </oc>
    <nc r="L90">
      <f>L85-L87-L88-L89</f>
    </nc>
  </rcc>
  <rcc rId="3947" sId="3" numFmtId="34">
    <oc r="L92">
      <f>'HT Express BSC '!L61+'HT Stores BSC'!L53+'HT Fine Dining'!L31+1341809-40523</f>
    </oc>
    <nc r="L92">
      <v>2</v>
    </nc>
  </rcc>
  <rcc rId="3948" sId="3" numFmtId="34">
    <oc r="L93">
      <f>'HT Express BSC '!L62+'HT Stores BSC'!L54+'HT Fine Dining'!L32+102167</f>
    </oc>
    <nc r="L93">
      <v>0.7</v>
    </nc>
  </rcc>
  <rcc rId="3949" sId="3" numFmtId="34">
    <oc r="L94">
      <f>'HT Express BSC '!L63+'HT Stores BSC'!L55+'HT Fine Dining'!L33+67169+67169</f>
    </oc>
    <nc r="L94">
      <v>0.75</v>
    </nc>
  </rcc>
  <rcc rId="3950" sId="3" numFmtId="34">
    <oc r="L95">
      <f>'HT Express BSC '!L64+'HT Stores BSC'!L56+'HT Fine Dining'!L34+194555-67169+40523</f>
    </oc>
    <nc r="L95">
      <v>0.6</v>
    </nc>
  </rcc>
  <rcc rId="3951" sId="3" numFmtId="34">
    <oc r="L96">
      <f>'HT Express BSC '!L65+'HT Stores BSC'!L58+'HT Fine Dining'!L35+80521</f>
    </oc>
    <nc r="L96">
      <v>0.2</v>
    </nc>
  </rcc>
  <rcc rId="3952" sId="3" numFmtId="34">
    <oc r="L97">
      <f>'H:\Users\krishnamurthybg\Desktop\BSC\BSC Q1\Copy\[TSF (Prasadam) BSC Draft 3 for R1 Review.xlsx]HT Stores BSC'!L58</f>
    </oc>
    <nc r="L97">
      <v>0.3</v>
    </nc>
  </rcc>
  <rcc rId="3953" sId="3">
    <nc r="L98">
      <f>-2128261*0</f>
    </nc>
  </rcc>
  <rcc rId="3954" sId="3">
    <oc r="L100">
      <f>L90-SUM(L92:L98)</f>
    </oc>
    <nc r="L100">
      <f>L90-SUM(L92:L98)</f>
    </nc>
  </rcc>
  <rcc rId="3955" sId="3">
    <oc r="L102">
      <f>L100/L85</f>
    </oc>
    <nc r="L102">
      <f>L100/L85</f>
    </nc>
  </rcc>
  <rcc rId="3956" sId="3" numFmtId="13">
    <oc r="L104">
      <v>0.13</v>
    </oc>
    <nc r="L104">
      <v>-4.7374607982104272E-2</v>
    </nc>
  </rcc>
  <rcc rId="3957" sId="3" numFmtId="13">
    <oc r="L105">
      <v>0.35</v>
    </oc>
    <nc r="L105">
      <v>0.3</v>
    </nc>
  </rcc>
  <rcc rId="3958" sId="3" numFmtId="13">
    <oc r="L106">
      <v>0.23</v>
    </oc>
    <nc r="L106">
      <v>0.25</v>
    </nc>
  </rcc>
  <rcc rId="3959" sId="3">
    <oc r="L108">
      <f>'HT Express BSC '!L72</f>
    </oc>
    <nc r="L108">
      <f>'HT Express BSC '!L72</f>
    </nc>
  </rcc>
  <rcc rId="3960" sId="3">
    <oc r="L109">
      <f>'HT Express BSC '!L73</f>
    </oc>
    <nc r="L109">
      <f>'HT Express BSC '!L73</f>
    </nc>
  </rcc>
  <rcc rId="3961" sId="3">
    <oc r="L110">
      <f>'HT Express BSC '!L74</f>
    </oc>
    <nc r="L110">
      <f>'HT Express BSC '!L74</f>
    </nc>
  </rcc>
  <rcc rId="3962" sId="3">
    <oc r="L111">
      <f>'HT Express BSC '!L75</f>
    </oc>
    <nc r="L111">
      <f>'HT Express BSC '!L75</f>
    </nc>
  </rcc>
  <rcc rId="3963" sId="3">
    <oc r="L113">
      <f>'HT Stores BSC'!L65</f>
    </oc>
    <nc r="L113">
      <f>'HT Stores BSC'!L65</f>
    </nc>
  </rcc>
  <rcc rId="3964" sId="3">
    <oc r="L114">
      <f>'HT Stores BSC'!L66</f>
    </oc>
    <nc r="L114">
      <f>'HT Stores BSC'!L66</f>
    </nc>
  </rcc>
  <rcc rId="3965" sId="3">
    <oc r="L115">
      <f>'HT Stores BSC'!L67</f>
    </oc>
    <nc r="L115">
      <f>'HT Stores BSC'!L67</f>
    </nc>
  </rcc>
  <rcc rId="3966" sId="3">
    <oc r="L117">
      <f>'HT Express BSC '!L77</f>
    </oc>
    <nc r="L117">
      <f>'HT Express BSC '!L77</f>
    </nc>
  </rcc>
  <rcc rId="3967" sId="3">
    <oc r="L118">
      <f>'HT Stores BSC'!L69</f>
    </oc>
    <nc r="L118">
      <f>'HT Stores BSC'!L69</f>
    </nc>
  </rcc>
  <rcc rId="3968" sId="3">
    <oc r="L119">
      <f>'HT Fine Dining'!L42</f>
    </oc>
    <nc r="L119">
      <f>'HT Fine Dining'!L42</f>
    </nc>
  </rcc>
  <rcc rId="3969" sId="3" numFmtId="34">
    <oc r="L132">
      <v>3972410</v>
    </oc>
    <nc r="L132">
      <v>9</v>
    </nc>
  </rcc>
  <rcc rId="3970" sId="3" numFmtId="34">
    <oc r="M132">
      <v>3336086</v>
    </oc>
    <nc r="M132">
      <v>8.5</v>
    </nc>
  </rcc>
  <rcc rId="3971" sId="3">
    <oc r="L133">
      <f>L132/L85</f>
    </oc>
    <nc r="L133">
      <f>L132/L85</f>
    </nc>
  </rcc>
  <rcc rId="3972" sId="3" numFmtId="34">
    <oc r="L134">
      <v>3053854</v>
    </oc>
    <nc r="L134">
      <v>7</v>
    </nc>
  </rcc>
  <rcc rId="3973" sId="3" numFmtId="34">
    <oc r="M134">
      <v>2591361</v>
    </oc>
    <nc r="M134">
      <v>8</v>
    </nc>
  </rcc>
  <rcc rId="3974" sId="3" numFmtId="34">
    <oc r="L139">
      <v>815145</v>
    </oc>
    <nc r="L139">
      <v>8</v>
    </nc>
  </rcc>
  <rcc rId="3975" sId="3" numFmtId="34">
    <oc r="L140">
      <v>1743910</v>
    </oc>
    <nc r="L140">
      <v>1</v>
    </nc>
  </rcc>
  <rcc rId="3976" sId="3" numFmtId="34">
    <oc r="L141">
      <v>888257</v>
    </oc>
    <nc r="L141">
      <v>3</v>
    </nc>
  </rcc>
  <rcc rId="3977" sId="3">
    <oc r="L143">
      <f>SUM(L144:L147)</f>
    </oc>
    <nc r="L143">
      <f>SUM(L144:L147)</f>
    </nc>
  </rcc>
  <rcc rId="3978" sId="3">
    <oc r="M143">
      <v>265</v>
    </oc>
    <nc r="M143">
      <v>260</v>
    </nc>
  </rcc>
  <rcc rId="3979" sId="3" numFmtId="34">
    <oc r="L144">
      <v>257</v>
    </oc>
    <nc r="L144">
      <v>256</v>
    </nc>
  </rcc>
  <rcc rId="3980" sId="3">
    <oc r="M144">
      <v>241</v>
    </oc>
    <nc r="M144">
      <v>236</v>
    </nc>
  </rcc>
  <rcc rId="3981" sId="3" numFmtId="34">
    <oc r="L145">
      <v>32</v>
    </oc>
    <nc r="L145">
      <v>34</v>
    </nc>
  </rcc>
  <rcc rId="3982" sId="3" numFmtId="34">
    <oc r="L149">
      <v>3380</v>
    </oc>
    <nc r="L149">
      <v>3906</v>
    </nc>
  </rcc>
  <rcc rId="3983" sId="3" numFmtId="34">
    <oc r="L150">
      <v>238889</v>
    </oc>
    <nc r="L150">
      <v>280438</v>
    </nc>
  </rcc>
  <rcc rId="3984" sId="3" numFmtId="14">
    <oc r="L153">
      <v>2.52E-2</v>
    </oc>
    <nc r="L153">
      <v>2.06E-2</v>
    </nc>
  </rcc>
  <rcc rId="3985" sId="3" numFmtId="34">
    <oc r="L155">
      <v>474254</v>
    </oc>
    <nc r="L155">
      <v>240902</v>
    </nc>
  </rcc>
  <rcc rId="3986" sId="3">
    <oc r="L156">
      <v>137</v>
    </oc>
    <nc r="L156">
      <v>68</v>
    </nc>
  </rcc>
  <rcc rId="3987" sId="3" numFmtId="34">
    <oc r="L171">
      <v>8789490</v>
    </oc>
    <nc r="L171">
      <v>7950329</v>
    </nc>
  </rcc>
  <rcc rId="3988" sId="3" numFmtId="34">
    <oc r="L178">
      <v>5400535</v>
    </oc>
    <nc r="L178">
      <v>5286914</v>
    </nc>
  </rcc>
  <rcc rId="3989" sId="3">
    <oc r="L179">
      <f>L178/L4</f>
    </oc>
    <nc r="L179">
      <f>L178/L4</f>
    </nc>
  </rcc>
  <rcc rId="3990" sId="3">
    <oc r="L181">
      <f>'HT Express BSC '!L125+'HT Stores BSC'!L118</f>
    </oc>
    <nc r="L181">
      <f>'HT Express BSC '!L125+'HT Stores BSC'!L118</f>
    </nc>
  </rcc>
  <rcc rId="3991" sId="3">
    <oc r="L182">
      <f>'HT Express BSC '!L126+'HT Stores BSC'!L119</f>
    </oc>
    <nc r="L182">
      <f>'HT Express BSC '!L126+'HT Stores BSC'!L119</f>
    </nc>
  </rcc>
  <rcc rId="3992" sId="3">
    <oc r="L183">
      <f>'HT Express BSC '!L127+'HT Stores BSC'!L120</f>
    </oc>
    <nc r="L183">
      <f>'HT Express BSC '!L127+'HT Stores BSC'!L120</f>
    </nc>
  </rcc>
  <rcmt sheetId="3" cell="L92" guid="{00000000-0000-0000-0000-000000000000}" action="delete" author="Krishna Murthy BG."/>
  <rcmt sheetId="3" cell="L151" guid="{00000000-0000-0000-0000-000000000000}" action="delete" author="Ashok Kumar K M"/>
  <rcc rId="3993" sId="3" numFmtId="34">
    <oc r="O4">
      <f>'HT Express BSC '!O5+'HT Stores BSC'!O5+'HT Fine Dining'!O5</f>
    </oc>
    <nc r="O4">
      <v>20</v>
    </nc>
  </rcc>
  <rcc rId="3994" sId="3" numFmtId="34">
    <oc r="P4">
      <f>'HT Express BSC '!P5+'HT Stores BSC'!P5+'HT Fine Dining'!P5</f>
    </oc>
    <nc r="P4">
      <v>17</v>
    </nc>
  </rcc>
  <rcc rId="3995" sId="3" numFmtId="34">
    <nc r="O5">
      <v>16</v>
    </nc>
  </rcc>
  <rcc rId="3996" sId="3" numFmtId="34">
    <nc r="P5">
      <v>15</v>
    </nc>
  </rcc>
  <rcc rId="3997" sId="3">
    <nc r="O6">
      <f>O4/O5</f>
    </nc>
  </rcc>
  <rcc rId="3998" sId="3" numFmtId="13">
    <oc r="O8">
      <f>'HT Stores BSC'!O5/'TSF Prasadam Overall'!O4</f>
    </oc>
    <nc r="O8">
      <v>0.05</v>
    </nc>
  </rcc>
  <rcc rId="3999" sId="3" numFmtId="13">
    <oc r="P8">
      <f>'HT Stores BSC'!P5/'TSF Prasadam Overall'!P4</f>
    </oc>
    <nc r="P8">
      <v>0.05</v>
    </nc>
  </rcc>
  <rcc rId="4000" sId="3" numFmtId="13">
    <oc r="O9">
      <f>'HT Express BSC '!O5/'TSF Prasadam Overall'!O4</f>
    </oc>
    <nc r="O9">
      <v>0.05</v>
    </nc>
  </rcc>
  <rcc rId="4001" sId="3" numFmtId="13">
    <oc r="P9">
      <f>'HT Express BSC '!P5/'TSF Prasadam Overall'!P4</f>
    </oc>
    <nc r="P9">
      <v>0.05</v>
    </nc>
  </rcc>
  <rcc rId="4002" sId="3" numFmtId="13">
    <oc r="O10">
      <f>'HT Fine Dining'!O5/'TSF Prasadam Overall'!O4</f>
    </oc>
    <nc r="O10">
      <v>0.05</v>
    </nc>
  </rcc>
  <rcc rId="4003" sId="3" numFmtId="13">
    <oc r="P10">
      <f>'HT Fine Dining'!P5/'TSF Prasadam Overall'!P4</f>
    </oc>
    <nc r="P10">
      <v>0.05</v>
    </nc>
  </rcc>
  <rcc rId="4004" sId="3" numFmtId="34">
    <oc r="O12">
      <f>O16+O20+O24</f>
    </oc>
    <nc r="O12">
      <v>15</v>
    </nc>
  </rcc>
  <rcc rId="4005" sId="3" numFmtId="34">
    <oc r="P12">
      <f>P16+P20+P24</f>
    </oc>
    <nc r="P12">
      <v>15</v>
    </nc>
  </rcc>
  <rcc rId="4006" sId="3" numFmtId="34">
    <oc r="O13">
      <f>O17+O21+O25</f>
    </oc>
    <nc r="O13">
      <v>8</v>
    </nc>
  </rcc>
  <rcc rId="4007" sId="3" numFmtId="34">
    <oc r="P13">
      <f>'HT Stores BSC'!P6</f>
    </oc>
    <nc r="P13">
      <v>8</v>
    </nc>
  </rcc>
  <rcc rId="4008" sId="3">
    <oc r="O14">
      <f>O12/O13</f>
    </oc>
    <nc r="O14">
      <f>O12/O13</f>
    </nc>
  </rcc>
  <rcc rId="4009" sId="3">
    <oc r="O16">
      <f>'HT Stores BSC'!O9</f>
    </oc>
    <nc r="O16">
      <f>'HT Stores BSC'!O9</f>
    </nc>
  </rcc>
  <rcc rId="4010" sId="3">
    <oc r="O17">
      <f>'HT Stores BSC'!O10</f>
    </oc>
    <nc r="O17">
      <f>'HT Stores BSC'!O10</f>
    </nc>
  </rcc>
  <rcc rId="4011" sId="3">
    <oc r="O18">
      <f>O16/O17</f>
    </oc>
    <nc r="O18">
      <f>O16/O17</f>
    </nc>
  </rcc>
  <rcc rId="4012" sId="3">
    <oc r="O20">
      <f>'HT Stores BSC'!O13</f>
    </oc>
    <nc r="O20">
      <f>'HT Stores BSC'!O13</f>
    </nc>
  </rcc>
  <rcc rId="4013" sId="3">
    <oc r="P20">
      <f>'HT Stores BSC'!P13</f>
    </oc>
    <nc r="P20">
      <f>'HT Stores BSC'!P13</f>
    </nc>
  </rcc>
  <rcc rId="4014" sId="3">
    <oc r="O21">
      <f>'HT Stores BSC'!O14</f>
    </oc>
    <nc r="O21">
      <f>'HT Stores BSC'!O14</f>
    </nc>
  </rcc>
  <rcc rId="4015" sId="3">
    <oc r="P21">
      <f>'HT Stores BSC'!P14</f>
    </oc>
    <nc r="P21"/>
  </rcc>
  <rcc rId="4016" sId="3">
    <nc r="O22">
      <f>'HT Stores BSC'!O15</f>
    </nc>
  </rcc>
  <rcc rId="4017" sId="3">
    <oc r="O24">
      <f>'HT Stores BSC'!O17</f>
    </oc>
    <nc r="O24">
      <f>'HT Stores BSC'!O17</f>
    </nc>
  </rcc>
  <rcc rId="4018" sId="3" numFmtId="34">
    <oc r="P24">
      <f>'HT Stores BSC'!P17</f>
    </oc>
    <nc r="P24">
      <v>1294428.1183333334</v>
    </nc>
  </rcc>
  <rcc rId="4019" sId="3">
    <oc r="O25">
      <f>'HT Stores BSC'!O18</f>
    </oc>
    <nc r="O25">
      <f>'HT Stores BSC'!O18</f>
    </nc>
  </rcc>
  <rcc rId="4020" sId="3">
    <oc r="O26">
      <f>O24/O25</f>
    </oc>
    <nc r="O26">
      <f>O24/O25</f>
    </nc>
  </rcc>
  <rcc rId="4021" sId="3" numFmtId="13">
    <oc r="O28">
      <f>O16/O12</f>
    </oc>
    <nc r="O28">
      <v>0.45</v>
    </nc>
  </rcc>
  <rcc rId="4022" sId="3" numFmtId="13">
    <oc r="P28">
      <f>P16/P12</f>
    </oc>
    <nc r="P28">
      <v>0.15</v>
    </nc>
  </rcc>
  <rcc rId="4023" sId="3" numFmtId="13">
    <oc r="O29">
      <f>O20/O12</f>
    </oc>
    <nc r="O29">
      <v>0.39</v>
    </nc>
  </rcc>
  <rcc rId="4024" sId="3" numFmtId="13">
    <oc r="P29">
      <f>P20/P12</f>
    </oc>
    <nc r="P29">
      <v>0.1</v>
    </nc>
  </rcc>
  <rcc rId="4025" sId="3" numFmtId="13">
    <oc r="O30">
      <f>O24/O12</f>
    </oc>
    <nc r="O30">
      <v>0.37</v>
    </nc>
  </rcc>
  <rcc rId="4026" sId="3" numFmtId="13">
    <oc r="P30">
      <f>P24/P12</f>
    </oc>
    <nc r="P30">
      <v>0.06</v>
    </nc>
  </rcc>
  <rcc rId="4027" sId="3" numFmtId="34">
    <oc r="O32">
      <f>'HT Express BSC '!O5</f>
    </oc>
    <nc r="O32">
      <v>29</v>
    </nc>
  </rcc>
  <rcc rId="4028" sId="3" numFmtId="34">
    <oc r="P32">
      <f>'HT Express BSC '!P5</f>
    </oc>
    <nc r="P32">
      <v>21</v>
    </nc>
  </rcc>
  <rcc rId="4029" sId="3" numFmtId="34">
    <oc r="O33">
      <f>'HT Express BSC '!O6</f>
    </oc>
    <nc r="O33">
      <v>30</v>
    </nc>
  </rcc>
  <rcc rId="4030" sId="3" numFmtId="34">
    <oc r="P33">
      <f>'HT Express BSC '!P6</f>
    </oc>
    <nc r="P33">
      <v>20</v>
    </nc>
  </rcc>
  <rcc rId="4031" sId="3">
    <oc r="O34">
      <f>O32/O33</f>
    </oc>
    <nc r="O34">
      <f>O32/O33</f>
    </nc>
  </rcc>
  <rcc rId="4032" sId="3" numFmtId="34">
    <oc r="O36">
      <f>'HT Express BSC '!O9</f>
    </oc>
    <nc r="O36">
      <v>12</v>
    </nc>
  </rcc>
  <rcc rId="4033" sId="3" numFmtId="34">
    <oc r="P36">
      <f>'HT Express BSC '!P9</f>
    </oc>
    <nc r="P36">
      <v>12</v>
    </nc>
  </rcc>
  <rcc rId="4034" sId="3" numFmtId="34">
    <oc r="O37">
      <f>'HT Express BSC '!O10</f>
    </oc>
    <nc r="O37">
      <v>12</v>
    </nc>
  </rcc>
  <rcc rId="4035" sId="3">
    <oc r="P37">
      <f>'HT Express BSC '!P10</f>
    </oc>
    <nc r="P37">
      <f>'HT Express BSC '!P10</f>
    </nc>
  </rcc>
  <rcc rId="4036" sId="3">
    <nc r="O38">
      <f>O36/O37</f>
    </nc>
  </rcc>
  <rcc rId="4037" sId="3" numFmtId="34">
    <oc r="O40">
      <f>'HT Express BSC '!O13</f>
    </oc>
    <nc r="O40">
      <v>7</v>
    </nc>
  </rcc>
  <rcc rId="4038" sId="3">
    <oc r="P40">
      <f>'HT Express BSC '!P13</f>
    </oc>
    <nc r="P40">
      <v>5</v>
    </nc>
  </rcc>
  <rcc rId="4039" sId="3" numFmtId="34">
    <oc r="O41">
      <f>'HT Express BSC '!O14</f>
    </oc>
    <nc r="O41">
      <v>7</v>
    </nc>
  </rcc>
  <rcc rId="4040" sId="3">
    <oc r="P41">
      <f>'HT Express BSC '!P14</f>
    </oc>
    <nc r="P41">
      <v>2</v>
    </nc>
  </rcc>
  <rcc rId="4041" sId="3">
    <nc r="O42">
      <f>O40/O41</f>
    </nc>
  </rcc>
  <rcc rId="4042" sId="3" numFmtId="34">
    <oc r="O44">
      <f>'HT Express BSC '!O17</f>
    </oc>
    <nc r="O44">
      <v>6</v>
    </nc>
  </rcc>
  <rcc rId="4043" sId="3" numFmtId="34">
    <oc r="P44">
      <f>'HT Express BSC '!P17</f>
    </oc>
    <nc r="P44">
      <v>8</v>
    </nc>
  </rcc>
  <rcc rId="4044" sId="3" numFmtId="34">
    <oc r="O45">
      <f>'HT Express BSC '!O18</f>
    </oc>
    <nc r="O45">
      <v>9</v>
    </nc>
  </rcc>
  <rcc rId="4045" sId="3">
    <oc r="P45">
      <f>'HT Express BSC '!P18</f>
    </oc>
    <nc r="P45">
      <f>'HT Express BSC '!P18</f>
    </nc>
  </rcc>
  <rcc rId="4046" sId="3">
    <nc r="O46">
      <f>O44/O45</f>
    </nc>
  </rcc>
  <rcc rId="4047" sId="3" numFmtId="34">
    <nc r="O48">
      <v>2</v>
    </nc>
  </rcc>
  <rcc rId="4048" sId="3">
    <nc r="P48" t="inlineStr">
      <is>
        <t>NA</t>
      </is>
    </nc>
  </rcc>
  <rcc rId="4049" sId="3" numFmtId="34">
    <nc r="O49">
      <v>2.5</v>
    </nc>
  </rcc>
  <rcc rId="4050" sId="3">
    <nc r="O50">
      <f>O48/O49</f>
    </nc>
  </rcc>
  <rcc rId="4051" sId="3">
    <oc r="O52">
      <f>O36/O32</f>
    </oc>
    <nc r="O52">
      <f>O36/O32</f>
    </nc>
  </rcc>
  <rcc rId="4052" sId="3">
    <oc r="P52">
      <f>P36/P32</f>
    </oc>
    <nc r="P52">
      <f>P36/P32</f>
    </nc>
  </rcc>
  <rcc rId="4053" sId="3">
    <oc r="O53">
      <f>O40/O32</f>
    </oc>
    <nc r="O53">
      <f>O40/O32</f>
    </nc>
  </rcc>
  <rcc rId="4054" sId="3">
    <oc r="O54">
      <f>O44/O32</f>
    </oc>
    <nc r="O54">
      <f>O44/O32</f>
    </nc>
  </rcc>
  <rcc rId="4055" sId="3">
    <oc r="P54">
      <f>P44/P32</f>
    </oc>
    <nc r="P54">
      <f>P44/P32</f>
    </nc>
  </rcc>
  <rcc rId="4056" sId="3">
    <oc r="O55">
      <f>O48/O32</f>
    </oc>
    <nc r="O55">
      <f>O48/O32</f>
    </nc>
  </rcc>
  <rcc rId="4057" sId="3" numFmtId="34">
    <oc r="O57">
      <f>'HT Fine Dining'!O5</f>
    </oc>
    <nc r="O57">
      <v>21</v>
    </nc>
  </rcc>
  <rcc rId="4058" sId="3" numFmtId="34">
    <oc r="P57">
      <f>'HT Fine Dining'!P5</f>
    </oc>
    <nc r="P57">
      <v>25</v>
    </nc>
  </rcc>
  <rcc rId="4059" sId="3" numFmtId="34">
    <oc r="O58">
      <f>'HT Fine Dining'!O6</f>
    </oc>
    <nc r="O58">
      <v>25</v>
    </nc>
  </rcc>
  <rcc rId="4060" sId="3" numFmtId="34">
    <oc r="P58">
      <f>'HT Fine Dining'!P6</f>
    </oc>
    <nc r="P58">
      <v>20</v>
    </nc>
  </rcc>
  <rcc rId="4061" sId="3">
    <oc r="O59">
      <f>O57/O58</f>
    </oc>
    <nc r="O59">
      <f>O57/O58</f>
    </nc>
  </rcc>
  <rcc rId="4062" sId="3">
    <oc r="P59">
      <f>P57/P58</f>
    </oc>
    <nc r="P59">
      <f>P57/P58</f>
    </nc>
  </rcc>
  <rcc rId="4063" sId="3" numFmtId="34">
    <oc r="O75">
      <v>338078</v>
    </oc>
    <nc r="O75">
      <v>316042.09999999998</v>
    </nc>
  </rcc>
  <rcc rId="4064" sId="3">
    <oc r="P75">
      <v>315959</v>
    </oc>
    <nc r="P75">
      <v>318851</v>
    </nc>
  </rcc>
  <rcc rId="4065" sId="3">
    <oc r="O76">
      <f>O20/O75</f>
    </oc>
    <nc r="O76">
      <f>O20/O75</f>
    </nc>
  </rcc>
  <rcc rId="4066" sId="3">
    <oc r="P76">
      <f>P20/P75</f>
    </oc>
    <nc r="P76">
      <f>P20/P75</f>
    </nc>
  </rcc>
  <rcc rId="4067" sId="3">
    <oc r="O77">
      <f>O36/O75</f>
    </oc>
    <nc r="O77">
      <f>O36/O75</f>
    </nc>
  </rcc>
  <rcc rId="4068" sId="3">
    <oc r="P77">
      <f>P36/P75</f>
    </oc>
    <nc r="P77">
      <f>P36/P75</f>
    </nc>
  </rcc>
  <rcc rId="4069" sId="3">
    <oc r="O79">
      <f>O36/7335</f>
    </oc>
    <nc r="O79">
      <f>O36/7335</f>
    </nc>
  </rcc>
  <rcc rId="4070" sId="3">
    <oc r="P79">
      <f>P36/7335</f>
    </oc>
    <nc r="P79">
      <f>P36/7335</f>
    </nc>
  </rcc>
  <rcc rId="4071" sId="3">
    <oc r="O80">
      <f>O20/2799.94</f>
    </oc>
    <nc r="O80">
      <f>O20/2799.94</f>
    </nc>
  </rcc>
  <rcc rId="4072" sId="3">
    <oc r="P80">
      <f>P20/2799.94</f>
    </oc>
    <nc r="P80">
      <f>P20/2799.94</f>
    </nc>
  </rcc>
  <rcc rId="4073" sId="3" numFmtId="34">
    <oc r="O84">
      <f>'HT Express BSC '!O53+'HT Stores BSC'!O45+'HT Fine Dining'!O23</f>
    </oc>
    <nc r="O84">
      <v>0.1</v>
    </nc>
  </rcc>
  <rcc rId="4074" sId="3">
    <oc r="P84">
      <f>'HT Express BSC '!P53+'HT Stores BSC'!P45+'HT Fine Dining'!P23</f>
    </oc>
    <nc r="P84">
      <f>'HT Express BSC '!P53+'HT Stores BSC'!P45+'HT Fine Dining'!P23</f>
    </nc>
  </rcc>
  <rcc rId="4075" sId="3">
    <oc r="O85">
      <f>O4-O84</f>
    </oc>
    <nc r="O85">
      <f>O4-O84</f>
    </nc>
  </rcc>
  <rcc rId="4076" sId="3" numFmtId="34">
    <oc r="O87">
      <f>'HT Express BSC '!O56+'HT Stores BSC'!O48+'HT Fine Dining'!O26</f>
    </oc>
    <nc r="O87">
      <v>3.5</v>
    </nc>
  </rcc>
  <rcc rId="4077" sId="3" numFmtId="34">
    <oc r="O88">
      <f>'HT Express BSC '!O57+'HT Stores BSC'!O49+'HT Fine Dining'!O27</f>
    </oc>
    <nc r="O88">
      <v>1</v>
    </nc>
  </rcc>
  <rcc rId="4078" sId="3" numFmtId="34">
    <oc r="O89">
      <f>'HT Express BSC '!O58+'HT Stores BSC'!O50+'HT Fine Dining'!O28</f>
    </oc>
    <nc r="O89">
      <v>1</v>
    </nc>
  </rcc>
  <rcc rId="4079" sId="3">
    <oc r="P89">
      <f>(O87+O88+O89)/O4</f>
    </oc>
    <nc r="P89">
      <f>(O87+O88+O89)/O4</f>
    </nc>
  </rcc>
  <rcc rId="4080" sId="3">
    <oc r="O90">
      <f>O85-O87-O88-O89</f>
    </oc>
    <nc r="O90">
      <f>O85-O87-O88-O89</f>
    </nc>
  </rcc>
  <rcc rId="4081" sId="3" numFmtId="34">
    <oc r="O92">
      <f>'HT Express BSC '!O61+'HT Stores BSC'!O53+'HT Fine Dining'!O31+1953422-276739</f>
    </oc>
    <nc r="O92">
      <v>2</v>
    </nc>
  </rcc>
  <rcc rId="4082" sId="3" numFmtId="34">
    <oc r="O93">
      <f>'HT Express BSC '!O62+'HT Stores BSC'!O54+'HT Fine Dining'!O32+101021</f>
    </oc>
    <nc r="O93">
      <v>0.7</v>
    </nc>
  </rcc>
  <rcc rId="4083" sId="3" numFmtId="34">
    <oc r="O94">
      <f>'HT Express BSC '!O63+'HT Stores BSC'!O55+'HT Fine Dining'!O33+67169+67169</f>
    </oc>
    <nc r="O94">
      <v>0.75</v>
    </nc>
  </rcc>
  <rcc rId="4084" sId="3" numFmtId="34">
    <oc r="O95">
      <f>'HT Express BSC '!O64+'HT Stores BSC'!O56+'HT Fine Dining'!O34+234026-67169+276739</f>
    </oc>
    <nc r="O95">
      <v>0.6</v>
    </nc>
  </rcc>
  <rcc rId="4085" sId="3" numFmtId="34">
    <oc r="O96">
      <f>'HT Express BSC '!O65+'HT Stores BSC'!O58+'HT Fine Dining'!O35+131472</f>
    </oc>
    <nc r="O96">
      <v>0.2</v>
    </nc>
  </rcc>
  <rcc rId="4086" sId="3" numFmtId="34">
    <oc r="O97">
      <f>'H:\Users\krishnamurthybg\Desktop\BSC\BSC Q1\Copy\[TSF (Prasadam) BSC Draft 3 for R1 Review.xlsx]HT Stores BSC'!O58</f>
    </oc>
    <nc r="O97">
      <v>0.3</v>
    </nc>
  </rcc>
  <rcc rId="4087" sId="3">
    <nc r="O98">
      <f>-2128261*0</f>
    </nc>
  </rcc>
  <rcc rId="4088" sId="3">
    <oc r="O100">
      <f>O90-SUM(O92:O98)</f>
    </oc>
    <nc r="O100">
      <f>O90-SUM(O92:O98)</f>
    </nc>
  </rcc>
  <rcc rId="4089" sId="3">
    <oc r="O102">
      <f>O100/O85</f>
    </oc>
    <nc r="O102">
      <f>O100/O85</f>
    </nc>
  </rcc>
  <rcc rId="4090" sId="3" numFmtId="13">
    <oc r="O104">
      <v>0.03</v>
    </oc>
    <nc r="O104">
      <v>-4.7374607982104272E-2</v>
    </nc>
  </rcc>
  <rcc rId="4091" sId="3" numFmtId="13">
    <oc r="O105">
      <v>0.33</v>
    </oc>
    <nc r="O105">
      <v>0.3</v>
    </nc>
  </rcc>
  <rcc rId="4092" sId="3" numFmtId="13">
    <nc r="O106">
      <v>0.25</v>
    </nc>
  </rcc>
  <rcc rId="4093" sId="3">
    <oc r="O108">
      <f>'HT Express BSC '!O72</f>
    </oc>
    <nc r="O108">
      <f>'HT Express BSC '!O72</f>
    </nc>
  </rcc>
  <rcc rId="4094" sId="3">
    <oc r="O109">
      <f>'HT Express BSC '!O73</f>
    </oc>
    <nc r="O109">
      <f>'HT Express BSC '!O73</f>
    </nc>
  </rcc>
  <rcc rId="4095" sId="3">
    <oc r="O110">
      <f>'HT Express BSC '!O74</f>
    </oc>
    <nc r="O110">
      <f>'HT Express BSC '!O74</f>
    </nc>
  </rcc>
  <rcc rId="4096" sId="3">
    <oc r="O111">
      <f>'HT Express BSC '!O75</f>
    </oc>
    <nc r="O111">
      <f>'HT Express BSC '!O75</f>
    </nc>
  </rcc>
  <rcc rId="4097" sId="3">
    <oc r="O113">
      <f>'HT Stores BSC'!O65</f>
    </oc>
    <nc r="O113">
      <f>'HT Stores BSC'!O65</f>
    </nc>
  </rcc>
  <rcc rId="4098" sId="3">
    <oc r="O114">
      <f>'HT Stores BSC'!O66</f>
    </oc>
    <nc r="O114">
      <f>'HT Stores BSC'!O66</f>
    </nc>
  </rcc>
  <rcc rId="4099" sId="3">
    <oc r="O115">
      <f>'HT Stores BSC'!O67</f>
    </oc>
    <nc r="O115">
      <f>'HT Stores BSC'!O67</f>
    </nc>
  </rcc>
  <rcc rId="4100" sId="3">
    <oc r="O117">
      <f>'HT Express BSC '!O77</f>
    </oc>
    <nc r="O117">
      <f>'HT Express BSC '!O77</f>
    </nc>
  </rcc>
  <rcc rId="4101" sId="3">
    <oc r="O118">
      <f>'HT Stores BSC'!O69</f>
    </oc>
    <nc r="O118">
      <f>'HT Stores BSC'!O69</f>
    </nc>
  </rcc>
  <rcc rId="4102" sId="3">
    <oc r="O119">
      <f>'HT Fine Dining'!O42</f>
    </oc>
    <nc r="O119">
      <f>'HT Fine Dining'!O42</f>
    </nc>
  </rcc>
  <rcc rId="4103" sId="3" numFmtId="34">
    <oc r="O132">
      <v>3788402</v>
    </oc>
    <nc r="O132">
      <v>9</v>
    </nc>
  </rcc>
  <rcc rId="4104" sId="3" numFmtId="34">
    <oc r="P132">
      <v>2871434</v>
    </oc>
    <nc r="P132">
      <v>8.5</v>
    </nc>
  </rcc>
  <rcc rId="4105" sId="3">
    <oc r="O133">
      <f>O132/O85</f>
    </oc>
    <nc r="O133">
      <f>O132/O85</f>
    </nc>
  </rcc>
  <rfmt sheetId="3" sqref="P133" start="0" length="0">
    <dxf>
      <border outline="0">
        <left style="thin">
          <color indexed="64"/>
        </left>
      </border>
    </dxf>
  </rfmt>
  <rcc rId="4106" sId="3" numFmtId="34">
    <oc r="O134">
      <v>2887743</v>
    </oc>
    <nc r="O134">
      <v>7</v>
    </nc>
  </rcc>
  <rcc rId="4107" sId="3" numFmtId="34">
    <oc r="P134">
      <v>2205048</v>
    </oc>
    <nc r="P134">
      <v>8</v>
    </nc>
  </rcc>
  <rcc rId="4108" sId="3" numFmtId="34">
    <oc r="O139">
      <v>788334</v>
    </oc>
    <nc r="O139">
      <v>8</v>
    </nc>
  </rcc>
  <rcc rId="4109" sId="3" numFmtId="34">
    <oc r="O140">
      <v>1673364</v>
    </oc>
    <nc r="O140">
      <v>1</v>
    </nc>
  </rcc>
  <rcc rId="4110" sId="3" numFmtId="34">
    <oc r="O141">
      <v>792766</v>
    </oc>
    <nc r="O141">
      <v>3</v>
    </nc>
  </rcc>
  <rcc rId="4111" sId="3" numFmtId="34">
    <oc r="O143">
      <v>303</v>
    </oc>
    <nc r="O143">
      <f>SUM(O144:O147)</f>
    </nc>
  </rcc>
  <rcc rId="4112" sId="3">
    <oc r="P143">
      <v>263</v>
    </oc>
    <nc r="P143">
      <v>260</v>
    </nc>
  </rcc>
  <rcc rId="4113" sId="3" numFmtId="34">
    <oc r="O144">
      <v>272</v>
    </oc>
    <nc r="O144">
      <v>256</v>
    </nc>
  </rcc>
  <rcc rId="4114" sId="3">
    <oc r="P144">
      <v>239</v>
    </oc>
    <nc r="P144">
      <v>236</v>
    </nc>
  </rcc>
  <rcc rId="4115" sId="3" numFmtId="34">
    <oc r="O145">
      <v>31</v>
    </oc>
    <nc r="O145">
      <v>34</v>
    </nc>
  </rcc>
  <rcc rId="4116" sId="3" numFmtId="34">
    <nc r="O146">
      <v>6</v>
    </nc>
  </rcc>
  <rcc rId="4117" sId="3" numFmtId="34">
    <nc r="O147">
      <v>2</v>
    </nc>
  </rcc>
  <rcc rId="4118" sId="3" numFmtId="34">
    <oc r="O149">
      <v>1265</v>
    </oc>
    <nc r="O149">
      <v>3906</v>
    </nc>
  </rcc>
  <rcc rId="4119" sId="3" numFmtId="34">
    <oc r="O150">
      <v>99130</v>
    </oc>
    <nc r="O150">
      <v>280438</v>
    </nc>
  </rcc>
  <rcc rId="4120" sId="3">
    <oc r="O151" t="inlineStr">
      <is>
        <t>In Comment</t>
      </is>
    </oc>
    <nc r="O151" t="inlineStr">
      <is>
        <t>Updated in Comment</t>
      </is>
    </nc>
  </rcc>
  <rcc rId="4121" sId="3" numFmtId="14">
    <nc r="O153">
      <v>2.06E-2</v>
    </nc>
  </rcc>
  <rcc rId="4122" sId="3" numFmtId="34">
    <oc r="O155">
      <v>358379</v>
    </oc>
    <nc r="O155">
      <v>240902</v>
    </nc>
  </rcc>
  <rcc rId="4123" sId="3">
    <oc r="O156">
      <v>150</v>
    </oc>
    <nc r="O156">
      <v>68</v>
    </nc>
  </rcc>
  <rcc rId="4124" sId="3" numFmtId="34">
    <nc r="O158">
      <v>124486.83333333333</v>
    </nc>
  </rcc>
  <rcc rId="4125" sId="3">
    <nc r="O159" t="inlineStr">
      <is>
        <t>Pending</t>
      </is>
    </nc>
  </rcc>
  <rcc rId="4126" sId="3">
    <nc r="O161">
      <v>0</v>
    </nc>
  </rcc>
  <rcc rId="4127" sId="3">
    <nc r="O162">
      <v>0</v>
    </nc>
  </rcc>
  <rcc rId="4128" sId="3">
    <nc r="O166" t="inlineStr">
      <is>
        <t>Pending</t>
      </is>
    </nc>
  </rcc>
  <rcc rId="4129" sId="3">
    <nc r="O167" t="inlineStr">
      <is>
        <t>Pending</t>
      </is>
    </nc>
  </rcc>
  <rcc rId="4130" sId="3" numFmtId="34">
    <oc r="O171">
      <v>7398430</v>
    </oc>
    <nc r="O171">
      <v>7950329</v>
    </nc>
  </rcc>
  <rcc rId="4131" sId="3" numFmtId="34">
    <oc r="O178">
      <v>4431276</v>
    </oc>
    <nc r="O178">
      <v>5286914</v>
    </nc>
  </rcc>
  <rcc rId="4132" sId="3">
    <oc r="O179">
      <f>O178/O4</f>
    </oc>
    <nc r="O179">
      <f>O178/O4</f>
    </nc>
  </rcc>
  <rcc rId="4133" sId="3">
    <oc r="O181">
      <f>'HT Express BSC '!O125+'HT Stores BSC'!O118</f>
    </oc>
    <nc r="O181">
      <f>'HT Express BSC '!O125+'HT Stores BSC'!O118</f>
    </nc>
  </rcc>
  <rcc rId="4134" sId="3">
    <oc r="O182">
      <f>'HT Express BSC '!O126+'HT Stores BSC'!O119</f>
    </oc>
    <nc r="O182">
      <f>'HT Express BSC '!O126+'HT Stores BSC'!O119</f>
    </nc>
  </rcc>
  <rcc rId="4135" sId="3">
    <oc r="O183">
      <f>'HT Express BSC '!O127+'HT Stores BSC'!O120</f>
    </oc>
    <nc r="O183">
      <f>'HT Express BSC '!O127+'HT Stores BSC'!O120</f>
    </nc>
  </rcc>
  <rcc rId="4136" sId="3">
    <nc r="O185" t="inlineStr">
      <is>
        <t>NA</t>
      </is>
    </nc>
  </rcc>
  <rcc rId="4137" sId="3">
    <nc r="O186" t="inlineStr">
      <is>
        <t>NA</t>
      </is>
    </nc>
  </rcc>
  <rcc rId="4138" sId="3">
    <nc r="O190" t="inlineStr">
      <is>
        <t>Pending</t>
      </is>
    </nc>
  </rcc>
  <rcc rId="4139" sId="3">
    <nc r="O191" t="inlineStr">
      <is>
        <t>Pending</t>
      </is>
    </nc>
  </rcc>
  <rcc rId="4140" sId="3">
    <nc r="O192" t="inlineStr">
      <is>
        <t>Pending</t>
      </is>
    </nc>
  </rcc>
  <rcc rId="4141" sId="3">
    <nc r="O193" t="inlineStr">
      <is>
        <t>Pending</t>
      </is>
    </nc>
  </rcc>
  <rcc rId="4142" sId="3">
    <nc r="O194" t="inlineStr">
      <is>
        <t>Pending</t>
      </is>
    </nc>
  </rcc>
  <rcmt sheetId="3" cell="O92" guid="{00000000-0000-0000-0000-000000000000}" action="delete" author="Krishna Murthy BG."/>
  <rcmt sheetId="3" cell="O151" guid="{00000000-0000-0000-0000-000000000000}" action="delete" author="Ganesh Mavathur"/>
  <rcc rId="4143" sId="3" numFmtId="34">
    <oc r="U4">
      <f>'HT Express BSC '!U5+'HT Stores BSC'!U5+'HT Fine Dining'!U5</f>
    </oc>
    <nc r="U4">
      <v>20</v>
    </nc>
  </rcc>
  <rcc rId="4144" sId="3" numFmtId="34">
    <oc r="V4">
      <f>12218106-786488</f>
    </oc>
    <nc r="V4">
      <v>17</v>
    </nc>
  </rcc>
  <rcc rId="4145" sId="3" numFmtId="34">
    <oc r="U5">
      <f>'HT Express BSC '!U6+'HT Stores BSC'!U6+'HT Fine Dining'!U6</f>
    </oc>
    <nc r="U5">
      <v>16</v>
    </nc>
  </rcc>
  <rcc rId="4146" sId="3" odxf="1" s="1" dxf="1" numFmtId="34">
    <nc r="V5">
      <v>15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147" sId="3" odxf="1" dxf="1">
    <oc r="U6">
      <f>U4/U5</f>
    </oc>
    <nc r="U6">
      <f>U4/U5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="1" sqref="V6" start="0" length="0">
    <dxf>
      <numFmt numFmtId="13" formatCode="0%"/>
    </dxf>
  </rfmt>
  <rfmt sheetId="3" sqref="U7" start="0" length="0">
    <dxf>
      <border outline="0">
        <left style="medium">
          <color indexed="64"/>
        </left>
      </border>
    </dxf>
  </rfmt>
  <rcc rId="4148" sId="3" numFmtId="13">
    <oc r="U8">
      <f>'HT Stores BSC'!U5/'TSF Prasadam Overall'!U4</f>
    </oc>
    <nc r="U8">
      <v>0.05</v>
    </nc>
  </rcc>
  <rcc rId="4149" sId="3" numFmtId="13">
    <oc r="V8">
      <f>'HT Stores BSC'!V5/'TSF Prasadam Overall'!V4</f>
    </oc>
    <nc r="V8">
      <v>0.05</v>
    </nc>
  </rcc>
  <rcc rId="4150" sId="3" numFmtId="13">
    <oc r="U9">
      <f>'HT Express BSC '!U5/'TSF Prasadam Overall'!U4</f>
    </oc>
    <nc r="U9">
      <v>0.05</v>
    </nc>
  </rcc>
  <rcc rId="4151" sId="3" numFmtId="13">
    <oc r="V9">
      <f>'HT Express BSC '!V5/'TSF Prasadam Overall'!V4</f>
    </oc>
    <nc r="V9">
      <v>0.05</v>
    </nc>
  </rcc>
  <rcc rId="4152" sId="3" numFmtId="13">
    <oc r="U10">
      <f>'HT Fine Dining'!U5/'TSF Prasadam Overall'!U4</f>
    </oc>
    <nc r="U10">
      <v>0.05</v>
    </nc>
  </rcc>
  <rcc rId="4153" sId="3" numFmtId="13">
    <oc r="V10">
      <f>'HT Fine Dining'!V5/'TSF Prasadam Overall'!V4</f>
    </oc>
    <nc r="V10">
      <v>0.05</v>
    </nc>
  </rcc>
  <rfmt sheetId="3" sqref="U11" start="0" length="0">
    <dxf>
      <border outline="0">
        <left style="medium">
          <color indexed="64"/>
        </left>
      </border>
    </dxf>
  </rfmt>
  <rcc rId="4154" sId="3" numFmtId="34">
    <oc r="U12">
      <f>U16+U20+U24</f>
    </oc>
    <nc r="U12">
      <v>15</v>
    </nc>
  </rcc>
  <rcc rId="4155" sId="3" numFmtId="34">
    <oc r="V12">
      <f>V16+V20+V24</f>
    </oc>
    <nc r="V12">
      <v>15</v>
    </nc>
  </rcc>
  <rcc rId="4156" sId="3" numFmtId="34">
    <oc r="U13">
      <f>U17+U21+U25</f>
    </oc>
    <nc r="U13">
      <v>8</v>
    </nc>
  </rcc>
  <rcc rId="4157" sId="3" odxf="1" s="1" dxf="1" numFmtId="34">
    <nc r="V13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158" sId="3">
    <oc r="U14">
      <f>U12/U13</f>
    </oc>
    <nc r="U14">
      <f>U12/U13</f>
    </nc>
  </rcc>
  <rcc rId="4159" sId="3">
    <oc r="U16">
      <f>'HT Stores BSC'!U9</f>
    </oc>
    <nc r="U16">
      <f>'HT Stores BSC'!U9</f>
    </nc>
  </rcc>
  <rcc rId="4160" sId="3">
    <oc r="U17">
      <f>'HT Stores BSC'!U10</f>
    </oc>
    <nc r="U17">
      <f>'HT Stores BSC'!U10</f>
    </nc>
  </rcc>
  <rcc rId="4161" sId="3">
    <oc r="U18">
      <f>U16/U17</f>
    </oc>
    <nc r="U18">
      <f>U16/U17</f>
    </nc>
  </rcc>
  <rcc rId="4162" sId="3">
    <oc r="U20">
      <f>'HT Stores BSC'!U13</f>
    </oc>
    <nc r="U20">
      <f>'HT Stores BSC'!U13</f>
    </nc>
  </rcc>
  <rcc rId="4163" sId="3">
    <oc r="V20">
      <f>'HT Stores BSC'!V13</f>
    </oc>
    <nc r="V20">
      <f>'HT Stores BSC'!V13</f>
    </nc>
  </rcc>
  <rcc rId="4164" sId="3">
    <oc r="U21">
      <f>'HT Stores BSC'!U14</f>
    </oc>
    <nc r="U21">
      <f>'HT Stores BSC'!U14</f>
    </nc>
  </rcc>
  <rcc rId="4165" sId="3">
    <oc r="V21">
      <f>'HT Stores BSC'!V14</f>
    </oc>
    <nc r="V21"/>
  </rcc>
  <rcc rId="4166" sId="3" odxf="1" dxf="1">
    <oc r="U22">
      <f>U20/U21</f>
    </oc>
    <nc r="U22">
      <f>'HT Stores BSC'!U15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167" sId="3">
    <oc r="U24">
      <f>'HT Stores BSC'!U17</f>
    </oc>
    <nc r="U24">
      <f>'HT Stores BSC'!U17</f>
    </nc>
  </rcc>
  <rcc rId="4168" sId="3" numFmtId="34">
    <oc r="V24">
      <f>'HT Stores BSC'!V17</f>
    </oc>
    <nc r="V24">
      <v>1294428.1183333334</v>
    </nc>
  </rcc>
  <rcc rId="4169" sId="3">
    <oc r="U25">
      <f>'HT Stores BSC'!U18</f>
    </oc>
    <nc r="U25">
      <f>'HT Stores BSC'!U18</f>
    </nc>
  </rcc>
  <rcc rId="4170" sId="3">
    <oc r="U26">
      <f>U24/U25</f>
    </oc>
    <nc r="U26">
      <f>U24/U25</f>
    </nc>
  </rcc>
  <rcc rId="4171" sId="3" numFmtId="13">
    <oc r="U28">
      <f>U16/U12</f>
    </oc>
    <nc r="U28">
      <v>0.45</v>
    </nc>
  </rcc>
  <rcc rId="4172" sId="3" numFmtId="13">
    <oc r="V28">
      <f>V16/V12</f>
    </oc>
    <nc r="V28">
      <v>0.15</v>
    </nc>
  </rcc>
  <rcc rId="4173" sId="3" numFmtId="13">
    <oc r="U29">
      <f>U20/U12</f>
    </oc>
    <nc r="U29">
      <v>0.39</v>
    </nc>
  </rcc>
  <rcc rId="4174" sId="3" numFmtId="13">
    <oc r="V29">
      <f>V20/V12</f>
    </oc>
    <nc r="V29">
      <v>0.1</v>
    </nc>
  </rcc>
  <rcc rId="4175" sId="3" numFmtId="13">
    <oc r="U30">
      <f>U24/U12</f>
    </oc>
    <nc r="U30">
      <v>0.37</v>
    </nc>
  </rcc>
  <rcc rId="4176" sId="3" numFmtId="13">
    <oc r="V30">
      <f>V24/V12</f>
    </oc>
    <nc r="V30">
      <v>0.06</v>
    </nc>
  </rcc>
  <rfmt sheetId="3" sqref="U31" start="0" length="0">
    <dxf>
      <border outline="0">
        <left style="medium">
          <color indexed="64"/>
        </left>
      </border>
    </dxf>
  </rfmt>
  <rcc rId="4177" sId="3" numFmtId="34">
    <oc r="U32">
      <f>'HT Express BSC '!U5</f>
    </oc>
    <nc r="U32">
      <v>29</v>
    </nc>
  </rcc>
  <rcc rId="4178" sId="3" numFmtId="34">
    <oc r="V32">
      <f>'HT Express BSC '!V5</f>
    </oc>
    <nc r="V32">
      <v>21</v>
    </nc>
  </rcc>
  <rcc rId="4179" sId="3" numFmtId="34">
    <oc r="U33">
      <f>'HT Express BSC '!U6</f>
    </oc>
    <nc r="U33">
      <v>30</v>
    </nc>
  </rcc>
  <rcc rId="4180" sId="3" numFmtId="34">
    <oc r="V33">
      <f>'HT Express BSC '!V6</f>
    </oc>
    <nc r="V33">
      <v>20</v>
    </nc>
  </rcc>
  <rcc rId="4181" sId="3">
    <oc r="U34">
      <f>U32/U33</f>
    </oc>
    <nc r="U34">
      <f>U32/U33</f>
    </nc>
  </rcc>
  <rcc rId="4182" sId="3" numFmtId="34">
    <oc r="U36">
      <f>'HT Express BSC '!U9</f>
    </oc>
    <nc r="U36">
      <v>12</v>
    </nc>
  </rcc>
  <rcc rId="4183" sId="3" numFmtId="34">
    <oc r="V36">
      <f>'HT Express BSC '!V9</f>
    </oc>
    <nc r="V36">
      <v>12</v>
    </nc>
  </rcc>
  <rcc rId="4184" sId="3" numFmtId="34">
    <oc r="U37">
      <f>'HT Express BSC '!U10</f>
    </oc>
    <nc r="U37">
      <v>12</v>
    </nc>
  </rcc>
  <rcc rId="4185" sId="3">
    <oc r="V37">
      <f>'HT Express BSC '!V10</f>
    </oc>
    <nc r="V37">
      <f>'HT Express BSC '!V10</f>
    </nc>
  </rcc>
  <rcc rId="4186" sId="3">
    <oc r="U38">
      <f>U36/U37</f>
    </oc>
    <nc r="U38">
      <f>U36/U37</f>
    </nc>
  </rcc>
  <rcc rId="4187" sId="3" numFmtId="34">
    <oc r="U40">
      <f>'HT Express BSC '!U13</f>
    </oc>
    <nc r="U40">
      <v>7</v>
    </nc>
  </rcc>
  <rcc rId="4188" sId="3">
    <oc r="V40">
      <f>'HT Express BSC '!V13</f>
    </oc>
    <nc r="V40">
      <v>5</v>
    </nc>
  </rcc>
  <rcc rId="4189" sId="3" numFmtId="34">
    <oc r="U41">
      <f>'HT Express BSC '!U14</f>
    </oc>
    <nc r="U41">
      <v>7</v>
    </nc>
  </rcc>
  <rcc rId="4190" sId="3">
    <oc r="V41">
      <f>'HT Express BSC '!V14</f>
    </oc>
    <nc r="V41">
      <v>2</v>
    </nc>
  </rcc>
  <rcc rId="4191" sId="3">
    <oc r="U42">
      <f>U40/U41</f>
    </oc>
    <nc r="U42">
      <f>U40/U41</f>
    </nc>
  </rcc>
  <rcc rId="4192" sId="3" numFmtId="34">
    <oc r="U44">
      <f>'HT Express BSC '!U17</f>
    </oc>
    <nc r="U44">
      <v>6</v>
    </nc>
  </rcc>
  <rcc rId="4193" sId="3" numFmtId="34">
    <oc r="V44">
      <f>'HT Express BSC '!V17</f>
    </oc>
    <nc r="V44">
      <v>8</v>
    </nc>
  </rcc>
  <rcc rId="4194" sId="3" numFmtId="34">
    <oc r="U45">
      <f>'HT Express BSC '!U18</f>
    </oc>
    <nc r="U45">
      <v>9</v>
    </nc>
  </rcc>
  <rcc rId="4195" sId="3">
    <oc r="V45">
      <f>'HT Express BSC '!V18</f>
    </oc>
    <nc r="V45">
      <f>'HT Express BSC '!V18</f>
    </nc>
  </rcc>
  <rcc rId="4196" sId="3">
    <oc r="U46">
      <f>U44/U45</f>
    </oc>
    <nc r="U46">
      <f>U44/U45</f>
    </nc>
  </rcc>
  <rcc rId="4197" sId="3" numFmtId="34">
    <oc r="U48">
      <f>'HT Express BSC '!U21</f>
    </oc>
    <nc r="U48">
      <v>2</v>
    </nc>
  </rcc>
  <rcc rId="4198" sId="3">
    <nc r="V48" t="inlineStr">
      <is>
        <t>NA</t>
      </is>
    </nc>
  </rcc>
  <rcc rId="4199" sId="3" numFmtId="34">
    <oc r="U49">
      <f>'HT Express BSC '!U22</f>
    </oc>
    <nc r="U49">
      <v>2.5</v>
    </nc>
  </rcc>
  <rcc rId="4200" sId="3">
    <oc r="U50">
      <f>U48/U49</f>
    </oc>
    <nc r="U50">
      <f>U48/U49</f>
    </nc>
  </rcc>
  <rcc rId="4201" sId="3">
    <oc r="U52">
      <f>U36/U32</f>
    </oc>
    <nc r="U52">
      <f>U36/U32</f>
    </nc>
  </rcc>
  <rcc rId="4202" sId="3">
    <oc r="V52">
      <f>V36/V32</f>
    </oc>
    <nc r="V52">
      <f>V36/V32</f>
    </nc>
  </rcc>
  <rcc rId="4203" sId="3">
    <oc r="U53">
      <f>U40/U32</f>
    </oc>
    <nc r="U53">
      <f>U40/U32</f>
    </nc>
  </rcc>
  <rcc rId="4204" sId="3">
    <oc r="U54">
      <f>U44/U32</f>
    </oc>
    <nc r="U54">
      <f>U44/U32</f>
    </nc>
  </rcc>
  <rcc rId="4205" sId="3">
    <oc r="V54">
      <f>V44/V32</f>
    </oc>
    <nc r="V54">
      <f>V44/V32</f>
    </nc>
  </rcc>
  <rcc rId="4206" sId="3">
    <oc r="U55">
      <f>U48/U32</f>
    </oc>
    <nc r="U55">
      <f>U48/U32</f>
    </nc>
  </rcc>
  <rfmt sheetId="3" sqref="V55" start="0" length="0">
    <dxf>
      <border outline="0">
        <left style="thin">
          <color indexed="64"/>
        </left>
      </border>
    </dxf>
  </rfmt>
  <rfmt sheetId="3" sqref="U56" start="0" length="0">
    <dxf>
      <border outline="0">
        <left style="medium">
          <color indexed="64"/>
        </left>
      </border>
    </dxf>
  </rfmt>
  <rcc rId="4207" sId="3" numFmtId="34">
    <oc r="U57">
      <f>'HT Fine Dining'!U5</f>
    </oc>
    <nc r="U57">
      <v>21</v>
    </nc>
  </rcc>
  <rcc rId="4208" sId="3" numFmtId="34">
    <oc r="V57">
      <f>'HT Fine Dining'!V5</f>
    </oc>
    <nc r="V57">
      <v>25</v>
    </nc>
  </rcc>
  <rcc rId="4209" sId="3" numFmtId="34">
    <oc r="U58">
      <f>'HT Fine Dining'!U6</f>
    </oc>
    <nc r="U58">
      <v>25</v>
    </nc>
  </rcc>
  <rcc rId="4210" sId="3" numFmtId="34">
    <oc r="V58">
      <f>'HT Fine Dining'!V6</f>
    </oc>
    <nc r="V58">
      <v>20</v>
    </nc>
  </rcc>
  <rcc rId="4211" sId="3">
    <oc r="U59">
      <f>U57/U58</f>
    </oc>
    <nc r="U59">
      <f>U57/U58</f>
    </nc>
  </rcc>
  <rcc rId="4212" sId="3">
    <oc r="V59">
      <f>V57/V58</f>
    </oc>
    <nc r="V59">
      <f>V57/V58</f>
    </nc>
  </rcc>
  <rfmt sheetId="3" sqref="U60" start="0" length="0">
    <dxf>
      <border outline="0">
        <left style="medium">
          <color indexed="64"/>
        </left>
      </border>
    </dxf>
  </rfmt>
  <rcc rId="4213" sId="3" odxf="1" dxf="1">
    <oc r="U61">
      <f>'H:\Users\gowrir\Desktop\[2. TSF Prasadam BSCGaneshe_23-8-14.xlsx]HT Stores BSC'!U25</f>
    </oc>
    <nc r="U61"/>
    <odxf>
      <numFmt numFmtId="14" formatCode="0.00%"/>
    </odxf>
    <ndxf>
      <numFmt numFmtId="0" formatCode="General"/>
    </ndxf>
  </rcc>
  <rcc rId="4214" sId="3" odxf="1" dxf="1">
    <oc r="U62">
      <f>'H:\Users\gowrir\Desktop\[2. TSF Prasadam BSCGaneshe_23-8-14.xlsx]HT Stores BSC'!U26</f>
    </oc>
    <nc r="U62"/>
    <odxf>
      <numFmt numFmtId="14" formatCode="0.00%"/>
    </odxf>
    <ndxf>
      <numFmt numFmtId="0" formatCode="General"/>
    </ndxf>
  </rcc>
  <rcc rId="4215" sId="3" odxf="1" dxf="1">
    <oc r="U63">
      <f>'H:\Users\gowrir\Desktop\[2. TSF Prasadam BSCGaneshe_23-8-14.xlsx]HT Stores BSC'!U27</f>
    </oc>
    <nc r="U63"/>
    <odxf>
      <numFmt numFmtId="14" formatCode="0.00%"/>
    </odxf>
    <ndxf>
      <numFmt numFmtId="0" formatCode="General"/>
    </ndxf>
  </rcc>
  <rcc rId="4216" sId="3" odxf="1" dxf="1">
    <oc r="U64">
      <f>'H:\Users\gowrir\Desktop\[2. TSF Prasadam BSCGaneshe_23-8-14.xlsx]HT Stores BSC'!U28</f>
    </oc>
    <nc r="U64"/>
    <odxf>
      <numFmt numFmtId="14" formatCode="0.00%"/>
    </odxf>
    <ndxf>
      <numFmt numFmtId="0" formatCode="General"/>
    </ndxf>
  </rcc>
  <rcc rId="4217" sId="3" odxf="1" dxf="1">
    <oc r="U65">
      <f>'H:\Users\gowrir\Desktop\[2. TSF Prasadam BSCGaneshe_23-8-14.xlsx]HT Stores BSC'!U29</f>
    </oc>
    <nc r="U65"/>
    <odxf>
      <numFmt numFmtId="14" formatCode="0.00%"/>
    </odxf>
    <ndxf>
      <numFmt numFmtId="0" formatCode="General"/>
    </ndxf>
  </rcc>
  <rcc rId="4218" sId="3" odxf="1" dxf="1">
    <oc r="U66">
      <f>'H:\Users\gowrir\Desktop\[2. TSF Prasadam BSCGaneshe_23-8-14.xlsx]HT Stores BSC'!U30</f>
    </oc>
    <nc r="U66"/>
    <odxf>
      <numFmt numFmtId="14" formatCode="0.00%"/>
    </odxf>
    <ndxf>
      <numFmt numFmtId="0" formatCode="General"/>
    </ndxf>
  </rcc>
  <rcc rId="4219" sId="3" odxf="1" dxf="1">
    <oc r="U67">
      <f>'H:\Users\gowrir\Desktop\[2. TSF Prasadam BSCGaneshe_23-8-14.xlsx]HT Stores BSC'!U31</f>
    </oc>
    <nc r="U67"/>
    <odxf>
      <numFmt numFmtId="14" formatCode="0.00%"/>
    </odxf>
    <ndxf>
      <numFmt numFmtId="0" formatCode="General"/>
    </ndxf>
  </rcc>
  <rcc rId="4220" sId="3" odxf="1" dxf="1">
    <oc r="U68">
      <f>'H:\Users\gowrir\Desktop\[2. TSF Prasadam BSCGaneshe_23-8-14.xlsx]HT Stores BSC'!U32</f>
    </oc>
    <nc r="U68"/>
    <odxf>
      <numFmt numFmtId="14" formatCode="0.00%"/>
    </odxf>
    <ndxf>
      <numFmt numFmtId="0" formatCode="General"/>
    </ndxf>
  </rcc>
  <rcc rId="4221" sId="3" odxf="1" dxf="1">
    <oc r="U69">
      <f>'H:\Users\gowrir\Desktop\[2. TSF Prasadam BSCGaneshe_23-8-14.xlsx]HT Stores BSC'!U33</f>
    </oc>
    <nc r="U69"/>
    <odxf>
      <numFmt numFmtId="14" formatCode="0.00%"/>
    </odxf>
    <ndxf>
      <numFmt numFmtId="0" formatCode="General"/>
    </ndxf>
  </rcc>
  <rcc rId="4222" sId="3" odxf="1" dxf="1">
    <oc r="U70">
      <f>'H:\Users\gowrir\Desktop\[2. TSF Prasadam BSCGaneshe_23-8-14.xlsx]HT Stores BSC'!U34</f>
    </oc>
    <nc r="U70"/>
    <odxf>
      <numFmt numFmtId="14" formatCode="0.00%"/>
    </odxf>
    <ndxf>
      <numFmt numFmtId="0" formatCode="General"/>
    </ndxf>
  </rcc>
  <rcc rId="4223" sId="3" odxf="1" dxf="1">
    <oc r="U71">
      <f>'H:\Users\gowrir\Desktop\[2. TSF Prasadam BSCGaneshe_23-8-14.xlsx]HT Stores BSC'!U35</f>
    </oc>
    <nc r="U71"/>
    <odxf>
      <numFmt numFmtId="14" formatCode="0.00%"/>
    </odxf>
    <ndxf>
      <numFmt numFmtId="0" formatCode="General"/>
    </ndxf>
  </rcc>
  <rcc rId="4224" sId="3" odxf="1" dxf="1">
    <oc r="U72">
      <f>'H:\Users\gowrir\Desktop\[2. TSF Prasadam BSCGaneshe_23-8-14.xlsx]HT Stores BSC'!U36</f>
    </oc>
    <nc r="U72"/>
    <odxf>
      <numFmt numFmtId="14" formatCode="0.00%"/>
    </odxf>
    <ndxf>
      <numFmt numFmtId="0" formatCode="General"/>
    </ndxf>
  </rcc>
  <rcc rId="4225" sId="3" odxf="1" dxf="1">
    <oc r="U73">
      <v>0</v>
    </oc>
    <nc r="U73"/>
    <odxf>
      <numFmt numFmtId="14" formatCode="0.00%"/>
    </odxf>
    <ndxf>
      <numFmt numFmtId="0" formatCode="General"/>
    </ndxf>
  </rcc>
  <rfmt sheetId="3" sqref="U74" start="0" length="0">
    <dxf>
      <border outline="0">
        <left style="medium">
          <color indexed="64"/>
        </left>
      </border>
    </dxf>
  </rfmt>
  <rfmt sheetId="3" sqref="V74" start="0" length="0">
    <dxf/>
  </rfmt>
  <rcc rId="4226" sId="3" odxf="1" s="1" dxf="1" numFmtId="34">
    <oc r="U75">
      <v>275461</v>
    </oc>
    <nc r="U75">
      <v>316042.09999999998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227" sId="3">
    <oc r="V75">
      <v>256435</v>
    </oc>
    <nc r="V75">
      <v>318851</v>
    </nc>
  </rcc>
  <rcc rId="4228" sId="3">
    <oc r="U76">
      <f>U20/U75</f>
    </oc>
    <nc r="U76">
      <f>U20/U75</f>
    </nc>
  </rcc>
  <rcc rId="4229" sId="3">
    <oc r="V76">
      <f>V20/V75</f>
    </oc>
    <nc r="V76">
      <f>V20/V75</f>
    </nc>
  </rcc>
  <rcc rId="4230" sId="3">
    <oc r="U77">
      <f>U36/U75</f>
    </oc>
    <nc r="U77">
      <f>U36/U75</f>
    </nc>
  </rcc>
  <rcc rId="4231" sId="3">
    <oc r="V77">
      <f>V36/V75</f>
    </oc>
    <nc r="V77">
      <f>V36/V75</f>
    </nc>
  </rcc>
  <rfmt sheetId="3" sqref="U78" start="0" length="0">
    <dxf>
      <border outline="0">
        <left style="medium">
          <color indexed="64"/>
        </left>
      </border>
    </dxf>
  </rfmt>
  <rfmt sheetId="3" sqref="V78" start="0" length="0">
    <dxf/>
  </rfmt>
  <rcc rId="4232" sId="3" odxf="1" dxf="1">
    <oc r="U79">
      <f>U36/7335</f>
    </oc>
    <nc r="U79">
      <f>U36/7335</f>
    </nc>
    <odxf>
      <numFmt numFmtId="35" formatCode="_(* #,##0.00_);_(* \(#,##0.00\);_(* &quot;-&quot;??_);_(@_)"/>
      <border outline="0">
        <left style="thin">
          <color indexed="64"/>
        </left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233" sId="3" odxf="1" s="1" dxf="1">
    <nc r="V79">
      <f>V36/7335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234" sId="3" odxf="1" dxf="1">
    <oc r="U80">
      <f>U20/2799.94</f>
    </oc>
    <nc r="U80">
      <f>U20/2799.94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235" sId="3" odxf="1" s="1" dxf="1">
    <nc r="V80">
      <f>V20/2799.94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fmt sheetId="3" s="1" sqref="U81" start="0" length="0">
    <dxf>
      <numFmt numFmtId="165" formatCode="_(* #,##0_);_(* \(#,##0\);_(* &quot;-&quot;??_);_(@_)"/>
      <border outline="0">
        <left style="medium">
          <color indexed="64"/>
        </left>
      </border>
    </dxf>
  </rfmt>
  <rfmt sheetId="3" s="1" sqref="V81" start="0" length="0">
    <dxf>
      <numFmt numFmtId="165" formatCode="_(* #,##0_);_(* \(#,##0\);_(* &quot;-&quot;??_);_(@_)"/>
    </dxf>
  </rfmt>
  <rfmt sheetId="3" sqref="U82" start="0" length="0">
    <dxf>
      <border outline="0">
        <left style="medium">
          <color indexed="64"/>
        </left>
      </border>
    </dxf>
  </rfmt>
  <rfmt sheetId="3" sqref="V82" start="0" length="0">
    <dxf/>
  </rfmt>
  <rfmt sheetId="3" sqref="U83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</border>
    </dxf>
  </rfmt>
  <rcc rId="4236" sId="3" numFmtId="34">
    <oc r="U84">
      <f>'HT Express BSC '!U53+'HT Stores BSC'!U45+'HT Fine Dining'!U23</f>
    </oc>
    <nc r="U84">
      <v>0.1</v>
    </nc>
  </rcc>
  <rcc rId="4237" sId="3" odxf="1" s="1" dxf="1" numFmtId="34">
    <oc r="V84">
      <v>266156</v>
    </oc>
    <nc r="V84">
      <f>'HT Express BSC '!V53+'HT Stores BSC'!V45+'HT Fine Dining'!V23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238" sId="3">
    <oc r="U85">
      <f>U4-U84</f>
    </oc>
    <nc r="U85">
      <f>U4-U84</f>
    </nc>
  </rcc>
  <rcc rId="4239" sId="3" odxf="1" s="1" dxf="1">
    <oc r="V85">
      <f>V4-V84</f>
    </oc>
    <nc r="V85"/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" formatCode="0"/>
      <border outline="0">
        <left style="thin">
          <color indexed="64"/>
        </left>
      </border>
    </ndxf>
  </rcc>
  <rfmt sheetId="3" sqref="U86" start="0" length="0">
    <dxf>
      <border outline="0">
        <left style="medium">
          <color indexed="64"/>
        </left>
        <top/>
      </border>
    </dxf>
  </rfmt>
  <rfmt sheetId="3" sqref="V86" start="0" length="0">
    <dxf>
      <border outline="0">
        <top/>
      </border>
    </dxf>
  </rfmt>
  <rcc rId="4240" sId="3" odxf="1" s="1" dxf="1" numFmtId="34">
    <oc r="U87">
      <f>'HT Express BSC '!U56+'HT Stores BSC'!U48+'HT Fine Dining'!U26</f>
    </oc>
    <nc r="U87">
      <v>3.5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241" sId="3" odxf="1" dxf="1">
    <oc r="V87">
      <f>3887408</f>
    </oc>
    <nc r="V87"/>
    <odxf>
      <numFmt numFmtId="0" formatCode="General"/>
    </odxf>
    <ndxf>
      <numFmt numFmtId="1" formatCode="0"/>
    </ndxf>
  </rcc>
  <rcc rId="4242" sId="3" odxf="1" s="1" dxf="1" numFmtId="34">
    <oc r="U88">
      <f>'HT Express BSC '!U57+'HT Stores BSC'!U49+'HT Fine Dining'!U27</f>
    </oc>
    <nc r="U88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243" sId="3" odxf="1" dxf="1" numFmtId="4">
    <oc r="V88">
      <v>472770</v>
    </oc>
    <nc r="V88"/>
    <odxf>
      <numFmt numFmtId="0" formatCode="General"/>
    </odxf>
    <ndxf>
      <numFmt numFmtId="1" formatCode="0"/>
    </ndxf>
  </rcc>
  <rcc rId="4244" sId="3" odxf="1" s="1" dxf="1" numFmtId="34">
    <oc r="U89">
      <f>'HT Express BSC '!U58+'HT Stores BSC'!U50+'HT Fine Dining'!U28</f>
    </oc>
    <nc r="U89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245" sId="3" odxf="1" dxf="1">
    <nc r="V89">
      <f>(U87+U88+U89)/U4</f>
    </nc>
    <odxf>
      <numFmt numFmtId="165" formatCode="_(* #,##0_);_(* \(#,##0\);_(* &quot;-&quot;??_);_(@_)"/>
    </odxf>
    <ndxf>
      <numFmt numFmtId="13" formatCode="0%"/>
    </ndxf>
  </rcc>
  <rcc rId="4246" sId="3">
    <oc r="U90">
      <f>U85-U87-U88-U89</f>
    </oc>
    <nc r="U90">
      <f>U85-U87-U88-U89</f>
    </nc>
  </rcc>
  <rcc rId="4247" sId="3" odxf="1" s="1" dxf="1">
    <oc r="V90">
      <f>V85-V87-V88-V89</f>
    </oc>
    <nc r="V90"/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" formatCode="0"/>
      <border outline="0">
        <left style="thin">
          <color indexed="64"/>
        </left>
      </border>
    </ndxf>
  </rcc>
  <rfmt sheetId="3" sqref="U91" start="0" length="0">
    <dxf>
      <border outline="0">
        <left style="medium">
          <color indexed="64"/>
        </left>
        <top/>
      </border>
    </dxf>
  </rfmt>
  <rfmt sheetId="3" sqref="V91" start="0" length="0">
    <dxf>
      <border outline="0">
        <top/>
      </border>
    </dxf>
  </rfmt>
  <rcc rId="4248" sId="3" odxf="1" s="1" dxf="1" numFmtId="34">
    <oc r="U92">
      <f>'HT Express BSC '!U61+'HT Stores BSC'!U53+'HT Fine Dining'!U31+1487319-1391</f>
    </oc>
    <nc r="U92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249" sId="3" odxf="1" dxf="1" numFmtId="4">
    <oc r="V92">
      <v>3440705</v>
    </oc>
    <nc r="V92"/>
    <odxf>
      <numFmt numFmtId="165" formatCode="_(* #,##0_);_(* \(#,##0\);_(* &quot;-&quot;??_);_(@_)"/>
    </odxf>
    <ndxf>
      <numFmt numFmtId="1" formatCode="0"/>
    </ndxf>
  </rcc>
  <rcc rId="4250" sId="3" odxf="1" s="1" dxf="1" numFmtId="34">
    <oc r="U93">
      <f>'HT Express BSC '!U62+'HT Stores BSC'!U54+'HT Fine Dining'!U32+69747</f>
    </oc>
    <nc r="U93">
      <v>0.7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251" sId="3" odxf="1" dxf="1" numFmtId="4">
    <oc r="V93">
      <v>367367</v>
    </oc>
    <nc r="V93"/>
    <odxf>
      <numFmt numFmtId="165" formatCode="_(* #,##0_);_(* \(#,##0\);_(* &quot;-&quot;??_);_(@_)"/>
    </odxf>
    <ndxf>
      <numFmt numFmtId="1" formatCode="0"/>
    </ndxf>
  </rcc>
  <rcc rId="4252" sId="3" odxf="1" s="1" dxf="1" numFmtId="34">
    <oc r="U94">
      <f>'HT Express BSC '!U63+'HT Stores BSC'!U55+'HT Fine Dining'!U33+265261</f>
    </oc>
    <nc r="U94">
      <v>0.75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253" sId="3" odxf="1" dxf="1" numFmtId="4">
    <oc r="V94">
      <v>482184</v>
    </oc>
    <nc r="V94"/>
    <odxf>
      <numFmt numFmtId="165" formatCode="_(* #,##0_);_(* \(#,##0\);_(* &quot;-&quot;??_);_(@_)"/>
    </odxf>
    <ndxf>
      <numFmt numFmtId="1" formatCode="0"/>
    </ndxf>
  </rcc>
  <rcc rId="4254" sId="3" odxf="1" s="1" dxf="1" numFmtId="34">
    <oc r="U95">
      <f>'HT Express BSC '!U64+'HT Stores BSC'!U56+'HT Fine Dining'!U34+199514</f>
    </oc>
    <nc r="U95">
      <v>0.6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255" sId="3" odxf="1" dxf="1" numFmtId="4">
    <oc r="V95">
      <v>942912</v>
    </oc>
    <nc r="V95"/>
    <odxf>
      <numFmt numFmtId="165" formatCode="_(* #,##0_);_(* \(#,##0\);_(* &quot;-&quot;??_);_(@_)"/>
    </odxf>
    <ndxf>
      <numFmt numFmtId="1" formatCode="0"/>
    </ndxf>
  </rcc>
  <rcc rId="4256" sId="3" odxf="1" s="1" dxf="1" numFmtId="34">
    <oc r="U96">
      <v>109172</v>
    </oc>
    <nc r="U96">
      <v>0.2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257" sId="3" odxf="1" dxf="1" numFmtId="4">
    <oc r="V96">
      <v>4000</v>
    </oc>
    <nc r="V96"/>
    <odxf>
      <numFmt numFmtId="165" formatCode="_(* #,##0_);_(* \(#,##0\);_(* &quot;-&quot;??_);_(@_)"/>
    </odxf>
    <ndxf>
      <numFmt numFmtId="1" formatCode="0"/>
    </ndxf>
  </rcc>
  <rcc rId="4258" sId="3" odxf="1" s="1" dxf="1" numFmtId="34">
    <oc r="U97">
      <f>'HT Express BSC '!U66+'HT Stores BSC'!U58+'HT Fine Dining'!U36</f>
    </oc>
    <nc r="U97">
      <v>0.3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259" sId="3" odxf="1" dxf="1" numFmtId="4">
    <oc r="V97">
      <v>0</v>
    </oc>
    <nc r="V97"/>
    <odxf>
      <numFmt numFmtId="165" formatCode="_(* #,##0_);_(* \(#,##0\);_(* &quot;-&quot;??_);_(@_)"/>
    </odxf>
    <ndxf>
      <numFmt numFmtId="1" formatCode="0"/>
    </ndxf>
  </rcc>
  <rcc rId="4260" sId="3" odxf="1" s="1" dxf="1">
    <oc r="U98">
      <f>'HT Express BSC '!U67+'HT Stores BSC'!U59+'HT Fine Dining'!U37</f>
    </oc>
    <nc r="U98">
      <f>-2128261*0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bottom" wrapText="0" readingOrder="0"/>
      <border outline="0">
        <left style="medium">
          <color indexed="64"/>
        </left>
      </border>
    </ndxf>
  </rcc>
  <rcc rId="4261" sId="3" odxf="1" dxf="1" numFmtId="4">
    <oc r="V98">
      <v>0</v>
    </oc>
    <nc r="V98"/>
    <odxf>
      <numFmt numFmtId="165" formatCode="_(* #,##0_);_(* \(#,##0\);_(* &quot;-&quot;??_);_(@_)"/>
      <alignment vertical="center" wrapText="1" readingOrder="0"/>
    </odxf>
    <ndxf>
      <numFmt numFmtId="1" formatCode="0"/>
      <alignment vertical="bottom" wrapText="0" readingOrder="0"/>
    </ndxf>
  </rcc>
  <rfmt sheetId="3" s="1" sqref="U99" start="0" length="0">
    <dxf>
      <numFmt numFmtId="165" formatCode="_(* #,##0_);_(* \(#,##0\);_(* &quot;-&quot;??_);_(@_)"/>
      <border outline="0">
        <left style="medium">
          <color indexed="64"/>
        </left>
        <top/>
      </border>
    </dxf>
  </rfmt>
  <rfmt sheetId="3" sqref="V99" start="0" length="0">
    <dxf>
      <border outline="0">
        <top/>
      </border>
    </dxf>
  </rfmt>
  <rcc rId="4262" sId="3">
    <oc r="U100">
      <f>U90-SUM(U92:U98)</f>
    </oc>
    <nc r="U100">
      <f>U90-SUM(U92:U98)</f>
    </nc>
  </rcc>
  <rcc rId="4263" sId="3" odxf="1" s="1" dxf="1">
    <oc r="V100">
      <f>V90-SUM(V92:V98)</f>
    </oc>
    <nc r="V100"/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" formatCode="0"/>
      <border outline="0">
        <left style="thin">
          <color indexed="64"/>
        </left>
      </border>
    </ndxf>
  </rcc>
  <rfmt sheetId="3" sqref="U101" start="0" length="0">
    <dxf>
      <border outline="0">
        <left style="medium">
          <color indexed="64"/>
        </left>
      </border>
    </dxf>
  </rfmt>
  <rcc rId="4264" sId="3">
    <oc r="U102">
      <f>U100/U85</f>
    </oc>
    <nc r="U102">
      <f>U100/U85</f>
    </nc>
  </rcc>
  <rcc rId="4265" sId="3" odxf="1" dxf="1">
    <oc r="V102">
      <f>V100/V85</f>
    </oc>
    <nc r="V102"/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fmt sheetId="3" sqref="U103" start="0" length="0">
    <dxf>
      <border outline="0">
        <left style="medium">
          <color indexed="64"/>
        </left>
      </border>
    </dxf>
  </rfmt>
  <rfmt sheetId="3" sqref="V103" start="0" length="0">
    <dxf/>
  </rfmt>
  <rcc rId="4266" sId="3" odxf="1" s="1" dxf="1" numFmtId="13">
    <oc r="U104">
      <v>-0.04</v>
    </oc>
    <nc r="U104">
      <v>-4.7374607982104272E-2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fmt sheetId="3" sqref="V104" start="0" length="0">
    <dxf>
      <numFmt numFmtId="13" formatCode="0%"/>
    </dxf>
  </rfmt>
  <rcc rId="4267" sId="3" odxf="1" s="1" dxf="1" numFmtId="13">
    <oc r="U105">
      <v>0.17</v>
    </oc>
    <nc r="U105">
      <v>0.3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fmt sheetId="3" sqref="V105" start="0" length="0">
    <dxf>
      <numFmt numFmtId="13" formatCode="0%"/>
    </dxf>
  </rfmt>
  <rcc rId="4268" sId="3" odxf="1" s="1" dxf="1" numFmtId="13">
    <oc r="U106">
      <v>0.09</v>
    </oc>
    <nc r="U106">
      <v>0.25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fmt sheetId="3" sqref="V106" start="0" length="0">
    <dxf>
      <numFmt numFmtId="13" formatCode="0%"/>
    </dxf>
  </rfmt>
  <rfmt sheetId="3" sqref="U107" start="0" length="0">
    <dxf>
      <border outline="0">
        <left style="medium">
          <color indexed="64"/>
        </left>
      </border>
    </dxf>
  </rfmt>
  <rfmt sheetId="3" sqref="V107" start="0" length="0">
    <dxf/>
  </rfmt>
  <rcc rId="4269" sId="3" odxf="1" dxf="1" numFmtId="13">
    <oc r="U108">
      <v>-0.16</v>
    </oc>
    <nc r="U108">
      <f>'HT Express BSC '!U72</f>
    </nc>
    <odxf/>
    <ndxf/>
  </rcc>
  <rfmt sheetId="3" s="1" sqref="V108" start="0" length="0">
    <dxf>
      <numFmt numFmtId="13" formatCode="0%"/>
    </dxf>
  </rfmt>
  <rcc rId="4270" sId="3" odxf="1" dxf="1" numFmtId="13">
    <oc r="U109">
      <v>0.13</v>
    </oc>
    <nc r="U109">
      <f>'HT Express BSC '!U73</f>
    </nc>
    <odxf/>
    <ndxf/>
  </rcc>
  <rfmt sheetId="3" s="1" sqref="V109" start="0" length="0">
    <dxf>
      <numFmt numFmtId="13" formatCode="0%"/>
    </dxf>
  </rfmt>
  <rcc rId="4271" sId="3" odxf="1" dxf="1" numFmtId="13">
    <oc r="U110">
      <v>0.1</v>
    </oc>
    <nc r="U110">
      <f>'HT Express BSC '!U74</f>
    </nc>
    <odxf/>
    <ndxf/>
  </rcc>
  <rfmt sheetId="3" s="1" sqref="V110" start="0" length="0">
    <dxf>
      <numFmt numFmtId="13" formatCode="0%"/>
    </dxf>
  </rfmt>
  <rcc rId="4272" sId="3" odxf="1" dxf="1" numFmtId="13">
    <oc r="U111">
      <v>0.05</v>
    </oc>
    <nc r="U111">
      <f>'HT Express BSC '!U75</f>
    </nc>
    <odxf/>
    <ndxf/>
  </rcc>
  <rfmt sheetId="3" s="1" sqref="V111" start="0" length="0">
    <dxf>
      <numFmt numFmtId="13" formatCode="0%"/>
    </dxf>
  </rfmt>
  <rfmt sheetId="3" sqref="U112" start="0" length="0">
    <dxf>
      <border outline="0">
        <left style="medium">
          <color indexed="64"/>
        </left>
        <top/>
      </border>
    </dxf>
  </rfmt>
  <rfmt sheetId="3" sqref="V112" start="0" length="0">
    <dxf>
      <border outline="0">
        <top/>
      </border>
    </dxf>
  </rfmt>
  <rcc rId="4273" sId="3" odxf="1" dxf="1" numFmtId="13">
    <oc r="U113">
      <v>0.14000000000000001</v>
    </oc>
    <nc r="U113">
      <f>'HT Stores BSC'!U65</f>
    </nc>
    <odxf/>
    <ndxf/>
  </rcc>
  <rfmt sheetId="3" s="1" sqref="V113" start="0" length="0">
    <dxf>
      <numFmt numFmtId="13" formatCode="0%"/>
    </dxf>
  </rfmt>
  <rcc rId="4274" sId="3" odxf="1" dxf="1" numFmtId="13">
    <oc r="U114">
      <v>0.52</v>
    </oc>
    <nc r="U114">
      <f>'HT Stores BSC'!U66</f>
    </nc>
    <odxf/>
    <ndxf/>
  </rcc>
  <rfmt sheetId="3" s="1" sqref="V114" start="0" length="0">
    <dxf>
      <numFmt numFmtId="13" formatCode="0%"/>
    </dxf>
  </rfmt>
  <rcc rId="4275" sId="3" odxf="1" dxf="1" numFmtId="13">
    <oc r="U115">
      <v>0.28000000000000003</v>
    </oc>
    <nc r="U115">
      <f>'HT Stores BSC'!U67</f>
    </nc>
    <odxf/>
    <ndxf/>
  </rcc>
  <rfmt sheetId="3" s="1" sqref="V115" start="0" length="0">
    <dxf>
      <numFmt numFmtId="13" formatCode="0%"/>
    </dxf>
  </rfmt>
  <rfmt sheetId="3" sqref="U116" start="0" length="0">
    <dxf>
      <border outline="0">
        <left style="medium">
          <color indexed="64"/>
        </left>
      </border>
    </dxf>
  </rfmt>
  <rfmt sheetId="3" sqref="V116" start="0" length="0">
    <dxf/>
  </rfmt>
  <rcc rId="4276" sId="3">
    <oc r="U117">
      <f>'HT Express BSC '!U77</f>
    </oc>
    <nc r="U117">
      <f>'HT Express BSC '!U77</f>
    </nc>
  </rcc>
  <rfmt sheetId="3" sqref="V117" start="0" length="0">
    <dxf>
      <numFmt numFmtId="13" formatCode="0%"/>
    </dxf>
  </rfmt>
  <rcc rId="4277" sId="3">
    <oc r="U118">
      <f>'HT Stores BSC'!U69</f>
    </oc>
    <nc r="U118">
      <f>'HT Stores BSC'!U69</f>
    </nc>
  </rcc>
  <rfmt sheetId="3" sqref="V118" start="0" length="0">
    <dxf>
      <numFmt numFmtId="13" formatCode="0%"/>
    </dxf>
  </rfmt>
  <rcc rId="4278" sId="3">
    <oc r="U119">
      <f>'HT Fine Dining'!U42</f>
    </oc>
    <nc r="U119">
      <f>'HT Fine Dining'!U42</f>
    </nc>
  </rcc>
  <rfmt sheetId="3" s="1" sqref="V119" start="0" length="0">
    <dxf>
      <numFmt numFmtId="13" formatCode="0%"/>
    </dxf>
  </rfmt>
  <rfmt sheetId="3" sqref="U120" start="0" length="0">
    <dxf>
      <border outline="0">
        <left style="medium">
          <color indexed="64"/>
        </left>
      </border>
    </dxf>
  </rfmt>
  <rfmt sheetId="3" sqref="V120" start="0" length="0">
    <dxf/>
  </rfmt>
  <rcc rId="4279" sId="3">
    <oc r="U121">
      <v>90213</v>
    </oc>
    <nc r="U121"/>
  </rcc>
  <rcc rId="4280" sId="3">
    <oc r="U123" t="inlineStr">
      <is>
        <t>NA</t>
      </is>
    </oc>
    <nc r="U123"/>
  </rcc>
  <rcc rId="4281" sId="3">
    <oc r="U125">
      <v>8564</v>
    </oc>
    <nc r="U125"/>
  </rcc>
  <rcc rId="4282" sId="3">
    <oc r="U126" t="inlineStr">
      <is>
        <t>NA</t>
      </is>
    </oc>
    <nc r="U126"/>
  </rcc>
  <rcc rId="4283" sId="3">
    <oc r="U127" t="inlineStr">
      <is>
        <t>NA</t>
      </is>
    </oc>
    <nc r="U127"/>
  </rcc>
  <rcc rId="4284" sId="3">
    <oc r="U128" t="inlineStr">
      <is>
        <t>NA</t>
      </is>
    </oc>
    <nc r="U128"/>
  </rcc>
  <rcc rId="4285" sId="3">
    <oc r="U130">
      <v>26686</v>
    </oc>
    <nc r="U130"/>
  </rcc>
  <rfmt sheetId="3" sqref="U131" start="0" length="0">
    <dxf>
      <border outline="0">
        <left style="medium">
          <color indexed="64"/>
        </left>
      </border>
    </dxf>
  </rfmt>
  <rfmt sheetId="3" sqref="V131" start="0" length="0">
    <dxf/>
  </rfmt>
  <rcc rId="4286" sId="3" odxf="1" s="1" dxf="1" numFmtId="34">
    <oc r="U132">
      <v>4131153</v>
    </oc>
    <nc r="U132">
      <v>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287" sId="3" odxf="1" s="1" dxf="1" numFmtId="34">
    <nc r="V132">
      <v>8.5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288" sId="3">
    <oc r="U133">
      <f>U132/U85</f>
    </oc>
    <nc r="U133">
      <f>U132/U85</f>
    </nc>
  </rcc>
  <rfmt sheetId="3" s="1" sqref="V133" start="0" length="0">
    <dxf>
      <numFmt numFmtId="13" formatCode="0%"/>
    </dxf>
  </rfmt>
  <rcc rId="4289" sId="3" odxf="1" s="1" dxf="1" numFmtId="34">
    <oc r="U134">
      <v>3144967</v>
    </oc>
    <nc r="U134">
      <v>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290" sId="3" odxf="1" s="1" dxf="1" numFmtId="34">
    <nc r="V134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fmt sheetId="3" s="1" sqref="U135" start="0" length="0">
    <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dxf>
  </rfmt>
  <rfmt sheetId="3" s="1" sqref="U136" start="0" length="0">
    <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dxf>
  </rfmt>
  <rfmt sheetId="3" s="1" sqref="U137" start="0" length="0">
    <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dxf>
  </rfmt>
  <rfmt sheetId="3" sqref="U138" start="0" length="0">
    <dxf>
      <border outline="0">
        <left style="medium">
          <color indexed="64"/>
        </left>
      </border>
    </dxf>
  </rfmt>
  <rfmt sheetId="3" sqref="V138" start="0" length="0">
    <dxf/>
  </rfmt>
  <rcc rId="4291" sId="3" odxf="1" s="1" dxf="1" numFmtId="34">
    <oc r="U139">
      <v>769187</v>
    </oc>
    <nc r="U139">
      <v>8</v>
    </nc>
    <odxf>
      <numFmt numFmtId="0" formatCode="General"/>
    </odxf>
    <ndxf>
      <font>
        <sz val="9"/>
        <color theme="1"/>
        <name val="Calibri"/>
        <scheme val="minor"/>
      </font>
      <numFmt numFmtId="165" formatCode="_(* #,##0_);_(* \(#,##0\);_(* &quot;-&quot;??_);_(@_)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V139" start="0" length="0">
    <dxf>
      <numFmt numFmtId="13" formatCode="0%"/>
    </dxf>
  </rfmt>
  <rcc rId="4292" sId="3" odxf="1" s="1" dxf="1" numFmtId="34">
    <oc r="U140">
      <v>1787065</v>
    </oc>
    <nc r="U140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V140" start="0" length="0">
    <dxf>
      <numFmt numFmtId="13" formatCode="0%"/>
    </dxf>
  </rfmt>
  <rcc rId="4293" sId="3" odxf="1" s="1" dxf="1" numFmtId="34">
    <oc r="U141">
      <v>864352</v>
    </oc>
    <nc r="U141">
      <v>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V141" start="0" length="0">
    <dxf>
      <numFmt numFmtId="13" formatCode="0%"/>
    </dxf>
  </rfmt>
  <rfmt sheetId="3" sqref="U142" start="0" length="0">
    <dxf>
      <border outline="0">
        <left style="medium">
          <color indexed="64"/>
        </left>
      </border>
    </dxf>
  </rfmt>
  <rcc rId="4294" sId="3" odxf="1" dxf="1" numFmtId="34">
    <oc r="U143">
      <v>305</v>
    </oc>
    <nc r="U143">
      <f>SUM(U144:U147)</f>
    </nc>
    <odxf>
      <numFmt numFmtId="0" formatCode="General"/>
      <border outline="0">
        <left style="thin">
          <color indexed="64"/>
        </left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295" sId="3">
    <nc r="V143">
      <v>260</v>
    </nc>
  </rcc>
  <rcc rId="4296" sId="3" odxf="1" s="1" dxf="1" numFmtId="34">
    <oc r="U144">
      <v>272</v>
    </oc>
    <nc r="U144">
      <v>256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297" sId="3">
    <nc r="V144">
      <v>236</v>
    </nc>
  </rcc>
  <rcc rId="4298" sId="3" odxf="1" s="1" dxf="1" numFmtId="34">
    <oc r="U145">
      <v>33</v>
    </oc>
    <nc r="U145">
      <v>34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299" sId="3">
    <nc r="V145">
      <v>24</v>
    </nc>
  </rcc>
  <rcc rId="4300" sId="3" odxf="1" s="1" dxf="1" numFmtId="34">
    <nc r="U146">
      <v>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301" sId="3" odxf="1" s="1" dxf="1" numFmtId="34">
    <nc r="U147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U148" start="0" length="0">
    <dxf>
      <border outline="0">
        <left style="medium">
          <color indexed="64"/>
        </left>
      </border>
    </dxf>
  </rfmt>
  <rfmt sheetId="3" sqref="V148" start="0" length="0">
    <dxf/>
  </rfmt>
  <rcc rId="4302" sId="3" odxf="1" s="1" dxf="1" numFmtId="34">
    <oc r="U149">
      <v>1730</v>
    </oc>
    <nc r="U149">
      <v>3906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303" sId="3" odxf="1" s="1" dxf="1" numFmtId="34">
    <oc r="U150">
      <v>127398</v>
    </oc>
    <nc r="U150">
      <v>280438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horizontal="center" readingOrder="0"/>
      <border outline="0">
        <left style="medium">
          <color indexed="64"/>
        </left>
      </border>
      <protection locked="0"/>
    </ndxf>
  </rcc>
  <rcc rId="4304" sId="3" odxf="1" dxf="1">
    <oc r="U151" t="inlineStr">
      <is>
        <t xml:space="preserve">In Insert </t>
      </is>
    </oc>
    <nc r="U151" t="inlineStr">
      <is>
        <t>Updated in Comment</t>
      </is>
    </nc>
    <odxf>
      <alignment vertical="center" readingOrder="0"/>
      <border outline="0">
        <left style="thin">
          <color indexed="64"/>
        </left>
      </border>
    </odxf>
    <ndxf>
      <alignment vertical="top" readingOrder="0"/>
      <border outline="0">
        <left style="medium">
          <color indexed="64"/>
        </left>
      </border>
    </ndxf>
  </rcc>
  <rfmt sheetId="3" sqref="U152" start="0" length="0">
    <dxf>
      <border outline="0">
        <left style="medium">
          <color indexed="64"/>
        </left>
      </border>
    </dxf>
  </rfmt>
  <rfmt sheetId="3" sqref="V152" start="0" length="0">
    <dxf/>
  </rfmt>
  <rcc rId="4305" sId="3" odxf="1" dxf="1" numFmtId="14">
    <nc r="U153">
      <v>2.06E-2</v>
    </nc>
    <odxf>
      <numFmt numFmtId="0" formatCode="General"/>
      <border outline="0">
        <left style="thin">
          <color indexed="64"/>
        </left>
      </border>
    </odxf>
    <ndxf>
      <numFmt numFmtId="14" formatCode="0.00%"/>
      <border outline="0">
        <left style="medium">
          <color indexed="64"/>
        </left>
      </border>
    </ndxf>
  </rcc>
  <rfmt sheetId="3" sqref="U154" start="0" length="0">
    <dxf>
      <border outline="0">
        <left style="medium">
          <color indexed="64"/>
        </left>
      </border>
    </dxf>
  </rfmt>
  <rcc rId="4306" sId="3" odxf="1" s="1" dxf="1" numFmtId="34">
    <oc r="U155">
      <v>156</v>
    </oc>
    <nc r="U155">
      <v>240902</v>
    </nc>
    <odxf>
      <numFmt numFmtId="0" formatCode="General"/>
    </odxf>
    <ndxf>
      <font>
        <sz val="9"/>
        <color theme="1"/>
        <name val="Calibri"/>
        <scheme val="minor"/>
      </font>
      <numFmt numFmtId="165" formatCode="_(* #,##0_);_(* \(#,##0\);_(* &quot;-&quot;??_);_(@_)"/>
      <alignment horizontal="center" vertical="center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4307" sId="3" odxf="1" dxf="1">
    <oc r="U156">
      <v>575578</v>
    </oc>
    <nc r="U156">
      <v>68</v>
    </nc>
    <odxf>
      <alignment vertical="center" readingOrder="0"/>
      <border outline="0">
        <left style="thin">
          <color indexed="64"/>
        </left>
      </border>
    </odxf>
    <ndxf>
      <alignment vertical="top" readingOrder="0"/>
      <border outline="0">
        <left style="medium">
          <color indexed="64"/>
        </left>
      </border>
    </ndxf>
  </rcc>
  <rcc rId="4308" sId="3" odxf="1" dxf="1">
    <oc r="U157" t="inlineStr">
      <is>
        <t>Sheet Attached</t>
      </is>
    </oc>
    <nc r="U157"/>
    <odxf>
      <border outline="0">
        <left/>
      </border>
    </odxf>
    <ndxf>
      <border outline="0">
        <left style="medium">
          <color indexed="64"/>
        </left>
      </border>
    </ndxf>
  </rcc>
  <rcc rId="4309" sId="3" odxf="1" s="1" dxf="1" numFmtId="34">
    <nc r="U158">
      <v>124486.83333333333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horizontal="center" readingOrder="0"/>
      <border outline="0">
        <left style="medium">
          <color indexed="64"/>
        </left>
      </border>
      <protection locked="0"/>
    </ndxf>
  </rcc>
  <rcc rId="4310" sId="3" odxf="1" dxf="1">
    <nc r="U159" t="inlineStr">
      <is>
        <t>Pending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U160" start="0" length="0">
    <dxf>
      <border outline="0">
        <left style="medium">
          <color indexed="64"/>
        </left>
      </border>
    </dxf>
  </rfmt>
  <rfmt sheetId="3" sqref="V160" start="0" length="0">
    <dxf/>
  </rfmt>
  <rcc rId="4311" sId="3" odxf="1" dxf="1">
    <nc r="U161">
      <v>0</v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312" sId="3" odxf="1" dxf="1">
    <nc r="U162">
      <v>0</v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U163" start="0" length="0">
    <dxf>
      <border outline="0">
        <left style="medium">
          <color indexed="64"/>
        </left>
      </border>
    </dxf>
  </rfmt>
  <rfmt sheetId="3" sqref="V163" start="0" length="0">
    <dxf/>
  </rfmt>
  <rfmt sheetId="3" sqref="U164" start="0" length="0">
    <dxf>
      <border outline="0">
        <left style="medium">
          <color indexed="64"/>
        </left>
      </border>
    </dxf>
  </rfmt>
  <rfmt sheetId="3" sqref="U165" start="0" length="0">
    <dxf>
      <border outline="0">
        <left style="medium">
          <color indexed="64"/>
        </left>
      </border>
    </dxf>
  </rfmt>
  <rcc rId="4313" sId="3">
    <oc r="U166">
      <v>18</v>
    </oc>
    <nc r="U166" t="inlineStr">
      <is>
        <t>Pending</t>
      </is>
    </nc>
  </rcc>
  <rcc rId="4314" sId="3">
    <oc r="U167" t="inlineStr">
      <is>
        <t xml:space="preserve"> </t>
      </is>
    </oc>
    <nc r="U167" t="inlineStr">
      <is>
        <t>Pending</t>
      </is>
    </nc>
  </rcc>
  <rfmt sheetId="3" sqref="U168" start="0" length="0">
    <dxf>
      <border outline="0">
        <left style="medium">
          <color indexed="64"/>
        </left>
      </border>
    </dxf>
  </rfmt>
  <rfmt sheetId="3" sqref="V168" start="0" length="0">
    <dxf/>
  </rfmt>
  <rfmt sheetId="3" sqref="U169" start="0" length="0">
    <dxf>
      <border outline="0">
        <left style="medium">
          <color indexed="64"/>
        </left>
      </border>
    </dxf>
  </rfmt>
  <rfmt sheetId="3" sqref="U170" start="0" length="0">
    <dxf>
      <border outline="0">
        <left style="medium">
          <color indexed="64"/>
        </left>
      </border>
    </dxf>
  </rfmt>
  <rfmt sheetId="3" sqref="V170" start="0" length="0">
    <dxf/>
  </rfmt>
  <rcc rId="4315" sId="3" odxf="1" s="1" dxf="1" numFmtId="34">
    <oc r="U171">
      <v>2243902</v>
    </oc>
    <nc r="U171">
      <v>7950329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316" sId="3" odxf="1" s="1" dxf="1" numFmtId="34">
    <oc r="U172">
      <v>244694</v>
    </oc>
    <nc r="U172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317" sId="3" odxf="1" s="1" dxf="1" numFmtId="34">
    <oc r="U173">
      <v>889409</v>
    </oc>
    <nc r="U173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318" sId="3" odxf="1" s="1" dxf="1" numFmtId="34">
    <oc r="U174">
      <v>557331</v>
    </oc>
    <nc r="U174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fmt sheetId="3" sqref="U175" start="0" length="0">
    <dxf>
      <border outline="0">
        <left style="medium">
          <color indexed="64"/>
        </left>
      </border>
    </dxf>
  </rfmt>
  <rfmt sheetId="3" sqref="V175" start="0" length="0">
    <dxf/>
  </rfmt>
  <rfmt sheetId="3" sqref="U176" start="0" length="0">
    <dxf>
      <border outline="0">
        <left style="medium">
          <color indexed="64"/>
        </left>
      </border>
    </dxf>
  </rfmt>
  <rfmt sheetId="3" sqref="U177" start="0" length="0">
    <dxf>
      <border outline="0">
        <left style="medium">
          <color indexed="64"/>
        </left>
      </border>
    </dxf>
  </rfmt>
  <rcc rId="4319" sId="3" odxf="1" s="1" dxf="1" numFmtId="34">
    <oc r="U178">
      <v>5618187</v>
    </oc>
    <nc r="U178">
      <v>5286914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9"/>
        <color auto="1"/>
        <name val="Calibri"/>
        <scheme val="minor"/>
      </font>
      <numFmt numFmtId="165" formatCode="_(* #,##0_);_(* \(#,##0\);_(* &quot;-&quot;??_);_(@_)"/>
      <border outline="0">
        <left style="medium">
          <color indexed="64"/>
        </left>
      </border>
    </ndxf>
  </rcc>
  <rfmt sheetId="3" sqref="V178" start="0" length="0">
    <dxf>
      <font>
        <sz val="9"/>
        <color rgb="FFFF0000"/>
      </font>
    </dxf>
  </rfmt>
  <rcc rId="4320" sId="3">
    <oc r="U179">
      <f>R179</f>
    </oc>
    <nc r="U179">
      <f>U178/U4</f>
    </nc>
  </rcc>
  <rfmt sheetId="3" sqref="U180" start="0" length="0">
    <dxf>
      <border outline="0">
        <left style="medium">
          <color indexed="64"/>
        </left>
      </border>
    </dxf>
  </rfmt>
  <rfmt sheetId="3" sqref="V180" start="0" length="0">
    <dxf/>
  </rfmt>
  <rcc rId="4321" sId="3" odxf="1" dxf="1">
    <nc r="U181">
      <f>'HT Express BSC '!U125+'HT Stores BSC'!U118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322" sId="3" odxf="1" dxf="1">
    <nc r="U182">
      <f>'HT Express BSC '!U126+'HT Stores BSC'!U119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323" sId="3" odxf="1" dxf="1">
    <nc r="U183">
      <f>'HT Express BSC '!U127+'HT Stores BSC'!U120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U184" start="0" length="0">
    <dxf>
      <border outline="0">
        <left style="medium">
          <color indexed="64"/>
        </left>
      </border>
    </dxf>
  </rfmt>
  <rfmt sheetId="3" sqref="V184" start="0" length="0">
    <dxf/>
  </rfmt>
  <rfmt sheetId="3" sqref="U187" start="0" length="0">
    <dxf>
      <border outline="0">
        <left style="medium">
          <color indexed="64"/>
        </left>
      </border>
    </dxf>
  </rfmt>
  <rfmt sheetId="3" sqref="V187" start="0" length="0">
    <dxf/>
  </rfmt>
  <rfmt sheetId="3" sqref="U188" start="0" length="0">
    <dxf>
      <border outline="0">
        <left style="medium">
          <color indexed="64"/>
        </left>
        <right style="thin">
          <color indexed="64"/>
        </right>
      </border>
    </dxf>
  </rfmt>
  <rfmt sheetId="3" sqref="U189" start="0" length="0">
    <dxf>
      <border outline="0">
        <left style="medium">
          <color indexed="64"/>
        </left>
      </border>
    </dxf>
  </rfmt>
  <rcc rId="4324" sId="3">
    <oc r="U190" t="inlineStr">
      <is>
        <t>NA</t>
      </is>
    </oc>
    <nc r="U190" t="inlineStr">
      <is>
        <t>Pending</t>
      </is>
    </nc>
  </rcc>
  <rfmt sheetId="3" sqref="V190" start="0" length="0">
    <dxf>
      <font>
        <b/>
        <sz val="9"/>
      </font>
    </dxf>
  </rfmt>
  <rcc rId="4325" sId="3">
    <oc r="U191" t="inlineStr">
      <is>
        <t>NA</t>
      </is>
    </oc>
    <nc r="U191" t="inlineStr">
      <is>
        <t>Pending</t>
      </is>
    </nc>
  </rcc>
  <rfmt sheetId="3" sqref="V191" start="0" length="0">
    <dxf>
      <font>
        <b/>
        <sz val="9"/>
      </font>
    </dxf>
  </rfmt>
  <rcc rId="4326" sId="3">
    <oc r="U192" t="inlineStr">
      <is>
        <t>NA</t>
      </is>
    </oc>
    <nc r="U192" t="inlineStr">
      <is>
        <t>Pending</t>
      </is>
    </nc>
  </rcc>
  <rfmt sheetId="3" sqref="V192" start="0" length="0">
    <dxf>
      <font>
        <b/>
        <sz val="9"/>
      </font>
    </dxf>
  </rfmt>
  <rcc rId="4327" sId="3">
    <oc r="U193" t="inlineStr">
      <is>
        <t>NA</t>
      </is>
    </oc>
    <nc r="U193" t="inlineStr">
      <is>
        <t>Pending</t>
      </is>
    </nc>
  </rcc>
  <rfmt sheetId="3" sqref="V193" start="0" length="0">
    <dxf>
      <font>
        <b/>
        <sz val="9"/>
      </font>
    </dxf>
  </rfmt>
  <rcc rId="4328" sId="3">
    <oc r="U194" t="inlineStr">
      <is>
        <t>NA</t>
      </is>
    </oc>
    <nc r="U194" t="inlineStr">
      <is>
        <t>Pending</t>
      </is>
    </nc>
  </rcc>
  <rfmt sheetId="3" sqref="V194" start="0" length="0">
    <dxf>
      <font>
        <b/>
        <sz val="9"/>
      </font>
      <border outline="0">
        <bottom style="medium">
          <color indexed="64"/>
        </bottom>
      </border>
    </dxf>
  </rfmt>
  <rcmt sheetId="3" cell="V4" guid="{00000000-0000-0000-0000-000000000000}" action="delete" author="Gowri R"/>
  <rcmt sheetId="3" cell="U87" guid="{00000000-0000-0000-0000-000000000000}" action="delete" author="Gowri R"/>
  <rcmt sheetId="3" cell="U151" guid="{00000000-0000-0000-0000-000000000000}" action="delete" author="Ganesh Mavathur"/>
  <rcc rId="4329" sId="3" odxf="1" s="1" dxf="1" numFmtId="34">
    <oc r="X4">
      <f>'HT Express BSC '!X5+'HT Stores BSC'!X5+'HT Fine Dining'!X5</f>
    </oc>
    <nc r="X4">
      <v>20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330" sId="3" odxf="1" s="1" dxf="1" numFmtId="34">
    <oc r="Y4">
      <v>14491471</v>
    </oc>
    <nc r="Y4">
      <v>17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331" sId="3" odxf="1" s="1" dxf="1" numFmtId="34">
    <oc r="X5">
      <f>'HT Express BSC '!X6+'HT Stores BSC'!X6+'HT Fine Dining'!X6</f>
    </oc>
    <nc r="X5">
      <v>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332" sId="3" odxf="1" s="1" dxf="1" numFmtId="34">
    <nc r="Y5">
      <v>15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33" sId="3" odxf="1" dxf="1">
    <oc r="X6">
      <f>X4/X5</f>
    </oc>
    <nc r="X6">
      <f>X4/X5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="1" sqref="Y6" start="0" length="0">
    <dxf>
      <numFmt numFmtId="13" formatCode="0%"/>
    </dxf>
  </rfmt>
  <rfmt sheetId="3" sqref="X7" start="0" length="0">
    <dxf>
      <border outline="0">
        <left style="medium">
          <color indexed="64"/>
        </left>
      </border>
    </dxf>
  </rfmt>
  <rcc rId="4334" sId="3" numFmtId="13">
    <oc r="X8">
      <f>'HT Stores BSC'!X5/'TSF Prasadam Overall'!X4</f>
    </oc>
    <nc r="X8">
      <v>0.05</v>
    </nc>
  </rcc>
  <rcc rId="4335" sId="3" numFmtId="13">
    <oc r="Y8">
      <f>'HT Stores BSC'!Y5/'TSF Prasadam Overall'!Y4</f>
    </oc>
    <nc r="Y8">
      <v>0.05</v>
    </nc>
  </rcc>
  <rcc rId="4336" sId="3" numFmtId="13">
    <oc r="X9">
      <f>'HT Express BSC '!X5/'TSF Prasadam Overall'!X4</f>
    </oc>
    <nc r="X9">
      <v>0.05</v>
    </nc>
  </rcc>
  <rcc rId="4337" sId="3" numFmtId="13">
    <oc r="Y9">
      <f>'HT Express BSC '!Y5/'TSF Prasadam Overall'!Y4</f>
    </oc>
    <nc r="Y9">
      <v>0.05</v>
    </nc>
  </rcc>
  <rcc rId="4338" sId="3" numFmtId="13">
    <oc r="X10">
      <f>'HT Fine Dining'!X5/'TSF Prasadam Overall'!X4</f>
    </oc>
    <nc r="X10">
      <v>0.05</v>
    </nc>
  </rcc>
  <rcc rId="4339" sId="3" numFmtId="13">
    <oc r="Y10">
      <f>'HT Fine Dining'!Y5/'TSF Prasadam Overall'!Y4</f>
    </oc>
    <nc r="Y10">
      <v>0.05</v>
    </nc>
  </rcc>
  <rfmt sheetId="3" sqref="X11" start="0" length="0">
    <dxf>
      <border outline="0">
        <left style="medium">
          <color indexed="64"/>
        </left>
      </border>
    </dxf>
  </rfmt>
  <rcc rId="4340" sId="3" numFmtId="34">
    <oc r="X12">
      <f>X16+X20+X24</f>
    </oc>
    <nc r="X12">
      <v>15</v>
    </nc>
  </rcc>
  <rcc rId="4341" sId="3" odxf="1" dxf="1" numFmtId="34">
    <oc r="Y12">
      <f>Y16+Y20+Y24</f>
    </oc>
    <nc r="Y12">
      <v>15</v>
    </nc>
    <odxf>
      <font>
        <b/>
        <sz val="9"/>
      </font>
      <border outline="0">
        <left style="medium">
          <color indexed="64"/>
        </left>
      </border>
    </odxf>
    <ndxf>
      <font>
        <b val="0"/>
        <sz val="9"/>
      </font>
      <border outline="0">
        <left style="thin">
          <color indexed="64"/>
        </left>
      </border>
    </ndxf>
  </rcc>
  <rcc rId="4342" sId="3" odxf="1" s="1" dxf="1" numFmtId="34">
    <oc r="X13">
      <f>X17+X21+X25</f>
    </oc>
    <nc r="X13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343" sId="3" odxf="1" s="1" dxf="1" numFmtId="34">
    <nc r="Y13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44" sId="3">
    <oc r="X14">
      <f>X12/X13</f>
    </oc>
    <nc r="X14">
      <f>X12/X13</f>
    </nc>
  </rcc>
  <rfmt sheetId="3" sqref="Y14" start="0" length="0">
    <dxf>
      <numFmt numFmtId="13" formatCode="0%"/>
    </dxf>
  </rfmt>
  <rfmt sheetId="3" sqref="X15" start="0" length="0">
    <dxf>
      <border outline="0">
        <left style="medium">
          <color indexed="64"/>
        </left>
      </border>
    </dxf>
  </rfmt>
  <rcc rId="4345" sId="3" odxf="1" s="1" dxf="1">
    <oc r="X16">
      <f>'HT Stores BSC'!X9</f>
    </oc>
    <nc r="X16">
      <f>'HT Stores BSC'!X9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346" sId="3" odxf="1" s="1" dxf="1" numFmtId="34">
    <oc r="Y16">
      <v>0</v>
    </oc>
    <nc r="Y16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47" sId="3" odxf="1" s="1" dxf="1" numFmtId="34">
    <oc r="X17">
      <v>1000000</v>
    </oc>
    <nc r="X17">
      <f>'HT Stores BSC'!X10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348" sId="3" odxf="1" dxf="1">
    <oc r="X18">
      <f>X16/X17</f>
    </oc>
    <nc r="X18">
      <f>X16/X17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Y18" start="0" length="0">
    <dxf>
      <numFmt numFmtId="13" formatCode="0%"/>
    </dxf>
  </rfmt>
  <rfmt sheetId="3" sqref="X19" start="0" length="0">
    <dxf>
      <border outline="0">
        <left style="medium">
          <color indexed="64"/>
        </left>
      </border>
    </dxf>
  </rfmt>
  <rcc rId="4349" sId="3" odxf="1" s="1" dxf="1">
    <oc r="X20">
      <f>'HT Stores BSC'!X13</f>
    </oc>
    <nc r="X20">
      <f>'HT Stores BSC'!X13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350" sId="3" odxf="1" s="1" dxf="1">
    <oc r="Y20">
      <f>'HT Stores BSC'!Y13</f>
    </oc>
    <nc r="Y20">
      <f>'HT Stores BSC'!Y13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51" sId="3" odxf="1" s="1" dxf="1" numFmtId="34">
    <oc r="X21">
      <v>9400000</v>
    </oc>
    <nc r="X21">
      <f>'HT Stores BSC'!X14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fmt sheetId="3" s="1" sqref="Y21" start="0" length="0">
    <dxf>
      <numFmt numFmtId="165" formatCode="_(* #,##0_);_(* \(#,##0\);_(* &quot;-&quot;??_);_(@_)"/>
    </dxf>
  </rfmt>
  <rcc rId="4352" sId="3" odxf="1" dxf="1">
    <oc r="X22">
      <f>X20/X21</f>
    </oc>
    <nc r="X22">
      <f>'HT Stores BSC'!X15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Y22" start="0" length="0">
    <dxf>
      <numFmt numFmtId="13" formatCode="0%"/>
    </dxf>
  </rfmt>
  <rfmt sheetId="3" sqref="X23" start="0" length="0">
    <dxf>
      <border outline="0">
        <left style="medium">
          <color indexed="64"/>
        </left>
      </border>
    </dxf>
  </rfmt>
  <rcc rId="4353" sId="3" odxf="1" s="1" dxf="1">
    <oc r="X24">
      <f>'HT Stores BSC'!X17</f>
    </oc>
    <nc r="X24">
      <f>'HT Stores BSC'!X17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354" sId="3" odxf="1" s="1" dxf="1" numFmtId="34">
    <nc r="Y24">
      <v>1294428.1183333334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55" sId="3" numFmtId="34">
    <oc r="X25">
      <v>2000000</v>
    </oc>
    <nc r="X25">
      <f>'HT Stores BSC'!X18</f>
    </nc>
  </rcc>
  <rcc rId="4356" sId="3">
    <oc r="X26">
      <f>X24/X25</f>
    </oc>
    <nc r="X26">
      <f>X24/X25</f>
    </nc>
  </rcc>
  <rfmt sheetId="3" sqref="Y26" start="0" length="0">
    <dxf>
      <numFmt numFmtId="13" formatCode="0%"/>
    </dxf>
  </rfmt>
  <rfmt sheetId="3" sqref="X27" start="0" length="0">
    <dxf>
      <border outline="0">
        <left style="medium">
          <color indexed="64"/>
        </left>
      </border>
    </dxf>
  </rfmt>
  <rcc rId="4357" sId="3" numFmtId="13">
    <oc r="X28">
      <f>X16/X12</f>
    </oc>
    <nc r="X28">
      <v>0.45</v>
    </nc>
  </rcc>
  <rcc rId="4358" sId="3" numFmtId="13">
    <oc r="Y28">
      <f>Y16/Y12</f>
    </oc>
    <nc r="Y28">
      <v>0.15</v>
    </nc>
  </rcc>
  <rcc rId="4359" sId="3" numFmtId="13">
    <oc r="X29">
      <f>X20/X12</f>
    </oc>
    <nc r="X29">
      <v>0.39</v>
    </nc>
  </rcc>
  <rcc rId="4360" sId="3" numFmtId="13">
    <oc r="Y29">
      <f>Y20/Y12</f>
    </oc>
    <nc r="Y29">
      <v>0.1</v>
    </nc>
  </rcc>
  <rcc rId="4361" sId="3" numFmtId="13">
    <oc r="X30">
      <f>X24/X12</f>
    </oc>
    <nc r="X30">
      <v>0.37</v>
    </nc>
  </rcc>
  <rcc rId="4362" sId="3" numFmtId="13">
    <oc r="Y30">
      <f>Y24/Y12</f>
    </oc>
    <nc r="Y30">
      <v>0.06</v>
    </nc>
  </rcc>
  <rfmt sheetId="3" sqref="X31" start="0" length="0">
    <dxf>
      <border outline="0">
        <left style="medium">
          <color indexed="64"/>
        </left>
      </border>
    </dxf>
  </rfmt>
  <rcc rId="4363" sId="3" odxf="1" s="1" dxf="1" numFmtId="34">
    <oc r="X32">
      <f>'HT Express BSC '!X5</f>
    </oc>
    <nc r="X32">
      <v>29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364" sId="3" odxf="1" s="1" dxf="1" numFmtId="34">
    <nc r="Y32">
      <v>21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65" sId="3" odxf="1" s="1" dxf="1" numFmtId="34">
    <oc r="X33">
      <f>'HT Express BSC '!X6</f>
    </oc>
    <nc r="X33">
      <v>30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366" sId="3" odxf="1" s="1" dxf="1" numFmtId="34">
    <nc r="Y33">
      <v>20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67" sId="3">
    <oc r="X34">
      <f>X32/X33</f>
    </oc>
    <nc r="X34">
      <f>X32/X33</f>
    </nc>
  </rcc>
  <rfmt sheetId="3" sqref="Y34" start="0" length="0">
    <dxf>
      <numFmt numFmtId="13" formatCode="0%"/>
    </dxf>
  </rfmt>
  <rcc rId="4368" sId="3" numFmtId="34">
    <oc r="X36">
      <f>'HT Express BSC '!X9</f>
    </oc>
    <nc r="X36">
      <v>12</v>
    </nc>
  </rcc>
  <rcc rId="4369" sId="3" odxf="1" s="1" dxf="1" numFmtId="34">
    <nc r="Y36">
      <v>12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70" sId="3" numFmtId="34">
    <oc r="X37">
      <f>'HT Express BSC '!X10</f>
    </oc>
    <nc r="X37">
      <v>12</v>
    </nc>
  </rcc>
  <rcc rId="4371" sId="3" odxf="1" s="1" dxf="1">
    <nc r="Y37">
      <f>'HT Express BSC '!Y10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72" sId="3">
    <oc r="X38">
      <f>X36/X37</f>
    </oc>
    <nc r="X38">
      <f>X36/X37</f>
    </nc>
  </rcc>
  <rfmt sheetId="3" sqref="Y38" start="0" length="0">
    <dxf>
      <numFmt numFmtId="13" formatCode="0%"/>
    </dxf>
  </rfmt>
  <rcc rId="4373" sId="3" numFmtId="34">
    <oc r="X40">
      <f>'HT Express BSC '!X13</f>
    </oc>
    <nc r="X40">
      <v>7</v>
    </nc>
  </rcc>
  <rcc rId="4374" sId="3">
    <nc r="Y40">
      <v>5</v>
    </nc>
  </rcc>
  <rcc rId="4375" sId="3" numFmtId="34">
    <oc r="X41">
      <f>'HT Express BSC '!X14</f>
    </oc>
    <nc r="X41">
      <v>7</v>
    </nc>
  </rcc>
  <rcc rId="4376" sId="3">
    <nc r="Y41">
      <v>2</v>
    </nc>
  </rcc>
  <rcc rId="4377" sId="3">
    <oc r="X42">
      <f>X40/X41</f>
    </oc>
    <nc r="X42">
      <f>X40/X41</f>
    </nc>
  </rcc>
  <rfmt sheetId="3" sqref="Y42" start="0" length="0">
    <dxf>
      <numFmt numFmtId="13" formatCode="0%"/>
    </dxf>
  </rfmt>
  <rcc rId="4378" sId="3" numFmtId="34">
    <oc r="X44">
      <f>'HT Express BSC '!X17</f>
    </oc>
    <nc r="X44">
      <v>6</v>
    </nc>
  </rcc>
  <rcc rId="4379" sId="3" odxf="1" s="1" dxf="1" numFmtId="34">
    <nc r="Y44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80" sId="3" numFmtId="34">
    <oc r="X45">
      <f>'HT Express BSC '!X18</f>
    </oc>
    <nc r="X45">
      <v>9</v>
    </nc>
  </rcc>
  <rcc rId="4381" sId="3" odxf="1" s="1" dxf="1">
    <nc r="Y45">
      <f>'HT Express BSC '!Y18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82" sId="3">
    <oc r="X46">
      <f>X44/X45</f>
    </oc>
    <nc r="X46">
      <f>X44/X45</f>
    </nc>
  </rcc>
  <rfmt sheetId="3" sqref="Y46" start="0" length="0">
    <dxf>
      <numFmt numFmtId="13" formatCode="0%"/>
    </dxf>
  </rfmt>
  <rcc rId="4383" sId="3" numFmtId="34">
    <oc r="X48">
      <f>'HT Express BSC '!X21</f>
    </oc>
    <nc r="X48">
      <v>2</v>
    </nc>
  </rcc>
  <rcc rId="4384" sId="3">
    <nc r="Y48" t="inlineStr">
      <is>
        <t>NA</t>
      </is>
    </nc>
  </rcc>
  <rcc rId="4385" sId="3" numFmtId="34">
    <oc r="X49">
      <f>'HT Express BSC '!X22</f>
    </oc>
    <nc r="X49">
      <v>2.5</v>
    </nc>
  </rcc>
  <rcc rId="4386" sId="3">
    <oc r="X50">
      <f>X48/X49</f>
    </oc>
    <nc r="X50">
      <f>X48/X49</f>
    </nc>
  </rcc>
  <rfmt sheetId="3" sqref="Y50" start="0" length="0">
    <dxf>
      <numFmt numFmtId="13" formatCode="0%"/>
    </dxf>
  </rfmt>
  <rcc rId="4387" sId="3">
    <oc r="X52">
      <f>X36/X32</f>
    </oc>
    <nc r="X52">
      <f>X36/X32</f>
    </nc>
  </rcc>
  <rcc rId="4388" sId="3" odxf="1" s="1" dxf="1">
    <nc r="Y52">
      <f>Y36/Y32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4389" sId="3">
    <oc r="X53">
      <f>X40/X32</f>
    </oc>
    <nc r="X53">
      <f>X40/X32</f>
    </nc>
  </rcc>
  <rfmt sheetId="3" s="1" sqref="Y53" start="0" length="0">
    <dxf>
      <numFmt numFmtId="13" formatCode="0%"/>
    </dxf>
  </rfmt>
  <rcc rId="4390" sId="3">
    <oc r="X54">
      <f>X44/X32</f>
    </oc>
    <nc r="X54">
      <f>X44/X32</f>
    </nc>
  </rcc>
  <rcc rId="4391" sId="3" odxf="1" s="1" dxf="1">
    <nc r="Y54">
      <f>Y44/Y32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4392" sId="3">
    <oc r="X55">
      <f>X48/X32</f>
    </oc>
    <nc r="X55">
      <f>X48/X32</f>
    </nc>
  </rcc>
  <rfmt sheetId="3" s="1" sqref="Y55" start="0" length="0">
    <dxf>
      <numFmt numFmtId="13" formatCode="0%"/>
    </dxf>
  </rfmt>
  <rfmt sheetId="3" sqref="X56" start="0" length="0">
    <dxf>
      <border outline="0">
        <left style="medium">
          <color indexed="64"/>
        </left>
      </border>
    </dxf>
  </rfmt>
  <rcc rId="4393" sId="3" odxf="1" s="1" dxf="1" numFmtId="34">
    <oc r="X57">
      <f>'HT Fine Dining'!X5</f>
    </oc>
    <nc r="X57">
      <v>21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394" sId="3" odxf="1" s="1" dxf="1" numFmtId="34">
    <nc r="Y57">
      <v>25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95" sId="3" odxf="1" s="1" dxf="1" numFmtId="34">
    <oc r="X58">
      <f>'HT Fine Dining'!X6</f>
    </oc>
    <nc r="X58">
      <v>25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396" sId="3" odxf="1" s="1" dxf="1" numFmtId="34">
    <nc r="Y58">
      <v>20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397" sId="3">
    <oc r="X59">
      <f>X57/X58</f>
    </oc>
    <nc r="X59">
      <f>X57/X58</f>
    </nc>
  </rcc>
  <rcc rId="4398" sId="3" odxf="1" dxf="1">
    <nc r="Y59">
      <f>Y57/Y58</f>
    </nc>
    <odxf>
      <numFmt numFmtId="0" formatCode="General"/>
    </odxf>
    <ndxf>
      <numFmt numFmtId="13" formatCode="0%"/>
    </ndxf>
  </rcc>
  <rfmt sheetId="3" sqref="X60" start="0" length="0">
    <dxf>
      <border outline="0">
        <left style="medium">
          <color indexed="64"/>
        </left>
      </border>
    </dxf>
  </rfmt>
  <rcc rId="4399" sId="3" odxf="1" dxf="1">
    <oc r="X61">
      <v>0.24911400607364034</v>
    </oc>
    <nc r="X61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400" sId="3" odxf="1" dxf="1">
    <oc r="X62">
      <v>8.1007455412764606E-2</v>
    </oc>
    <nc r="X62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401" sId="3" odxf="1" dxf="1">
    <oc r="X63">
      <v>0.16582514318653521</v>
    </oc>
    <nc r="X63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402" sId="3" odxf="1" dxf="1">
    <oc r="X64">
      <v>0.14854981818247681</v>
    </oc>
    <nc r="X64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403" sId="3" odxf="1" dxf="1">
    <oc r="X65">
      <v>6.396838790877811E-2</v>
    </oc>
    <nc r="X65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404" sId="3" odxf="1" dxf="1">
    <oc r="X66">
      <v>0</v>
    </oc>
    <nc r="X66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405" sId="3" odxf="1" dxf="1">
    <oc r="X67">
      <v>4.8279395606448214E-2</v>
    </oc>
    <nc r="X67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406" sId="3" odxf="1" dxf="1">
    <oc r="X68">
      <v>9.6677768995635072E-2</v>
    </oc>
    <nc r="X68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407" sId="3" odxf="1" dxf="1">
    <oc r="X69">
      <v>2.818675368610378E-2</v>
    </oc>
    <nc r="X69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408" sId="3" odxf="1" dxf="1">
    <oc r="X70">
      <v>4.6125116628792262E-2</v>
    </oc>
    <nc r="X70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409" sId="3" odxf="1" dxf="1">
    <oc r="X71">
      <v>3.3802708799216444E-2</v>
    </oc>
    <nc r="X71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410" sId="3" odxf="1" dxf="1">
    <oc r="X72">
      <v>3.8463445519609146E-2</v>
    </oc>
    <nc r="X72"/>
    <odxf>
      <numFmt numFmtId="14" formatCode="0.0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fmt sheetId="3" sqref="X73" start="0" length="0">
    <dxf>
      <numFmt numFmtId="0" formatCode="General"/>
      <border outline="0">
        <left style="medium">
          <color indexed="64"/>
        </left>
      </border>
    </dxf>
  </rfmt>
  <rfmt sheetId="3" sqref="X74" start="0" length="0">
    <dxf>
      <border outline="0">
        <left style="medium">
          <color indexed="64"/>
        </left>
      </border>
    </dxf>
  </rfmt>
  <rfmt sheetId="3" sqref="Y74" start="0" length="0">
    <dxf/>
  </rfmt>
  <rcc rId="4411" sId="3" odxf="1" s="1" dxf="1" numFmtId="34">
    <oc r="X75">
      <v>328038</v>
    </oc>
    <nc r="X75">
      <v>316042.09999999998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412" sId="3">
    <oc r="Y75">
      <v>359964</v>
    </oc>
    <nc r="Y75">
      <v>318851</v>
    </nc>
  </rcc>
  <rcc rId="4413" sId="3">
    <oc r="X76">
      <f>X20/X75</f>
    </oc>
    <nc r="X76">
      <f>X20/X75</f>
    </nc>
  </rcc>
  <rcc rId="4414" sId="3">
    <oc r="Y76">
      <f>Y20/Y75</f>
    </oc>
    <nc r="Y76">
      <f>Y20/Y75</f>
    </nc>
  </rcc>
  <rcc rId="4415" sId="3">
    <oc r="X77">
      <f>X36/X75</f>
    </oc>
    <nc r="X77">
      <f>X36/X75</f>
    </nc>
  </rcc>
  <rcc rId="4416" sId="3">
    <oc r="Y77">
      <f>Y36/Y75</f>
    </oc>
    <nc r="Y77">
      <f>Y36/Y75</f>
    </nc>
  </rcc>
  <rfmt sheetId="3" sqref="X78" start="0" length="0">
    <dxf>
      <border outline="0">
        <left style="medium">
          <color indexed="64"/>
        </left>
      </border>
    </dxf>
  </rfmt>
  <rfmt sheetId="3" sqref="Y78" start="0" length="0">
    <dxf/>
  </rfmt>
  <rcc rId="4417" sId="3" odxf="1" dxf="1">
    <oc r="X79">
      <f>X36/7335</f>
    </oc>
    <nc r="X79">
      <f>X36/7335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418" sId="3" odxf="1" s="1" dxf="1">
    <nc r="Y79">
      <f>Y36/7335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419" sId="3" odxf="1" dxf="1">
    <oc r="X80">
      <f>X20/2799.94</f>
    </oc>
    <nc r="X80">
      <f>X20/2799.94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420" sId="3" odxf="1" s="1" dxf="1">
    <nc r="Y80">
      <f>Y20/2799.94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fmt sheetId="3" s="1" sqref="X81" start="0" length="0">
    <dxf>
      <numFmt numFmtId="165" formatCode="_(* #,##0_);_(* \(#,##0\);_(* &quot;-&quot;??_);_(@_)"/>
      <border outline="0">
        <left style="medium">
          <color indexed="64"/>
        </left>
      </border>
    </dxf>
  </rfmt>
  <rfmt sheetId="3" s="1" sqref="Y81" start="0" length="0">
    <dxf>
      <numFmt numFmtId="165" formatCode="_(* #,##0_);_(* \(#,##0\);_(* &quot;-&quot;??_);_(@_)"/>
    </dxf>
  </rfmt>
  <rfmt sheetId="3" sqref="X82" start="0" length="0">
    <dxf>
      <border outline="0">
        <left style="medium">
          <color indexed="64"/>
        </left>
      </border>
    </dxf>
  </rfmt>
  <rfmt sheetId="3" sqref="Y82" start="0" length="0">
    <dxf/>
  </rfmt>
  <rfmt sheetId="3" sqref="X83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</border>
    </dxf>
  </rfmt>
  <rcc rId="4421" sId="3" odxf="1" s="1" dxf="1" numFmtId="34">
    <oc r="X84">
      <f>'HT Express BSC '!X53+'HT Stores BSC'!X45+'HT Fine Dining'!X23</f>
    </oc>
    <nc r="X84">
      <v>0.1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22" sId="3" odxf="1" s="1" dxf="1" numFmtId="34">
    <oc r="Y84">
      <v>222156</v>
    </oc>
    <nc r="Y84">
      <f>'HT Express BSC '!Y53+'HT Stores BSC'!Y45+'HT Fine Dining'!Y23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423" sId="3" odxf="1" s="1" dxf="1">
    <oc r="X85">
      <f>X4-X84</f>
    </oc>
    <nc r="X85">
      <f>X4-X84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24" sId="3" odxf="1" dxf="1">
    <oc r="Y85">
      <f>Y4-Y84</f>
    </oc>
    <nc r="Y85"/>
    <odxf>
      <numFmt numFmtId="165" formatCode="_(* #,##0_);_(* \(#,##0\);_(* &quot;-&quot;??_);_(@_)"/>
    </odxf>
    <ndxf>
      <numFmt numFmtId="1" formatCode="0"/>
    </ndxf>
  </rcc>
  <rfmt sheetId="3" sqref="X86" start="0" length="0">
    <dxf>
      <border outline="0">
        <left style="medium">
          <color indexed="64"/>
        </left>
        <top/>
      </border>
    </dxf>
  </rfmt>
  <rfmt sheetId="3" sqref="Y86" start="0" length="0">
    <dxf>
      <border outline="0">
        <top/>
      </border>
    </dxf>
  </rfmt>
  <rcc rId="4425" sId="3" odxf="1" s="1" dxf="1" numFmtId="34">
    <oc r="X87">
      <f>'HT Express BSC '!X56+'HT Stores BSC'!X48+'HT Fine Dining'!X26</f>
    </oc>
    <nc r="X87">
      <v>3.5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426" sId="3" odxf="1" dxf="1">
    <oc r="Y87">
      <f>4728153+59183</f>
    </oc>
    <nc r="Y87"/>
    <odxf>
      <numFmt numFmtId="165" formatCode="_(* #,##0_);_(* \(#,##0\);_(* &quot;-&quot;??_);_(@_)"/>
    </odxf>
    <ndxf>
      <numFmt numFmtId="1" formatCode="0"/>
    </ndxf>
  </rcc>
  <rcc rId="4427" sId="3" odxf="1" s="1" dxf="1" numFmtId="34">
    <oc r="X88">
      <f>'HT Express BSC '!X57+'HT Stores BSC'!X49+'HT Fine Dining'!X27</f>
    </oc>
    <nc r="X88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428" sId="3" odxf="1" dxf="1" numFmtId="4">
    <oc r="Y88">
      <v>458361</v>
    </oc>
    <nc r="Y88"/>
    <odxf>
      <numFmt numFmtId="165" formatCode="_(* #,##0_);_(* \(#,##0\);_(* &quot;-&quot;??_);_(@_)"/>
    </odxf>
    <ndxf>
      <numFmt numFmtId="1" formatCode="0"/>
    </ndxf>
  </rcc>
  <rcc rId="4429" sId="3" odxf="1" s="1" dxf="1" numFmtId="34">
    <oc r="X89">
      <f>'HT Express BSC '!X58+'HT Stores BSC'!X50+'HT Fine Dining'!X28</f>
    </oc>
    <nc r="X89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430" sId="3" odxf="1" dxf="1" numFmtId="13">
    <oc r="Y89">
      <v>662564</v>
    </oc>
    <nc r="Y89">
      <f>(X87+X88+X89)/X4</f>
    </nc>
    <odxf>
      <numFmt numFmtId="165" formatCode="_(* #,##0_);_(* \(#,##0\);_(* &quot;-&quot;??_);_(@_)"/>
    </odxf>
    <ndxf>
      <numFmt numFmtId="13" formatCode="0%"/>
    </ndxf>
  </rcc>
  <rcc rId="4431" sId="3" odxf="1" s="1" dxf="1">
    <oc r="X90">
      <f>X85-SUM(X87:X89)</f>
    </oc>
    <nc r="X90">
      <f>X85-X87-X88-X89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32" sId="3" odxf="1" dxf="1">
    <oc r="Y90">
      <f>Y85-SUM(Y87:Y89)</f>
    </oc>
    <nc r="Y90"/>
    <odxf>
      <numFmt numFmtId="165" formatCode="_(* #,##0_);_(* \(#,##0\);_(* &quot;-&quot;??_);_(@_)"/>
    </odxf>
    <ndxf>
      <numFmt numFmtId="1" formatCode="0"/>
    </ndxf>
  </rcc>
  <rfmt sheetId="3" sqref="X91" start="0" length="0">
    <dxf>
      <border outline="0">
        <left style="medium">
          <color indexed="64"/>
        </left>
        <top/>
      </border>
    </dxf>
  </rfmt>
  <rfmt sheetId="3" sqref="Y91" start="0" length="0">
    <dxf>
      <border outline="0">
        <top/>
      </border>
    </dxf>
  </rfmt>
  <rcc rId="4433" sId="3" odxf="1" s="1" dxf="1" numFmtId="34">
    <oc r="X92">
      <f>'HT Express BSC '!X61+'HT Stores BSC'!X53+'HT Fine Dining'!X31+1480252</f>
    </oc>
    <nc r="X92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34" sId="3" odxf="1" dxf="1" numFmtId="4">
    <oc r="Y92">
      <v>3657357</v>
    </oc>
    <nc r="Y92"/>
    <odxf>
      <numFmt numFmtId="165" formatCode="_(* #,##0_);_(* \(#,##0\);_(* &quot;-&quot;??_);_(@_)"/>
    </odxf>
    <ndxf>
      <numFmt numFmtId="1" formatCode="0"/>
    </ndxf>
  </rcc>
  <rcc rId="4435" sId="3" odxf="1" s="1" dxf="1" numFmtId="34">
    <oc r="X93">
      <f>'HT Express BSC '!X62+'HT Stores BSC'!X54+'HT Fine Dining'!X32+105100</f>
    </oc>
    <nc r="X93">
      <v>0.7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36" sId="3" odxf="1" dxf="1" numFmtId="4">
    <oc r="Y93">
      <v>367699</v>
    </oc>
    <nc r="Y93"/>
    <odxf>
      <numFmt numFmtId="165" formatCode="_(* #,##0_);_(* \(#,##0\);_(* &quot;-&quot;??_);_(@_)"/>
    </odxf>
    <ndxf>
      <numFmt numFmtId="1" formatCode="0"/>
    </ndxf>
  </rcc>
  <rcc rId="4437" sId="3" odxf="1" s="1" dxf="1" numFmtId="34">
    <oc r="X94">
      <f>'HT Express BSC '!X63+'HT Stores BSC'!X55+'HT Fine Dining'!X33+63461</f>
    </oc>
    <nc r="X94">
      <v>0.75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38" sId="3" odxf="1" dxf="1" numFmtId="4">
    <oc r="Y94">
      <v>479687</v>
    </oc>
    <nc r="Y94"/>
    <odxf>
      <numFmt numFmtId="165" formatCode="_(* #,##0_);_(* \(#,##0\);_(* &quot;-&quot;??_);_(@_)"/>
    </odxf>
    <ndxf>
      <numFmt numFmtId="1" formatCode="0"/>
    </ndxf>
  </rcc>
  <rcc rId="4439" sId="3" odxf="1" s="1" dxf="1" numFmtId="34">
    <oc r="X95">
      <f>'HT Express BSC '!X64+'HT Stores BSC'!X56+'HT Fine Dining'!X34+507216</f>
    </oc>
    <nc r="X95">
      <v>0.6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40" sId="3" odxf="1" dxf="1" numFmtId="4">
    <oc r="Y95">
      <v>863650.31000000017</v>
    </oc>
    <nc r="Y95"/>
    <odxf>
      <numFmt numFmtId="165" formatCode="_(* #,##0_);_(* \(#,##0\);_(* &quot;-&quot;??_);_(@_)"/>
    </odxf>
    <ndxf>
      <numFmt numFmtId="1" formatCode="0"/>
    </ndxf>
  </rcc>
  <rcc rId="4441" sId="3" odxf="1" s="1" dxf="1" numFmtId="34">
    <oc r="X96">
      <f>'HT Express BSC '!X65+'HT Stores BSC'!X58+'HT Fine Dining'!X35+88154</f>
    </oc>
    <nc r="X96">
      <v>0.2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42" sId="3" odxf="1" dxf="1" numFmtId="4">
    <oc r="Y96">
      <v>2300</v>
    </oc>
    <nc r="Y96"/>
    <odxf>
      <numFmt numFmtId="165" formatCode="_(* #,##0_);_(* \(#,##0\);_(* &quot;-&quot;??_);_(@_)"/>
    </odxf>
    <ndxf>
      <numFmt numFmtId="1" formatCode="0"/>
    </ndxf>
  </rcc>
  <rcc rId="4443" sId="3" odxf="1" s="1" dxf="1" numFmtId="34">
    <nc r="X97">
      <v>0.3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444" sId="3" odxf="1" dxf="1" numFmtId="4">
    <oc r="Y97">
      <v>0</v>
    </oc>
    <nc r="Y97"/>
    <odxf>
      <numFmt numFmtId="165" formatCode="_(* #,##0_);_(* \(#,##0\);_(* &quot;-&quot;??_);_(@_)"/>
    </odxf>
    <ndxf>
      <numFmt numFmtId="1" formatCode="0"/>
    </ndxf>
  </rcc>
  <rcc rId="4445" sId="3" odxf="1" s="1" dxf="1">
    <nc r="X98">
      <f>-2128261*0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446" sId="3" odxf="1" dxf="1" numFmtId="4">
    <oc r="Y98">
      <v>0</v>
    </oc>
    <nc r="Y98"/>
    <odxf>
      <numFmt numFmtId="165" formatCode="_(* #,##0_);_(* \(#,##0\);_(* &quot;-&quot;??_);_(@_)"/>
      <alignment vertical="center" wrapText="1" readingOrder="0"/>
    </odxf>
    <ndxf>
      <numFmt numFmtId="1" formatCode="0"/>
      <alignment vertical="bottom" wrapText="0" readingOrder="0"/>
    </ndxf>
  </rcc>
  <rfmt sheetId="3" s="1" sqref="X99" start="0" length="0">
    <dxf>
      <numFmt numFmtId="165" formatCode="_(* #,##0_);_(* \(#,##0\);_(* &quot;-&quot;??_);_(@_)"/>
      <border outline="0">
        <left style="medium">
          <color indexed="64"/>
        </left>
        <top/>
      </border>
    </dxf>
  </rfmt>
  <rfmt sheetId="3" sqref="Y99" start="0" length="0">
    <dxf>
      <border outline="0">
        <top/>
      </border>
    </dxf>
  </rfmt>
  <rcc rId="4447" sId="3" odxf="1" s="1" dxf="1">
    <oc r="X100">
      <f>X90-SUM(X92:X98)</f>
    </oc>
    <nc r="X100">
      <f>X90-SUM(X92:X98)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48" sId="3" odxf="1" dxf="1">
    <oc r="Y100">
      <f>Y90-SUM(Y92:Y98)</f>
    </oc>
    <nc r="Y100"/>
    <odxf>
      <numFmt numFmtId="165" formatCode="_(* #,##0_);_(* \(#,##0\);_(* &quot;-&quot;??_);_(@_)"/>
    </odxf>
    <ndxf>
      <numFmt numFmtId="1" formatCode="0"/>
    </ndxf>
  </rcc>
  <rfmt sheetId="3" sqref="X101" start="0" length="0">
    <dxf>
      <border outline="0">
        <left style="medium">
          <color indexed="64"/>
        </left>
      </border>
    </dxf>
  </rfmt>
  <rcc rId="4449" sId="3">
    <oc r="X102">
      <f>X100/X85</f>
    </oc>
    <nc r="X102">
      <f>X100/X85</f>
    </nc>
  </rcc>
  <rcc rId="4450" sId="3" odxf="1" dxf="1">
    <oc r="Y102">
      <f>Y100/Y85</f>
    </oc>
    <nc r="Y102"/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fmt sheetId="3" sqref="X103" start="0" length="0">
    <dxf>
      <border outline="0">
        <left style="medium">
          <color indexed="64"/>
        </left>
      </border>
    </dxf>
  </rfmt>
  <rfmt sheetId="3" sqref="Y103" start="0" length="0">
    <dxf/>
  </rfmt>
  <rcc rId="4451" sId="3" odxf="1" dxf="1" numFmtId="13">
    <nc r="X104">
      <v>-4.7374607982104272E-2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Y104" start="0" length="0">
    <dxf>
      <numFmt numFmtId="13" formatCode="0%"/>
    </dxf>
  </rfmt>
  <rcc rId="4452" sId="3" odxf="1" dxf="1" numFmtId="13">
    <nc r="X105">
      <v>0.3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Y105" start="0" length="0">
    <dxf>
      <numFmt numFmtId="13" formatCode="0%"/>
    </dxf>
  </rfmt>
  <rcc rId="4453" sId="3" odxf="1" dxf="1" numFmtId="13">
    <nc r="X106">
      <v>0.25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Y106" start="0" length="0">
    <dxf>
      <numFmt numFmtId="13" formatCode="0%"/>
    </dxf>
  </rfmt>
  <rfmt sheetId="3" sqref="X107" start="0" length="0">
    <dxf>
      <border outline="0">
        <left style="medium">
          <color indexed="64"/>
        </left>
      </border>
    </dxf>
  </rfmt>
  <rfmt sheetId="3" sqref="Y107" start="0" length="0">
    <dxf/>
  </rfmt>
  <rcc rId="4454" sId="3" odxf="1" s="1" dxf="1">
    <nc r="X108">
      <f>'HT Express BSC '!X72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Y108" start="0" length="0">
    <dxf>
      <numFmt numFmtId="13" formatCode="0%"/>
    </dxf>
  </rfmt>
  <rcc rId="4455" sId="3" odxf="1" s="1" dxf="1">
    <nc r="X109">
      <f>'HT Express BSC '!X73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Y109" start="0" length="0">
    <dxf>
      <numFmt numFmtId="13" formatCode="0%"/>
    </dxf>
  </rfmt>
  <rcc rId="4456" sId="3" odxf="1" s="1" dxf="1">
    <nc r="X110">
      <f>'HT Express BSC '!X74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Y110" start="0" length="0">
    <dxf>
      <numFmt numFmtId="13" formatCode="0%"/>
    </dxf>
  </rfmt>
  <rcc rId="4457" sId="3" odxf="1" s="1" dxf="1">
    <nc r="X111">
      <f>'HT Express BSC '!X75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Y111" start="0" length="0">
    <dxf>
      <numFmt numFmtId="13" formatCode="0%"/>
    </dxf>
  </rfmt>
  <rfmt sheetId="3" sqref="X112" start="0" length="0">
    <dxf>
      <border outline="0">
        <left style="medium">
          <color indexed="64"/>
        </left>
        <top/>
      </border>
    </dxf>
  </rfmt>
  <rfmt sheetId="3" sqref="Y112" start="0" length="0">
    <dxf>
      <border outline="0">
        <top/>
      </border>
    </dxf>
  </rfmt>
  <rcc rId="4458" sId="3" odxf="1" s="1" dxf="1">
    <nc r="X113">
      <f>'HT Stores BSC'!X65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Y113" start="0" length="0">
    <dxf>
      <numFmt numFmtId="13" formatCode="0%"/>
    </dxf>
  </rfmt>
  <rcc rId="4459" sId="3" odxf="1" s="1" dxf="1">
    <nc r="X114">
      <f>'HT Stores BSC'!X66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Y114" start="0" length="0">
    <dxf>
      <numFmt numFmtId="13" formatCode="0%"/>
    </dxf>
  </rfmt>
  <rcc rId="4460" sId="3" odxf="1" s="1" dxf="1">
    <nc r="X115">
      <f>'HT Stores BSC'!X67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Y115" start="0" length="0">
    <dxf>
      <numFmt numFmtId="13" formatCode="0%"/>
    </dxf>
  </rfmt>
  <rfmt sheetId="3" sqref="X116" start="0" length="0">
    <dxf>
      <border outline="0">
        <left style="medium">
          <color indexed="64"/>
        </left>
      </border>
    </dxf>
  </rfmt>
  <rfmt sheetId="3" sqref="Y116" start="0" length="0">
    <dxf/>
  </rfmt>
  <rcc rId="4461" sId="3" odxf="1" dxf="1">
    <nc r="X117">
      <f>'HT Express BSC '!X77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Y117" start="0" length="0">
    <dxf>
      <numFmt numFmtId="13" formatCode="0%"/>
    </dxf>
  </rfmt>
  <rcc rId="4462" sId="3" odxf="1" dxf="1">
    <nc r="X118">
      <f>'HT Stores BSC'!X69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Y118" start="0" length="0">
    <dxf>
      <numFmt numFmtId="13" formatCode="0%"/>
    </dxf>
  </rfmt>
  <rcc rId="4463" sId="3" odxf="1" s="1" dxf="1">
    <nc r="X119">
      <f>'HT Fine Dining'!X42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Y119" start="0" length="0">
    <dxf>
      <numFmt numFmtId="13" formatCode="0%"/>
    </dxf>
  </rfmt>
  <rfmt sheetId="3" sqref="X120" start="0" length="0">
    <dxf>
      <border outline="0">
        <left style="medium">
          <color indexed="64"/>
        </left>
      </border>
    </dxf>
  </rfmt>
  <rfmt sheetId="3" sqref="Y120" start="0" length="0">
    <dxf/>
  </rfmt>
  <rfmt sheetId="3" sqref="X121" start="0" length="0">
    <dxf>
      <border outline="0">
        <left style="medium">
          <color indexed="64"/>
        </left>
      </border>
    </dxf>
  </rfmt>
  <rfmt sheetId="3" sqref="X122" start="0" length="0">
    <dxf>
      <border outline="0">
        <left style="medium">
          <color indexed="64"/>
        </left>
      </border>
    </dxf>
  </rfmt>
  <rfmt sheetId="3" sqref="X123" start="0" length="0">
    <dxf>
      <border outline="0">
        <left style="medium">
          <color indexed="64"/>
        </left>
      </border>
    </dxf>
  </rfmt>
  <rfmt sheetId="3" sqref="X124" start="0" length="0">
    <dxf>
      <border outline="0">
        <left style="medium">
          <color indexed="64"/>
        </left>
      </border>
    </dxf>
  </rfmt>
  <rfmt sheetId="3" sqref="X125" start="0" length="0">
    <dxf>
      <border outline="0">
        <left style="medium">
          <color indexed="64"/>
        </left>
      </border>
    </dxf>
  </rfmt>
  <rfmt sheetId="3" sqref="X126" start="0" length="0">
    <dxf>
      <border outline="0">
        <left style="medium">
          <color indexed="64"/>
        </left>
      </border>
    </dxf>
  </rfmt>
  <rfmt sheetId="3" sqref="X127" start="0" length="0">
    <dxf>
      <border outline="0">
        <left style="medium">
          <color indexed="64"/>
        </left>
      </border>
    </dxf>
  </rfmt>
  <rfmt sheetId="3" sqref="X128" start="0" length="0">
    <dxf>
      <border outline="0">
        <left style="medium">
          <color indexed="64"/>
        </left>
      </border>
    </dxf>
  </rfmt>
  <rfmt sheetId="3" sqref="X129" start="0" length="0">
    <dxf>
      <border outline="0">
        <left style="medium">
          <color indexed="64"/>
        </left>
      </border>
    </dxf>
  </rfmt>
  <rfmt sheetId="3" sqref="X130" start="0" length="0">
    <dxf>
      <border outline="0">
        <left style="medium">
          <color indexed="64"/>
        </left>
      </border>
    </dxf>
  </rfmt>
  <rfmt sheetId="3" sqref="X131" start="0" length="0">
    <dxf>
      <border outline="0">
        <left style="medium">
          <color indexed="64"/>
        </left>
      </border>
    </dxf>
  </rfmt>
  <rfmt sheetId="3" sqref="Y131" start="0" length="0">
    <dxf/>
  </rfmt>
  <rcc rId="4464" sId="3" odxf="1" s="1" dxf="1" numFmtId="34">
    <oc r="X132">
      <v>4049120</v>
    </oc>
    <nc r="X132">
      <v>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465" sId="3" odxf="1" s="1" dxf="1" numFmtId="34">
    <nc r="Y132">
      <v>8.5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466" sId="3">
    <oc r="X133">
      <f>X132/X85</f>
    </oc>
    <nc r="X133">
      <f>X132/X85</f>
    </nc>
  </rcc>
  <rfmt sheetId="3" s="1" sqref="Y133" start="0" length="0">
    <dxf>
      <numFmt numFmtId="13" formatCode="0%"/>
    </dxf>
  </rfmt>
  <rcc rId="4467" sId="3" odxf="1" s="1" dxf="1" numFmtId="34">
    <oc r="X134">
      <v>3097379</v>
    </oc>
    <nc r="X134">
      <v>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468" sId="3" odxf="1" s="1" dxf="1" numFmtId="34">
    <nc r="Y134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fmt sheetId="3" s="1" sqref="X135" start="0" length="0">
    <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dxf>
  </rfmt>
  <rcc rId="4469" sId="3" odxf="1" s="1" dxf="1" numFmtId="34">
    <oc r="X136">
      <v>54368</v>
    </oc>
    <nc r="X136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="1" sqref="X137" start="0" length="0">
    <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dxf>
  </rfmt>
  <rfmt sheetId="3" sqref="X138" start="0" length="0">
    <dxf>
      <border outline="0">
        <left style="medium">
          <color indexed="64"/>
        </left>
      </border>
    </dxf>
  </rfmt>
  <rfmt sheetId="3" sqref="Y138" start="0" length="0">
    <dxf/>
  </rfmt>
  <rcc rId="4470" sId="3" odxf="1" s="1" dxf="1" numFmtId="34">
    <nc r="X139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Y139" start="0" length="0">
    <dxf>
      <numFmt numFmtId="13" formatCode="0%"/>
    </dxf>
  </rfmt>
  <rcc rId="4471" sId="3" odxf="1" s="1" dxf="1" numFmtId="34">
    <nc r="X140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Y140" start="0" length="0">
    <dxf>
      <numFmt numFmtId="13" formatCode="0%"/>
    </dxf>
  </rfmt>
  <rcc rId="4472" sId="3" odxf="1" s="1" dxf="1" numFmtId="34">
    <nc r="X141">
      <v>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Y141" start="0" length="0">
    <dxf>
      <numFmt numFmtId="13" formatCode="0%"/>
    </dxf>
  </rfmt>
  <rfmt sheetId="3" sqref="X142" start="0" length="0">
    <dxf>
      <border outline="0">
        <left style="medium">
          <color indexed="64"/>
        </left>
      </border>
    </dxf>
  </rfmt>
  <rcc rId="4473" sId="3" odxf="1" dxf="1" numFmtId="34">
    <oc r="X143">
      <v>314</v>
    </oc>
    <nc r="X143">
      <f>SUM(X144:X147)</f>
    </nc>
    <odxf>
      <numFmt numFmtId="0" formatCode="General"/>
      <border outline="0">
        <left/>
        <right/>
      </border>
    </odxf>
    <ndxf>
      <numFmt numFmtId="165" formatCode="_(* #,##0_);_(* \(#,##0\);_(* &quot;-&quot;??_);_(@_)"/>
      <border outline="0">
        <left style="medium">
          <color indexed="64"/>
        </left>
        <right style="thin">
          <color indexed="64"/>
        </right>
      </border>
    </ndxf>
  </rcc>
  <rcc rId="4474" sId="3">
    <nc r="Y143">
      <v>260</v>
    </nc>
  </rcc>
  <rcc rId="4475" sId="3" odxf="1" s="1" dxf="1" numFmtId="34">
    <oc r="X144">
      <v>275</v>
    </oc>
    <nc r="X144">
      <v>256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476" sId="3">
    <nc r="Y144">
      <v>236</v>
    </nc>
  </rcc>
  <rfmt sheetId="3" s="1" sqref="X145" start="0" length="0">
    <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dxf>
  </rfmt>
  <rcc rId="4477" sId="3">
    <nc r="Y145">
      <v>24</v>
    </nc>
  </rcc>
  <rcc rId="4478" sId="3" odxf="1" s="1" dxf="1" numFmtId="34">
    <oc r="X146">
      <v>5</v>
    </oc>
    <nc r="X146">
      <v>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479" sId="3" odxf="1" s="1" dxf="1" numFmtId="34">
    <nc r="X147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X148" start="0" length="0">
    <dxf>
      <border outline="0">
        <left style="medium">
          <color indexed="64"/>
        </left>
      </border>
    </dxf>
  </rfmt>
  <rfmt sheetId="3" sqref="Y148" start="0" length="0">
    <dxf/>
  </rfmt>
  <rcc rId="4480" sId="3" odxf="1" s="1" dxf="1" numFmtId="34">
    <oc r="X149">
      <v>2348</v>
    </oc>
    <nc r="X149">
      <v>3906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481" sId="3" odxf="1" s="1" dxf="1" numFmtId="34">
    <oc r="X150">
      <v>187247</v>
    </oc>
    <nc r="X150">
      <v>280438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horizontal="center" readingOrder="0"/>
      <border outline="0">
        <left style="medium">
          <color indexed="64"/>
        </left>
      </border>
      <protection locked="0"/>
    </ndxf>
  </rcc>
  <rcc rId="4482" sId="3" odxf="1" dxf="1">
    <oc r="X151" t="inlineStr">
      <is>
        <t>In Insert</t>
      </is>
    </oc>
    <nc r="X151" t="inlineStr">
      <is>
        <t>Updated in Comment</t>
      </is>
    </nc>
    <odxf>
      <alignment vertical="center" readingOrder="0"/>
      <border outline="0">
        <left style="thin">
          <color indexed="64"/>
        </left>
      </border>
    </odxf>
    <ndxf>
      <alignment vertical="top" readingOrder="0"/>
      <border outline="0">
        <left style="medium">
          <color indexed="64"/>
        </left>
      </border>
    </ndxf>
  </rcc>
  <rfmt sheetId="3" sqref="X152" start="0" length="0">
    <dxf>
      <border outline="0">
        <left style="medium">
          <color indexed="64"/>
        </left>
      </border>
    </dxf>
  </rfmt>
  <rfmt sheetId="3" sqref="Y152" start="0" length="0">
    <dxf/>
  </rfmt>
  <rcc rId="4483" sId="3" odxf="1" dxf="1" numFmtId="14">
    <nc r="X153">
      <v>2.06E-2</v>
    </nc>
    <odxf>
      <numFmt numFmtId="0" formatCode="General"/>
      <border outline="0">
        <left style="thin">
          <color indexed="64"/>
        </left>
      </border>
    </odxf>
    <ndxf>
      <numFmt numFmtId="14" formatCode="0.00%"/>
      <border outline="0">
        <left style="medium">
          <color indexed="64"/>
        </left>
      </border>
    </ndxf>
  </rcc>
  <rfmt sheetId="3" sqref="X154" start="0" length="0">
    <dxf>
      <border outline="0">
        <left style="medium">
          <color indexed="64"/>
        </left>
      </border>
    </dxf>
  </rfmt>
  <rcc rId="4484" sId="3" odxf="1" s="1" dxf="1" numFmtId="34">
    <oc r="X155">
      <v>179</v>
    </oc>
    <nc r="X155">
      <v>240902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odxf>
    <ndxf>
      <numFmt numFmtId="165" formatCode="_(* #,##0_);_(* \(#,##0\);_(* &quot;-&quot;??_);_(@_)"/>
      <alignment horizontal="center" wrapText="0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4485" sId="3" odxf="1" dxf="1">
    <oc r="X156">
      <v>436287</v>
    </oc>
    <nc r="X156">
      <v>68</v>
    </nc>
    <odxf>
      <alignment vertical="center" readingOrder="0"/>
      <border outline="0">
        <left style="thin">
          <color indexed="64"/>
        </left>
      </border>
    </odxf>
    <ndxf>
      <alignment vertical="top" readingOrder="0"/>
      <border outline="0">
        <left style="medium">
          <color indexed="64"/>
        </left>
      </border>
    </ndxf>
  </rcc>
  <rfmt sheetId="3" sqref="X157" start="0" length="0">
    <dxf>
      <border outline="0">
        <left style="medium">
          <color indexed="64"/>
        </left>
      </border>
    </dxf>
  </rfmt>
  <rcc rId="4486" sId="3" odxf="1" s="1" dxf="1" numFmtId="34">
    <nc r="X158">
      <v>124486.83333333333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horizontal="center" readingOrder="0"/>
      <border outline="0">
        <left style="medium">
          <color indexed="64"/>
        </left>
      </border>
      <protection locked="0"/>
    </ndxf>
  </rcc>
  <rcc rId="4487" sId="3" odxf="1" dxf="1">
    <nc r="X159" t="inlineStr">
      <is>
        <t>Pending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X160" start="0" length="0">
    <dxf>
      <border outline="0">
        <left style="medium">
          <color indexed="64"/>
        </left>
      </border>
    </dxf>
  </rfmt>
  <rfmt sheetId="3" sqref="Y160" start="0" length="0">
    <dxf/>
  </rfmt>
  <rcc rId="4488" sId="3" odxf="1" dxf="1">
    <nc r="X161">
      <v>0</v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489" sId="3" odxf="1" dxf="1">
    <nc r="X162">
      <v>0</v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X163" start="0" length="0">
    <dxf>
      <border outline="0">
        <left style="medium">
          <color indexed="64"/>
        </left>
      </border>
    </dxf>
  </rfmt>
  <rfmt sheetId="3" sqref="Y163" start="0" length="0">
    <dxf/>
  </rfmt>
  <rfmt sheetId="3" sqref="X164" start="0" length="0">
    <dxf>
      <border outline="0">
        <left style="medium">
          <color indexed="64"/>
        </left>
      </border>
    </dxf>
  </rfmt>
  <rfmt sheetId="3" sqref="X165" start="0" length="0">
    <dxf>
      <border outline="0">
        <left style="medium">
          <color indexed="64"/>
        </left>
      </border>
    </dxf>
  </rfmt>
  <rcc rId="4490" sId="3" odxf="1" dxf="1">
    <oc r="X166">
      <v>12</v>
    </oc>
    <nc r="X166" t="inlineStr">
      <is>
        <t>Pending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491" sId="3" odxf="1" dxf="1">
    <nc r="X167" t="inlineStr">
      <is>
        <t>Pending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X168" start="0" length="0">
    <dxf>
      <border outline="0">
        <left style="medium">
          <color indexed="64"/>
        </left>
      </border>
    </dxf>
  </rfmt>
  <rfmt sheetId="3" sqref="Y168" start="0" length="0">
    <dxf/>
  </rfmt>
  <rfmt sheetId="3" sqref="X169" start="0" length="0">
    <dxf>
      <border outline="0">
        <left style="medium">
          <color indexed="64"/>
        </left>
      </border>
    </dxf>
  </rfmt>
  <rfmt sheetId="3" sqref="X170" start="0" length="0">
    <dxf>
      <border outline="0">
        <left style="medium">
          <color indexed="64"/>
        </left>
      </border>
    </dxf>
  </rfmt>
  <rfmt sheetId="3" sqref="Y170" start="0" length="0">
    <dxf/>
  </rfmt>
  <rcc rId="4492" sId="3" odxf="1" s="1" dxf="1" numFmtId="34">
    <oc r="X171">
      <f>3824122-623626+297032</f>
    </oc>
    <nc r="X171">
      <v>7950329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93" sId="3" odxf="1" s="1" dxf="1" numFmtId="34">
    <oc r="X172">
      <v>131580</v>
    </oc>
    <nc r="X172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94" sId="3" odxf="1" s="1" dxf="1" numFmtId="34">
    <oc r="X173">
      <v>512401</v>
    </oc>
    <nc r="X173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495" sId="3" odxf="1" s="1" dxf="1" numFmtId="34">
    <oc r="X174">
      <v>485899</v>
    </oc>
    <nc r="X174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fmt sheetId="3" sqref="X175" start="0" length="0">
    <dxf>
      <border outline="0">
        <left style="medium">
          <color indexed="64"/>
        </left>
      </border>
    </dxf>
  </rfmt>
  <rfmt sheetId="3" sqref="Y175" start="0" length="0">
    <dxf/>
  </rfmt>
  <rfmt sheetId="3" sqref="X176" start="0" length="0">
    <dxf>
      <border outline="0">
        <left style="medium">
          <color indexed="64"/>
        </left>
      </border>
    </dxf>
  </rfmt>
  <rfmt sheetId="3" sqref="X177" start="0" length="0">
    <dxf>
      <border outline="0">
        <left style="medium">
          <color indexed="64"/>
        </left>
      </border>
    </dxf>
  </rfmt>
  <rcc rId="4496" sId="3" odxf="1" s="1" dxf="1" numFmtId="34">
    <oc r="X178">
      <v>5643800</v>
    </oc>
    <nc r="X178">
      <v>5286914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9"/>
        <color auto="1"/>
        <name val="Calibri"/>
        <scheme val="minor"/>
      </font>
      <numFmt numFmtId="165" formatCode="_(* #,##0_);_(* \(#,##0\);_(* &quot;-&quot;??_);_(@_)"/>
      <border outline="0">
        <left style="medium">
          <color indexed="64"/>
        </left>
      </border>
    </ndxf>
  </rcc>
  <rfmt sheetId="3" sqref="Y178" start="0" length="0">
    <dxf>
      <font>
        <sz val="9"/>
        <color rgb="FFFF0000"/>
      </font>
    </dxf>
  </rfmt>
  <rcc rId="4497" sId="3" odxf="1" s="1" dxf="1">
    <nc r="X179">
      <f>X178/X4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35" formatCode="_(* #,##0.00_);_(* \(#,##0.00\);_(* &quot;-&quot;??_);_(@_)"/>
      <border outline="0">
        <left style="medium">
          <color indexed="64"/>
        </left>
      </border>
    </ndxf>
  </rcc>
  <rfmt sheetId="3" sqref="X180" start="0" length="0">
    <dxf>
      <border outline="0">
        <left style="medium">
          <color indexed="64"/>
        </left>
      </border>
    </dxf>
  </rfmt>
  <rfmt sheetId="3" sqref="Y180" start="0" length="0">
    <dxf/>
  </rfmt>
  <rcc rId="4498" sId="3" odxf="1" dxf="1">
    <oc r="X181">
      <v>5</v>
    </oc>
    <nc r="X181">
      <f>'HT Express BSC '!X125+'HT Stores BSC'!X118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499" sId="3" odxf="1" dxf="1">
    <oc r="X182">
      <v>5</v>
    </oc>
    <nc r="X182">
      <f>'HT Express BSC '!X126+'HT Stores BSC'!X119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500" sId="3" odxf="1" dxf="1">
    <nc r="X183">
      <f>'HT Express BSC '!X127+'HT Stores BSC'!X120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X184" start="0" length="0">
    <dxf>
      <border outline="0">
        <left style="medium">
          <color indexed="64"/>
        </left>
      </border>
    </dxf>
  </rfmt>
  <rfmt sheetId="3" sqref="Y184" start="0" length="0">
    <dxf/>
  </rfmt>
  <rfmt sheetId="3" sqref="X187" start="0" length="0">
    <dxf>
      <border outline="0">
        <left style="medium">
          <color indexed="64"/>
        </left>
      </border>
    </dxf>
  </rfmt>
  <rfmt sheetId="3" sqref="Y187" start="0" length="0">
    <dxf/>
  </rfmt>
  <rfmt sheetId="3" sqref="X188" start="0" length="0">
    <dxf>
      <border outline="0">
        <left style="medium">
          <color indexed="64"/>
        </left>
        <right style="thin">
          <color indexed="64"/>
        </right>
      </border>
    </dxf>
  </rfmt>
  <rfmt sheetId="3" sqref="X189" start="0" length="0">
    <dxf>
      <border outline="0">
        <left style="medium">
          <color indexed="64"/>
        </left>
      </border>
    </dxf>
  </rfmt>
  <rfmt sheetId="3" sqref="Y189" start="0" length="0">
    <dxf/>
  </rfmt>
  <rcc rId="4501" sId="3">
    <oc r="X190" t="inlineStr">
      <is>
        <t>NA</t>
      </is>
    </oc>
    <nc r="X190" t="inlineStr">
      <is>
        <t>Pending</t>
      </is>
    </nc>
  </rcc>
  <rfmt sheetId="3" sqref="Y190" start="0" length="0">
    <dxf>
      <font>
        <b/>
        <sz val="9"/>
      </font>
    </dxf>
  </rfmt>
  <rcc rId="4502" sId="3">
    <oc r="X191" t="inlineStr">
      <is>
        <t>NA</t>
      </is>
    </oc>
    <nc r="X191" t="inlineStr">
      <is>
        <t>Pending</t>
      </is>
    </nc>
  </rcc>
  <rfmt sheetId="3" sqref="Y191" start="0" length="0">
    <dxf>
      <font>
        <b/>
        <sz val="9"/>
      </font>
    </dxf>
  </rfmt>
  <rcc rId="4503" sId="3">
    <oc r="X192" t="inlineStr">
      <is>
        <t>NA</t>
      </is>
    </oc>
    <nc r="X192" t="inlineStr">
      <is>
        <t>Pending</t>
      </is>
    </nc>
  </rcc>
  <rfmt sheetId="3" sqref="Y192" start="0" length="0">
    <dxf>
      <font>
        <b/>
        <sz val="9"/>
      </font>
    </dxf>
  </rfmt>
  <rcc rId="4504" sId="3">
    <oc r="X193" t="inlineStr">
      <is>
        <t>NA</t>
      </is>
    </oc>
    <nc r="X193" t="inlineStr">
      <is>
        <t>Pending</t>
      </is>
    </nc>
  </rcc>
  <rfmt sheetId="3" sqref="Y193" start="0" length="0">
    <dxf>
      <font>
        <b/>
        <sz val="9"/>
      </font>
    </dxf>
  </rfmt>
  <rcc rId="4505" sId="3">
    <oc r="X194" t="inlineStr">
      <is>
        <t>NA</t>
      </is>
    </oc>
    <nc r="X194" t="inlineStr">
      <is>
        <t>Pending</t>
      </is>
    </nc>
  </rcc>
  <rfmt sheetId="3" sqref="Y194" start="0" length="0">
    <dxf>
      <font>
        <b/>
        <sz val="9"/>
      </font>
      <border outline="0">
        <bottom style="medium">
          <color indexed="64"/>
        </bottom>
      </border>
    </dxf>
  </rfmt>
  <rcmt sheetId="3" cell="X151" guid="{00000000-0000-0000-0000-000000000000}" action="delete" author="Ganesh Mavathur"/>
  <rcc rId="4506" sId="3" odxf="1" s="1" dxf="1" numFmtId="34">
    <oc r="AA4">
      <f>'HT Express BSC '!AA5+'HT Stores BSC'!AA5+'HT Fine Dining'!AA5</f>
    </oc>
    <nc r="AA4">
      <v>20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07" sId="3" odxf="1" s="1" dxf="1" numFmtId="34">
    <oc r="AB4">
      <v>11592165</v>
    </oc>
    <nc r="AB4">
      <v>17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508" sId="3" odxf="1" s="1" dxf="1" numFmtId="34">
    <oc r="AA5">
      <f>'HT Express BSC '!AA6+'HT Stores BSC'!AA6+'HT Fine Dining'!AA6</f>
    </oc>
    <nc r="AA5">
      <v>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09" sId="3" odxf="1" s="1" dxf="1" numFmtId="34">
    <nc r="AB5">
      <v>15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10" sId="3" odxf="1" dxf="1">
    <oc r="AA6">
      <f>AA4/AA5</f>
    </oc>
    <nc r="AA6">
      <f>AA4/AA5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="1" sqref="AB6" start="0" length="0">
    <dxf>
      <numFmt numFmtId="13" formatCode="0%"/>
    </dxf>
  </rfmt>
  <rfmt sheetId="3" sqref="AA7" start="0" length="0">
    <dxf>
      <border outline="0">
        <left style="medium">
          <color indexed="64"/>
        </left>
      </border>
    </dxf>
  </rfmt>
  <rcc rId="4511" sId="3" odxf="1" s="1" dxf="1" numFmtId="13">
    <oc r="AA8">
      <f>'HT Stores BSC'!AA5/'TSF Prasadam Overall'!AA4</f>
    </oc>
    <nc r="AA8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512" sId="3" odxf="1" s="1" dxf="1" numFmtId="13">
    <nc r="AB8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513" sId="3" odxf="1" s="1" dxf="1" numFmtId="13">
    <oc r="AA9">
      <f>'HT Express BSC '!AA5/'TSF Prasadam Overall'!AA4</f>
    </oc>
    <nc r="AA9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514" sId="3" odxf="1" s="1" dxf="1" numFmtId="13">
    <nc r="AB9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515" sId="3" odxf="1" s="1" dxf="1" numFmtId="13">
    <oc r="AA10">
      <f>'HT Fine Dining'!AA5/'TSF Prasadam Overall'!AA4</f>
    </oc>
    <nc r="AA10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516" sId="3" odxf="1" s="1" dxf="1" numFmtId="13">
    <nc r="AB10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fmt sheetId="3" sqref="AA11" start="0" length="0">
    <dxf>
      <border outline="0">
        <left style="medium">
          <color indexed="64"/>
        </left>
      </border>
    </dxf>
  </rfmt>
  <rcc rId="4517" sId="3" odxf="1" dxf="1" numFmtId="34">
    <oc r="AA12">
      <f>AA16+AA20+AA24</f>
    </oc>
    <nc r="AA12">
      <v>15</v>
    </nc>
    <odxf>
      <font>
        <b/>
        <sz val="9"/>
      </font>
    </odxf>
    <ndxf>
      <font>
        <b val="0"/>
        <sz val="9"/>
      </font>
    </ndxf>
  </rcc>
  <rcc rId="4518" sId="3" odxf="1" dxf="1" numFmtId="34">
    <oc r="AB12">
      <f>AB16+AB20+AB24</f>
    </oc>
    <nc r="AB12">
      <v>15</v>
    </nc>
    <odxf>
      <font>
        <b/>
        <sz val="9"/>
      </font>
      <border outline="0">
        <left style="medium">
          <color indexed="64"/>
        </left>
      </border>
    </odxf>
    <ndxf>
      <font>
        <b val="0"/>
        <sz val="9"/>
      </font>
      <border outline="0">
        <left style="thin">
          <color indexed="64"/>
        </left>
      </border>
    </ndxf>
  </rcc>
  <rcc rId="4519" sId="3" odxf="1" s="1" dxf="1" numFmtId="34">
    <oc r="AA13">
      <f>AA17+AA21+AA25</f>
    </oc>
    <nc r="AA13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20" sId="3" odxf="1" s="1" dxf="1" numFmtId="34">
    <nc r="AB13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21" sId="3">
    <oc r="AA14">
      <f>AA12/AA13</f>
    </oc>
    <nc r="AA14">
      <f>AA12/AA13</f>
    </nc>
  </rcc>
  <rfmt sheetId="3" sqref="AB14" start="0" length="0">
    <dxf>
      <numFmt numFmtId="13" formatCode="0%"/>
    </dxf>
  </rfmt>
  <rfmt sheetId="3" sqref="AA15" start="0" length="0">
    <dxf>
      <border outline="0">
        <left style="medium">
          <color indexed="64"/>
        </left>
      </border>
    </dxf>
  </rfmt>
  <rcc rId="4522" sId="3" odxf="1" s="1" dxf="1">
    <oc r="AA16">
      <f>'HT Stores BSC'!AA9</f>
    </oc>
    <nc r="AA16">
      <f>'HT Stores BSC'!AA9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23" sId="3" odxf="1" s="1" dxf="1" numFmtId="34">
    <oc r="AB16">
      <v>0</v>
    </oc>
    <nc r="AB16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24" sId="3" odxf="1" s="1" dxf="1" numFmtId="34">
    <oc r="AA17">
      <v>1000000</v>
    </oc>
    <nc r="AA17">
      <f>'HT Stores BSC'!AA10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25" sId="3" odxf="1" dxf="1">
    <oc r="AA18">
      <f>AA16/AA17</f>
    </oc>
    <nc r="AA18">
      <f>AA16/AA17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B18" start="0" length="0">
    <dxf>
      <numFmt numFmtId="13" formatCode="0%"/>
    </dxf>
  </rfmt>
  <rfmt sheetId="3" sqref="AA19" start="0" length="0">
    <dxf>
      <border outline="0">
        <left style="medium">
          <color indexed="64"/>
        </left>
      </border>
    </dxf>
  </rfmt>
  <rcc rId="4526" sId="3" odxf="1" s="1" dxf="1">
    <oc r="AA20">
      <f>'HT Stores BSC'!AA13</f>
    </oc>
    <nc r="AA20">
      <f>'HT Stores BSC'!AA13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27" sId="3" odxf="1" s="1" dxf="1" numFmtId="34">
    <oc r="AB20">
      <v>5822410</v>
    </oc>
    <nc r="AB20">
      <f>'HT Stores BSC'!AB13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28" sId="3" odxf="1" s="1" dxf="1">
    <oc r="AA21">
      <f>'HT Stores BSC'!AA14</f>
    </oc>
    <nc r="AA21">
      <f>'HT Stores BSC'!AA14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fmt sheetId="3" s="1" sqref="AB21" start="0" length="0">
    <dxf>
      <numFmt numFmtId="165" formatCode="_(* #,##0_);_(* \(#,##0\);_(* &quot;-&quot;??_);_(@_)"/>
    </dxf>
  </rfmt>
  <rcc rId="4529" sId="3" odxf="1" dxf="1">
    <oc r="AA22">
      <f>AA20/AA21</f>
    </oc>
    <nc r="AA22">
      <f>'HT Stores BSC'!AA15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B22" start="0" length="0">
    <dxf>
      <numFmt numFmtId="13" formatCode="0%"/>
    </dxf>
  </rfmt>
  <rfmt sheetId="3" sqref="AA23" start="0" length="0">
    <dxf>
      <border outline="0">
        <left style="medium">
          <color indexed="64"/>
        </left>
      </border>
    </dxf>
  </rfmt>
  <rcc rId="4530" sId="3" odxf="1" s="1" dxf="1">
    <oc r="AA24">
      <f>'HT Stores BSC'!AA17</f>
    </oc>
    <nc r="AA24">
      <f>'HT Stores BSC'!AA17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31" sId="3" odxf="1" s="1" dxf="1" numFmtId="34">
    <nc r="AB24">
      <v>1294428.1183333334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32" sId="3" odxf="1" s="1" dxf="1">
    <oc r="AA25">
      <f>'HT Stores BSC'!AA18</f>
    </oc>
    <nc r="AA25">
      <f>'HT Stores BSC'!AA18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33" sId="3">
    <oc r="AA26">
      <f>AA24/AA25</f>
    </oc>
    <nc r="AA26">
      <f>AA24/AA25</f>
    </nc>
  </rcc>
  <rfmt sheetId="3" sqref="AB26" start="0" length="0">
    <dxf>
      <numFmt numFmtId="13" formatCode="0%"/>
    </dxf>
  </rfmt>
  <rfmt sheetId="3" sqref="AA27" start="0" length="0">
    <dxf>
      <border outline="0">
        <left style="medium">
          <color indexed="64"/>
        </left>
      </border>
    </dxf>
  </rfmt>
  <rcc rId="4534" sId="3" numFmtId="13">
    <oc r="AA28">
      <f>AA16/AA12</f>
    </oc>
    <nc r="AA28">
      <v>0.45</v>
    </nc>
  </rcc>
  <rcc rId="4535" sId="3" odxf="1" s="1" dxf="1" numFmtId="13">
    <nc r="AB28">
      <v>0.15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4536" sId="3" numFmtId="13">
    <oc r="AA29">
      <f>AA20/AA12</f>
    </oc>
    <nc r="AA29">
      <v>0.39</v>
    </nc>
  </rcc>
  <rcc rId="4537" sId="3" odxf="1" s="1" dxf="1" numFmtId="13">
    <nc r="AB29">
      <v>0.1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4538" sId="3" numFmtId="13">
    <oc r="AA30">
      <f>AA24/AA12</f>
    </oc>
    <nc r="AA30">
      <v>0.37</v>
    </nc>
  </rcc>
  <rcc rId="4539" sId="3" odxf="1" s="1" dxf="1" numFmtId="13">
    <nc r="AB30">
      <v>0.06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fmt sheetId="3" sqref="AA31" start="0" length="0">
    <dxf>
      <border outline="0">
        <left style="medium">
          <color indexed="64"/>
        </left>
      </border>
    </dxf>
  </rfmt>
  <rcc rId="4540" sId="3" odxf="1" s="1" dxf="1" numFmtId="34">
    <oc r="AA32">
      <f>'HT Express BSC '!AA5</f>
    </oc>
    <nc r="AA32">
      <v>29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41" sId="3" odxf="1" s="1" dxf="1" numFmtId="34">
    <nc r="AB32">
      <v>21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42" sId="3" odxf="1" s="1" dxf="1" numFmtId="34">
    <oc r="AA33">
      <f>'HT Express BSC '!AA6</f>
    </oc>
    <nc r="AA33">
      <v>30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43" sId="3" odxf="1" s="1" dxf="1" numFmtId="34">
    <nc r="AB33">
      <v>20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44" sId="3">
    <oc r="AA34">
      <f>AA32/AA33</f>
    </oc>
    <nc r="AA34">
      <f>AA32/AA33</f>
    </nc>
  </rcc>
  <rfmt sheetId="3" sqref="AB34" start="0" length="0">
    <dxf>
      <numFmt numFmtId="13" formatCode="0%"/>
    </dxf>
  </rfmt>
  <rfmt sheetId="3" sqref="AA35" start="0" length="0">
    <dxf>
      <border outline="0">
        <left style="medium">
          <color indexed="64"/>
        </left>
      </border>
    </dxf>
  </rfmt>
  <rcc rId="4545" sId="3" odxf="1" s="1" dxf="1" numFmtId="34">
    <oc r="AA36">
      <f>'HT Express BSC '!AA9</f>
    </oc>
    <nc r="AA36">
      <v>12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46" sId="3" odxf="1" s="1" dxf="1" numFmtId="34">
    <nc r="AB36">
      <v>12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47" sId="3" odxf="1" s="1" dxf="1" numFmtId="34">
    <oc r="AA37">
      <f>'HT Express BSC '!AA10</f>
    </oc>
    <nc r="AA37">
      <v>12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48" sId="3" odxf="1" s="1" dxf="1">
    <nc r="AB37">
      <f>'HT Express BSC '!AB10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49" sId="3">
    <oc r="AA38">
      <f>AA36/AA37</f>
    </oc>
    <nc r="AA38">
      <f>AA36/AA37</f>
    </nc>
  </rcc>
  <rfmt sheetId="3" sqref="AB38" start="0" length="0">
    <dxf>
      <numFmt numFmtId="13" formatCode="0%"/>
    </dxf>
  </rfmt>
  <rfmt sheetId="3" sqref="AA39" start="0" length="0">
    <dxf>
      <border outline="0">
        <left style="medium">
          <color indexed="64"/>
        </left>
      </border>
    </dxf>
  </rfmt>
  <rcc rId="4550" sId="3" odxf="1" s="1" dxf="1" numFmtId="34">
    <oc r="AA40">
      <f>'HT Express BSC '!AA13</f>
    </oc>
    <nc r="AA40">
      <v>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51" sId="3">
    <nc r="AB40">
      <v>5</v>
    </nc>
  </rcc>
  <rcc rId="4552" sId="3" odxf="1" s="1" dxf="1" numFmtId="34">
    <oc r="AA41">
      <f>'HT Express BSC '!AA14</f>
    </oc>
    <nc r="AA41">
      <v>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53" sId="3">
    <nc r="AB41">
      <v>2</v>
    </nc>
  </rcc>
  <rcc rId="4554" sId="3">
    <oc r="AA42">
      <f>AA40/AA41</f>
    </oc>
    <nc r="AA42">
      <f>AA40/AA41</f>
    </nc>
  </rcc>
  <rfmt sheetId="3" sqref="AB42" start="0" length="0">
    <dxf>
      <numFmt numFmtId="13" formatCode="0%"/>
    </dxf>
  </rfmt>
  <rfmt sheetId="3" sqref="AA43" start="0" length="0">
    <dxf>
      <border outline="0">
        <left style="medium">
          <color indexed="64"/>
        </left>
      </border>
    </dxf>
  </rfmt>
  <rcc rId="4555" sId="3" odxf="1" s="1" dxf="1" numFmtId="34">
    <oc r="AA44">
      <f>'HT Express BSC '!AA17</f>
    </oc>
    <nc r="AA44">
      <v>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56" sId="3" odxf="1" s="1" dxf="1" numFmtId="34">
    <nc r="AB44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57" sId="3" odxf="1" s="1" dxf="1" numFmtId="34">
    <oc r="AA45">
      <f>'HT Express BSC '!AA18</f>
    </oc>
    <nc r="AA45">
      <v>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58" sId="3" odxf="1" s="1" dxf="1">
    <nc r="AB45">
      <f>'HT Express BSC '!AB18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59" sId="3">
    <oc r="AA46">
      <f>AA44/AA45</f>
    </oc>
    <nc r="AA46">
      <f>AA44/AA45</f>
    </nc>
  </rcc>
  <rfmt sheetId="3" sqref="AB46" start="0" length="0">
    <dxf>
      <numFmt numFmtId="13" formatCode="0%"/>
    </dxf>
  </rfmt>
  <rfmt sheetId="3" sqref="AA47" start="0" length="0">
    <dxf>
      <border outline="0">
        <left style="medium">
          <color indexed="64"/>
        </left>
      </border>
    </dxf>
  </rfmt>
  <rcc rId="4560" sId="3" odxf="1" s="1" dxf="1" numFmtId="34">
    <oc r="AA48">
      <f>'HT Express BSC '!AA21</f>
    </oc>
    <nc r="AA48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61" sId="3">
    <nc r="AB48" t="inlineStr">
      <is>
        <t>NA</t>
      </is>
    </nc>
  </rcc>
  <rcc rId="4562" sId="3" odxf="1" s="1" dxf="1" numFmtId="34">
    <oc r="AA49">
      <f>'HT Express BSC '!AA22</f>
    </oc>
    <nc r="AA49">
      <v>2.5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63" sId="3">
    <oc r="AA50">
      <f>AA48/AA49</f>
    </oc>
    <nc r="AA50">
      <f>AA48/AA49</f>
    </nc>
  </rcc>
  <rfmt sheetId="3" sqref="AB50" start="0" length="0">
    <dxf>
      <numFmt numFmtId="13" formatCode="0%"/>
    </dxf>
  </rfmt>
  <rfmt sheetId="3" sqref="AA51" start="0" length="0">
    <dxf>
      <border outline="0">
        <left style="medium">
          <color indexed="64"/>
        </left>
      </border>
    </dxf>
  </rfmt>
  <rcc rId="4564" sId="3">
    <oc r="AA52">
      <f>AA36/AA32</f>
    </oc>
    <nc r="AA52">
      <f>AA36/AA32</f>
    </nc>
  </rcc>
  <rcc rId="4565" sId="3" odxf="1" s="1" dxf="1">
    <nc r="AB52">
      <f>AB36/AB32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4566" sId="3">
    <oc r="AA53">
      <f>AA40/AA32</f>
    </oc>
    <nc r="AA53">
      <f>AA40/AA32</f>
    </nc>
  </rcc>
  <rfmt sheetId="3" s="1" sqref="AB53" start="0" length="0">
    <dxf>
      <numFmt numFmtId="13" formatCode="0%"/>
    </dxf>
  </rfmt>
  <rcc rId="4567" sId="3">
    <oc r="AA54">
      <f>AA44/AA32</f>
    </oc>
    <nc r="AA54">
      <f>AA44/AA32</f>
    </nc>
  </rcc>
  <rcc rId="4568" sId="3" odxf="1" s="1" dxf="1">
    <nc r="AB54">
      <f>AB44/AB32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4569" sId="3">
    <oc r="AA55">
      <f>AA48/AA32</f>
    </oc>
    <nc r="AA55">
      <f>AA48/AA32</f>
    </nc>
  </rcc>
  <rfmt sheetId="3" s="1" sqref="AB55" start="0" length="0">
    <dxf>
      <numFmt numFmtId="13" formatCode="0%"/>
    </dxf>
  </rfmt>
  <rfmt sheetId="3" sqref="AA56" start="0" length="0">
    <dxf>
      <border outline="0">
        <left style="medium">
          <color indexed="64"/>
        </left>
      </border>
    </dxf>
  </rfmt>
  <rcc rId="4570" sId="3" odxf="1" s="1" dxf="1" numFmtId="34">
    <oc r="AA57">
      <f>'HT Fine Dining'!AA5</f>
    </oc>
    <nc r="AA57">
      <v>21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71" sId="3" odxf="1" s="1" dxf="1" numFmtId="34">
    <nc r="AB57">
      <v>25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72" sId="3" odxf="1" s="1" dxf="1" numFmtId="34">
    <oc r="AA58">
      <f>'HT Fine Dining'!AA6</f>
    </oc>
    <nc r="AA58">
      <v>25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73" sId="3" odxf="1" s="1" dxf="1" numFmtId="34">
    <nc r="AB58">
      <v>20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74" sId="3">
    <oc r="AA59">
      <f>AA57/AA58</f>
    </oc>
    <nc r="AA59">
      <f>AA57/AA58</f>
    </nc>
  </rcc>
  <rcc rId="4575" sId="3" odxf="1" dxf="1">
    <nc r="AB59">
      <f>AB57/AB58</f>
    </nc>
    <odxf>
      <numFmt numFmtId="0" formatCode="General"/>
    </odxf>
    <ndxf>
      <numFmt numFmtId="13" formatCode="0%"/>
    </ndxf>
  </rcc>
  <rfmt sheetId="3" sqref="AA60" start="0" length="0">
    <dxf>
      <border outline="0">
        <left style="medium">
          <color indexed="64"/>
        </left>
      </border>
    </dxf>
  </rfmt>
  <rcc rId="4576" sId="3" odxf="1" dxf="1">
    <oc r="AA61">
      <v>0.21746004258214033</v>
    </oc>
    <nc r="AA61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77" sId="3" odxf="1" dxf="1">
    <oc r="AA62">
      <v>7.9448638123268842E-2</v>
    </oc>
    <nc r="AA62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78" sId="3" odxf="1" dxf="1">
    <oc r="AA63">
      <v>0.15214584811493936</v>
    </oc>
    <nc r="AA63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79" sId="3" odxf="1" dxf="1">
    <oc r="AA64">
      <v>0.17748579867392164</v>
    </oc>
    <nc r="AA64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80" sId="3" odxf="1" dxf="1">
    <oc r="AA65">
      <v>5.9676963646030291E-2</v>
    </oc>
    <nc r="AA65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81" sId="3" odxf="1" dxf="1">
    <oc r="AA66">
      <v>3.9059681359835952E-2</v>
    </oc>
    <nc r="AA66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82" sId="3" odxf="1" dxf="1">
    <oc r="AA67">
      <v>4.511071454325951E-2</v>
    </oc>
    <nc r="AA67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83" sId="3" odxf="1" dxf="1">
    <oc r="AA68">
      <v>8.988711968082036E-2</v>
    </oc>
    <nc r="AA68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84" sId="3" odxf="1" dxf="1">
    <oc r="AA69">
      <v>2.5870003160003707E-2</v>
    </oc>
    <nc r="AA69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85" sId="3" odxf="1" dxf="1">
    <oc r="AA70">
      <v>3.8720295215716585E-2</v>
    </oc>
    <nc r="AA70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86" sId="3" odxf="1" dxf="1">
    <oc r="AA71">
      <v>2.9912831234967751E-2</v>
    </oc>
    <nc r="AA71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87" sId="3" odxf="1" dxf="1">
    <oc r="AA72">
      <v>3.5634026629056036E-2</v>
    </oc>
    <nc r="AA72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588" sId="3" odxf="1" dxf="1">
    <oc r="AA73">
      <v>9.5738258918128365E-3</v>
    </oc>
    <nc r="AA73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fmt sheetId="3" sqref="AA74" start="0" length="0">
    <dxf>
      <border outline="0">
        <left style="medium">
          <color indexed="64"/>
        </left>
      </border>
    </dxf>
  </rfmt>
  <rfmt sheetId="3" sqref="AB74" start="0" length="0">
    <dxf/>
  </rfmt>
  <rcc rId="4589" sId="3" odxf="1" s="1" dxf="1" numFmtId="34">
    <oc r="AA75">
      <v>237968</v>
    </oc>
    <nc r="AA75">
      <v>316042.09999999998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590" sId="3">
    <oc r="AB75">
      <v>233855</v>
    </oc>
    <nc r="AB75">
      <v>318851</v>
    </nc>
  </rcc>
  <rcc rId="4591" sId="3">
    <oc r="AA76">
      <f>AA20/AA75</f>
    </oc>
    <nc r="AA76">
      <f>AA20/AA75</f>
    </nc>
  </rcc>
  <rcc rId="4592" sId="3">
    <oc r="AB76">
      <f>AB20/AB75</f>
    </oc>
    <nc r="AB76">
      <f>AB20/AB75</f>
    </nc>
  </rcc>
  <rcc rId="4593" sId="3">
    <oc r="AA77">
      <f>AA36/AA75</f>
    </oc>
    <nc r="AA77">
      <f>AA36/AA75</f>
    </nc>
  </rcc>
  <rcc rId="4594" sId="3">
    <oc r="AB77">
      <f>AB36/AB75</f>
    </oc>
    <nc r="AB77">
      <f>AB36/AB75</f>
    </nc>
  </rcc>
  <rfmt sheetId="3" sqref="AA78" start="0" length="0">
    <dxf>
      <border outline="0">
        <left style="medium">
          <color indexed="64"/>
        </left>
      </border>
    </dxf>
  </rfmt>
  <rfmt sheetId="3" sqref="AB78" start="0" length="0">
    <dxf/>
  </rfmt>
  <rcc rId="4595" sId="3" odxf="1" s="1" dxf="1">
    <oc r="AA79">
      <f>AA36/7335</f>
    </oc>
    <nc r="AA79">
      <f>AA36/7335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96" sId="3" odxf="1" s="1" dxf="1">
    <nc r="AB79">
      <f>AB36/7335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597" sId="3" odxf="1" s="1" dxf="1">
    <oc r="AA80">
      <f>AA20/2799.94</f>
    </oc>
    <nc r="AA80">
      <f>AA20/2799.94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598" sId="3" odxf="1" s="1" dxf="1">
    <nc r="AB80">
      <f>AB20/2799.94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fmt sheetId="3" s="1" sqref="AA81" start="0" length="0">
    <dxf>
      <numFmt numFmtId="165" formatCode="_(* #,##0_);_(* \(#,##0\);_(* &quot;-&quot;??_);_(@_)"/>
      <border outline="0">
        <left style="medium">
          <color indexed="64"/>
        </left>
      </border>
    </dxf>
  </rfmt>
  <rfmt sheetId="3" s="1" sqref="AB81" start="0" length="0">
    <dxf>
      <numFmt numFmtId="165" formatCode="_(* #,##0_);_(* \(#,##0\);_(* &quot;-&quot;??_);_(@_)"/>
    </dxf>
  </rfmt>
  <rfmt sheetId="3" sqref="AA82" start="0" length="0">
    <dxf>
      <border outline="0">
        <left style="medium">
          <color indexed="64"/>
        </left>
      </border>
    </dxf>
  </rfmt>
  <rfmt sheetId="3" sqref="AB82" start="0" length="0">
    <dxf/>
  </rfmt>
  <rfmt sheetId="3" sqref="AA83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</border>
    </dxf>
  </rfmt>
  <rcc rId="4599" sId="3" odxf="1" s="1" dxf="1" numFmtId="34">
    <oc r="AA84">
      <f>'HT Express BSC '!AA53+'HT Stores BSC'!AA45+'HT Fine Dining'!AB23</f>
    </oc>
    <nc r="AA84">
      <v>0.1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600" sId="3" odxf="1" s="1" dxf="1" numFmtId="34">
    <oc r="AB84">
      <v>222245</v>
    </oc>
    <nc r="AB84">
      <f>'HT Express BSC '!AB53+'HT Stores BSC'!AB45+'HT Fine Dining'!AB23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601" sId="3" odxf="1" s="1" dxf="1">
    <oc r="AA85">
      <f>AA4-AA84</f>
    </oc>
    <nc r="AA85">
      <f>AA4-AA84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02" sId="3" odxf="1" dxf="1">
    <oc r="AB85">
      <f>AB4-AB84</f>
    </oc>
    <nc r="AB85"/>
    <odxf>
      <numFmt numFmtId="165" formatCode="_(* #,##0_);_(* \(#,##0\);_(* &quot;-&quot;??_);_(@_)"/>
    </odxf>
    <ndxf>
      <numFmt numFmtId="1" formatCode="0"/>
    </ndxf>
  </rcc>
  <rfmt sheetId="3" sqref="AA86" start="0" length="0">
    <dxf>
      <border outline="0">
        <left style="medium">
          <color indexed="64"/>
        </left>
        <top/>
      </border>
    </dxf>
  </rfmt>
  <rfmt sheetId="3" sqref="AB86" start="0" length="0">
    <dxf>
      <border outline="0">
        <top/>
      </border>
    </dxf>
  </rfmt>
  <rcc rId="4603" sId="3" odxf="1" s="1" dxf="1" numFmtId="34">
    <oc r="AA87">
      <f>'HT Express BSC '!AA56+'HT Stores BSC'!AA48+'HT Fine Dining'!AA26</f>
    </oc>
    <nc r="AA87">
      <v>3.5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04" sId="3" odxf="1" dxf="1">
    <oc r="AB87">
      <f>3506180+86482</f>
    </oc>
    <nc r="AB87"/>
    <odxf>
      <numFmt numFmtId="165" formatCode="_(* #,##0_);_(* \(#,##0\);_(* &quot;-&quot;??_);_(@_)"/>
    </odxf>
    <ndxf>
      <numFmt numFmtId="1" formatCode="0"/>
    </ndxf>
  </rcc>
  <rcc rId="4605" sId="3" odxf="1" s="1" dxf="1" numFmtId="34">
    <oc r="AA88">
      <f>'HT Express BSC '!AA57+'HT Stores BSC'!AA49+'HT Fine Dining'!AA27</f>
    </oc>
    <nc r="AA88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06" sId="3" odxf="1" dxf="1" numFmtId="4">
    <oc r="AB88">
      <v>763528</v>
    </oc>
    <nc r="AB88"/>
    <odxf>
      <numFmt numFmtId="165" formatCode="_(* #,##0_);_(* \(#,##0\);_(* &quot;-&quot;??_);_(@_)"/>
    </odxf>
    <ndxf>
      <numFmt numFmtId="1" formatCode="0"/>
    </ndxf>
  </rcc>
  <rcc rId="4607" sId="3" odxf="1" s="1" dxf="1" numFmtId="34">
    <oc r="AA89">
      <f>'HT Express BSC '!AA58+'HT Stores BSC'!AA50+'HT Fine Dining'!AA28</f>
    </oc>
    <nc r="AA89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08" sId="3" odxf="1" dxf="1" numFmtId="13">
    <oc r="AB89">
      <v>470403</v>
    </oc>
    <nc r="AB89">
      <f>(AA87+AA88+AA89)/AA4</f>
    </nc>
    <odxf>
      <numFmt numFmtId="165" formatCode="_(* #,##0_);_(* \(#,##0\);_(* &quot;-&quot;??_);_(@_)"/>
    </odxf>
    <ndxf>
      <numFmt numFmtId="13" formatCode="0%"/>
    </ndxf>
  </rcc>
  <rcc rId="4609" sId="3" odxf="1" s="1" dxf="1">
    <oc r="AA90">
      <f>AA85-SUM(AA87:AA89)</f>
    </oc>
    <nc r="AA90">
      <f>AA85-AA87-AA88-AA89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10" sId="3" odxf="1" dxf="1">
    <oc r="AB90">
      <f>AB85-SUM(AB87:AB89)</f>
    </oc>
    <nc r="AB90"/>
    <odxf>
      <numFmt numFmtId="165" formatCode="_(* #,##0_);_(* \(#,##0\);_(* &quot;-&quot;??_);_(@_)"/>
    </odxf>
    <ndxf>
      <numFmt numFmtId="1" formatCode="0"/>
    </ndxf>
  </rcc>
  <rfmt sheetId="3" sqref="AA91" start="0" length="0">
    <dxf>
      <border outline="0">
        <left style="medium">
          <color indexed="64"/>
        </left>
        <top/>
      </border>
    </dxf>
  </rfmt>
  <rfmt sheetId="3" sqref="AB91" start="0" length="0">
    <dxf>
      <border outline="0">
        <top/>
      </border>
    </dxf>
  </rfmt>
  <rcc rId="4611" sId="3" odxf="1" s="1" dxf="1" numFmtId="34">
    <oc r="AA92">
      <f>2767388+1528713</f>
    </oc>
    <nc r="AA92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12" sId="3" odxf="1" dxf="1">
    <oc r="AB92">
      <f>3982220</f>
    </oc>
    <nc r="AB92"/>
    <odxf>
      <numFmt numFmtId="165" formatCode="_(* #,##0_);_(* \(#,##0\);_(* &quot;-&quot;??_);_(@_)"/>
    </odxf>
    <ndxf>
      <numFmt numFmtId="1" formatCode="0"/>
    </ndxf>
  </rcc>
  <rcc rId="4613" sId="3" odxf="1" s="1" dxf="1" numFmtId="34">
    <oc r="AA93">
      <v>229318</v>
    </oc>
    <nc r="AA93">
      <v>0.7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14" sId="3" odxf="1" dxf="1" numFmtId="4">
    <oc r="AB93">
      <v>338725</v>
    </oc>
    <nc r="AB93"/>
    <odxf>
      <numFmt numFmtId="165" formatCode="_(* #,##0_);_(* \(#,##0\);_(* &quot;-&quot;??_);_(@_)"/>
    </odxf>
    <ndxf>
      <numFmt numFmtId="1" formatCode="0"/>
    </ndxf>
  </rcc>
  <rcc rId="4615" sId="3" odxf="1" s="1" dxf="1" numFmtId="34">
    <oc r="AA94">
      <v>320358</v>
    </oc>
    <nc r="AA94">
      <v>0.75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16" sId="3" odxf="1" dxf="1" numFmtId="4">
    <oc r="AB94">
      <v>406670</v>
    </oc>
    <nc r="AB94"/>
    <odxf>
      <numFmt numFmtId="165" formatCode="_(* #,##0_);_(* \(#,##0\);_(* &quot;-&quot;??_);_(@_)"/>
    </odxf>
    <ndxf>
      <numFmt numFmtId="1" formatCode="0"/>
    </ndxf>
  </rcc>
  <rcc rId="4617" sId="3" odxf="1" s="1" dxf="1" numFmtId="34">
    <oc r="AA95">
      <f>683089.64+710839</f>
    </oc>
    <nc r="AA95">
      <v>0.6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18" sId="3" odxf="1" dxf="1" numFmtId="4">
    <oc r="AB95">
      <v>1044247.5</v>
    </oc>
    <nc r="AB95"/>
    <odxf>
      <numFmt numFmtId="165" formatCode="_(* #,##0_);_(* \(#,##0\);_(* &quot;-&quot;??_);_(@_)"/>
    </odxf>
    <ndxf>
      <numFmt numFmtId="1" formatCode="0"/>
    </ndxf>
  </rcc>
  <rcc rId="4619" sId="3" odxf="1" s="1" dxf="1" numFmtId="34">
    <oc r="AA96">
      <f>600+116308</f>
    </oc>
    <nc r="AA96">
      <v>0.2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20" sId="3" odxf="1" dxf="1" numFmtId="4">
    <oc r="AB96">
      <v>5450</v>
    </oc>
    <nc r="AB96"/>
    <odxf>
      <numFmt numFmtId="165" formatCode="_(* #,##0_);_(* \(#,##0\);_(* &quot;-&quot;??_);_(@_)"/>
    </odxf>
    <ndxf>
      <numFmt numFmtId="1" formatCode="0"/>
    </ndxf>
  </rcc>
  <rcc rId="4621" sId="3" odxf="1" s="1" dxf="1" numFmtId="34">
    <oc r="AA97">
      <v>-1000</v>
    </oc>
    <nc r="AA97">
      <v>0.3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22" sId="3" odxf="1" dxf="1" numFmtId="4">
    <oc r="AB97">
      <v>0</v>
    </oc>
    <nc r="AB97"/>
    <odxf>
      <numFmt numFmtId="165" formatCode="_(* #,##0_);_(* \(#,##0\);_(* &quot;-&quot;??_);_(@_)"/>
    </odxf>
    <ndxf>
      <numFmt numFmtId="1" formatCode="0"/>
    </ndxf>
  </rcc>
  <rcc rId="4623" sId="3" odxf="1" s="1" dxf="1">
    <nc r="AA98">
      <f>-2128261*0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bottom" wrapText="0" readingOrder="0"/>
      <border outline="0">
        <left style="medium">
          <color indexed="64"/>
        </left>
      </border>
    </ndxf>
  </rcc>
  <rcc rId="4624" sId="3" odxf="1" dxf="1" numFmtId="4">
    <oc r="AB98">
      <v>0</v>
    </oc>
    <nc r="AB98"/>
    <odxf>
      <numFmt numFmtId="165" formatCode="_(* #,##0_);_(* \(#,##0\);_(* &quot;-&quot;??_);_(@_)"/>
      <alignment vertical="center" wrapText="1" readingOrder="0"/>
    </odxf>
    <ndxf>
      <numFmt numFmtId="1" formatCode="0"/>
      <alignment vertical="bottom" wrapText="0" readingOrder="0"/>
    </ndxf>
  </rcc>
  <rfmt sheetId="3" s="1" sqref="AA99" start="0" length="0">
    <dxf>
      <numFmt numFmtId="165" formatCode="_(* #,##0_);_(* \(#,##0\);_(* &quot;-&quot;??_);_(@_)"/>
      <border outline="0">
        <left style="medium">
          <color indexed="64"/>
        </left>
        <top/>
      </border>
    </dxf>
  </rfmt>
  <rfmt sheetId="3" sqref="AB99" start="0" length="0">
    <dxf>
      <border outline="0">
        <top/>
      </border>
    </dxf>
  </rfmt>
  <rcc rId="4625" sId="3" odxf="1" s="1" dxf="1">
    <oc r="AA100">
      <f>AA90-SUM(AA92:AA98)</f>
    </oc>
    <nc r="AA100">
      <f>AA90-SUM(AA92:AA98)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26" sId="3" odxf="1" dxf="1">
    <oc r="AB100">
      <f>AB90-SUM(AB92:AB98)</f>
    </oc>
    <nc r="AB100"/>
    <odxf>
      <numFmt numFmtId="165" formatCode="_(* #,##0_);_(* \(#,##0\);_(* &quot;-&quot;??_);_(@_)"/>
    </odxf>
    <ndxf>
      <numFmt numFmtId="1" formatCode="0"/>
    </ndxf>
  </rcc>
  <rfmt sheetId="3" sqref="AA101" start="0" length="0">
    <dxf>
      <border outline="0">
        <left style="medium">
          <color indexed="64"/>
        </left>
      </border>
    </dxf>
  </rfmt>
  <rcc rId="4627" sId="3" odxf="1" s="1" dxf="1">
    <oc r="AA102">
      <f>AA100/AA85</f>
    </oc>
    <nc r="AA102">
      <f>AA100/AA85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628" sId="3" odxf="1" s="1" dxf="1">
    <oc r="AB102">
      <f>AB100/AB85</f>
    </oc>
    <nc r="AB102"/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thin">
          <color indexed="64"/>
        </left>
      </border>
    </ndxf>
  </rcc>
  <rfmt sheetId="3" sqref="AA103" start="0" length="0">
    <dxf>
      <border outline="0">
        <left style="medium">
          <color indexed="64"/>
        </left>
      </border>
    </dxf>
  </rfmt>
  <rfmt sheetId="3" sqref="AB103" start="0" length="0">
    <dxf/>
  </rfmt>
  <rcc rId="4629" sId="3" odxf="1" dxf="1" numFmtId="13">
    <nc r="AA104">
      <v>-4.7374607982104272E-2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AB104" start="0" length="0">
    <dxf>
      <numFmt numFmtId="13" formatCode="0%"/>
    </dxf>
  </rfmt>
  <rcc rId="4630" sId="3" odxf="1" dxf="1" numFmtId="13">
    <nc r="AA105">
      <v>0.3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AB105" start="0" length="0">
    <dxf>
      <numFmt numFmtId="13" formatCode="0%"/>
    </dxf>
  </rfmt>
  <rcc rId="4631" sId="3" odxf="1" dxf="1" numFmtId="13">
    <nc r="AA106">
      <v>0.25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AB106" start="0" length="0">
    <dxf>
      <numFmt numFmtId="13" formatCode="0%"/>
    </dxf>
  </rfmt>
  <rfmt sheetId="3" sqref="AA107" start="0" length="0">
    <dxf>
      <border outline="0">
        <left style="medium">
          <color indexed="64"/>
        </left>
      </border>
    </dxf>
  </rfmt>
  <rfmt sheetId="3" sqref="AB107" start="0" length="0">
    <dxf/>
  </rfmt>
  <rcc rId="4632" sId="3" odxf="1" s="1" dxf="1">
    <nc r="AA108">
      <f>'HT Express BSC '!AA72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B108" start="0" length="0">
    <dxf>
      <numFmt numFmtId="13" formatCode="0%"/>
    </dxf>
  </rfmt>
  <rcc rId="4633" sId="3" odxf="1" s="1" dxf="1">
    <nc r="AA109">
      <f>'HT Express BSC '!AA73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B109" start="0" length="0">
    <dxf>
      <numFmt numFmtId="13" formatCode="0%"/>
    </dxf>
  </rfmt>
  <rcc rId="4634" sId="3" odxf="1" s="1" dxf="1">
    <nc r="AA110">
      <f>'HT Express BSC '!AA74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B110" start="0" length="0">
    <dxf>
      <numFmt numFmtId="13" formatCode="0%"/>
    </dxf>
  </rfmt>
  <rcc rId="4635" sId="3" odxf="1" s="1" dxf="1">
    <nc r="AA111">
      <f>'HT Express BSC '!AA75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B111" start="0" length="0">
    <dxf>
      <numFmt numFmtId="13" formatCode="0%"/>
    </dxf>
  </rfmt>
  <rfmt sheetId="3" sqref="AA112" start="0" length="0">
    <dxf>
      <border outline="0">
        <left style="medium">
          <color indexed="64"/>
        </left>
        <top/>
      </border>
    </dxf>
  </rfmt>
  <rfmt sheetId="3" sqref="AB112" start="0" length="0">
    <dxf>
      <border outline="0">
        <top/>
      </border>
    </dxf>
  </rfmt>
  <rcc rId="4636" sId="3" odxf="1" s="1" dxf="1">
    <nc r="AA113">
      <f>'HT Stores BSC'!AA65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B113" start="0" length="0">
    <dxf>
      <numFmt numFmtId="13" formatCode="0%"/>
    </dxf>
  </rfmt>
  <rcc rId="4637" sId="3" odxf="1" s="1" dxf="1">
    <nc r="AA114">
      <f>'HT Stores BSC'!AA66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B114" start="0" length="0">
    <dxf>
      <numFmt numFmtId="13" formatCode="0%"/>
    </dxf>
  </rfmt>
  <rcc rId="4638" sId="3" odxf="1" s="1" dxf="1">
    <nc r="AA115">
      <f>'HT Stores BSC'!AA67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B115" start="0" length="0">
    <dxf>
      <numFmt numFmtId="13" formatCode="0%"/>
    </dxf>
  </rfmt>
  <rfmt sheetId="3" sqref="AA116" start="0" length="0">
    <dxf>
      <border outline="0">
        <left style="medium">
          <color indexed="64"/>
        </left>
      </border>
    </dxf>
  </rfmt>
  <rfmt sheetId="3" sqref="AB116" start="0" length="0">
    <dxf/>
  </rfmt>
  <rcc rId="4639" sId="3" odxf="1" dxf="1">
    <nc r="AA117">
      <f>'HT Express BSC '!AA77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AB117" start="0" length="0">
    <dxf>
      <numFmt numFmtId="13" formatCode="0%"/>
    </dxf>
  </rfmt>
  <rcc rId="4640" sId="3" odxf="1" dxf="1">
    <nc r="AA118">
      <f>'HT Stores BSC'!AA69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AB118" start="0" length="0">
    <dxf>
      <numFmt numFmtId="13" formatCode="0%"/>
    </dxf>
  </rfmt>
  <rcc rId="4641" sId="3" odxf="1" s="1" dxf="1">
    <nc r="AA119">
      <f>'HT Fine Dining'!AA42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B119" start="0" length="0">
    <dxf>
      <numFmt numFmtId="13" formatCode="0%"/>
    </dxf>
  </rfmt>
  <rfmt sheetId="3" sqref="AA120" start="0" length="0">
    <dxf>
      <border outline="0">
        <left style="medium">
          <color indexed="64"/>
        </left>
      </border>
    </dxf>
  </rfmt>
  <rfmt sheetId="3" sqref="AB120" start="0" length="0">
    <dxf/>
  </rfmt>
  <rfmt sheetId="3" sqref="AA121" start="0" length="0">
    <dxf>
      <border outline="0">
        <left style="medium">
          <color indexed="64"/>
        </left>
      </border>
    </dxf>
  </rfmt>
  <rfmt sheetId="3" sqref="AA122" start="0" length="0">
    <dxf>
      <border outline="0">
        <left style="medium">
          <color indexed="64"/>
        </left>
      </border>
    </dxf>
  </rfmt>
  <rcc rId="4642" sId="3">
    <oc r="AA123" t="inlineStr">
      <is>
        <t>NA</t>
      </is>
    </oc>
    <nc r="AA123"/>
  </rcc>
  <rfmt sheetId="3" sqref="AA124" start="0" length="0">
    <dxf>
      <border outline="0">
        <left style="medium">
          <color indexed="64"/>
        </left>
      </border>
    </dxf>
  </rfmt>
  <rcc rId="4643" sId="3" odxf="1" dxf="1">
    <oc r="AA125">
      <v>90122</v>
    </oc>
    <nc r="AA125"/>
    <odxf>
      <numFmt numFmtId="165" formatCode="_(* #,##0_);_(* \(#,##0\);_(* &quot;-&quot;??_);_(@_)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cc rId="4644" sId="3">
    <oc r="AA126" t="inlineStr">
      <is>
        <t>NA</t>
      </is>
    </oc>
    <nc r="AA126"/>
  </rcc>
  <rcc rId="4645" sId="3">
    <oc r="AA127" t="inlineStr">
      <is>
        <t>NA</t>
      </is>
    </oc>
    <nc r="AA127"/>
  </rcc>
  <rcc rId="4646" sId="3">
    <oc r="AA128" t="inlineStr">
      <is>
        <t>NA</t>
      </is>
    </oc>
    <nc r="AA128"/>
  </rcc>
  <rfmt sheetId="3" sqref="AA129" start="0" length="0">
    <dxf>
      <border outline="0">
        <left style="medium">
          <color indexed="64"/>
        </left>
      </border>
    </dxf>
  </rfmt>
  <rfmt sheetId="3" sqref="AA130" start="0" length="0">
    <dxf>
      <border outline="0">
        <left style="medium">
          <color indexed="64"/>
        </left>
      </border>
    </dxf>
  </rfmt>
  <rfmt sheetId="3" sqref="AA131" start="0" length="0">
    <dxf>
      <border outline="0">
        <left style="medium">
          <color indexed="64"/>
        </left>
      </border>
    </dxf>
  </rfmt>
  <rfmt sheetId="3" sqref="AB131" start="0" length="0">
    <dxf/>
  </rfmt>
  <rcc rId="4647" sId="3" odxf="1" s="1" dxf="1" numFmtId="34">
    <oc r="AA132">
      <v>3709629</v>
    </oc>
    <nc r="AA132">
      <v>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bottom" wrapText="0" readingOrder="0"/>
      <border outline="0">
        <left style="medium">
          <color indexed="64"/>
        </left>
      </border>
    </ndxf>
  </rcc>
  <rcc rId="4648" sId="3" odxf="1" s="1" dxf="1" numFmtId="34">
    <nc r="AB132">
      <v>8.5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649" sId="3" odxf="1" s="1" dxf="1">
    <oc r="AA133">
      <f>AA132/AA85</f>
    </oc>
    <nc r="AA133">
      <f>AA132/AA85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fmt sheetId="3" s="1" sqref="AB133" start="0" length="0">
    <dxf>
      <numFmt numFmtId="13" formatCode="0%"/>
    </dxf>
  </rfmt>
  <rcc rId="4650" sId="3" odxf="1" s="1" dxf="1" numFmtId="34">
    <oc r="AA134">
      <v>2802919</v>
    </oc>
    <nc r="AA134">
      <v>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bottom" wrapText="0" readingOrder="0"/>
      <border outline="0">
        <left style="medium">
          <color indexed="64"/>
        </left>
      </border>
    </ndxf>
  </rcc>
  <rcc rId="4651" sId="3" odxf="1" s="1" dxf="1" numFmtId="34">
    <nc r="AB134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652" sId="3" odxf="1" s="1" dxf="1" numFmtId="34">
    <oc r="AA135">
      <v>792364</v>
    </oc>
    <nc r="AA135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bottom" wrapText="0" readingOrder="0"/>
      <border outline="0">
        <left style="medium">
          <color indexed="64"/>
        </left>
      </border>
    </ndxf>
  </rcc>
  <rcc rId="4653" sId="3" odxf="1" s="1" dxf="1" numFmtId="34">
    <oc r="AA136">
      <v>114346</v>
    </oc>
    <nc r="AA136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vertical="bottom" wrapText="0" readingOrder="0"/>
      <border outline="0">
        <left style="medium">
          <color indexed="64"/>
        </left>
      </border>
    </ndxf>
  </rcc>
  <rfmt sheetId="3" s="1" sqref="AA137" start="0" length="0">
    <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dxf>
  </rfmt>
  <rfmt sheetId="3" sqref="AA138" start="0" length="0">
    <dxf>
      <border outline="0">
        <left style="medium">
          <color indexed="64"/>
        </left>
      </border>
    </dxf>
  </rfmt>
  <rfmt sheetId="3" sqref="AB138" start="0" length="0">
    <dxf/>
  </rfmt>
  <rcc rId="4654" sId="3" odxf="1" s="1" dxf="1" numFmtId="34">
    <nc r="AA139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AB139" start="0" length="0">
    <dxf>
      <numFmt numFmtId="13" formatCode="0%"/>
    </dxf>
  </rfmt>
  <rcc rId="4655" sId="3" odxf="1" s="1" dxf="1" numFmtId="34">
    <nc r="AA140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AB140" start="0" length="0">
    <dxf>
      <numFmt numFmtId="13" formatCode="0%"/>
    </dxf>
  </rfmt>
  <rcc rId="4656" sId="3" odxf="1" s="1" dxf="1" numFmtId="34">
    <nc r="AA141">
      <v>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AB141" start="0" length="0">
    <dxf>
      <numFmt numFmtId="13" formatCode="0%"/>
    </dxf>
  </rfmt>
  <rfmt sheetId="3" sqref="AA142" start="0" length="0">
    <dxf>
      <border outline="0">
        <left style="medium">
          <color indexed="64"/>
        </left>
      </border>
    </dxf>
  </rfmt>
  <rcc rId="4657" sId="3" odxf="1" dxf="1" numFmtId="34">
    <oc r="AA143">
      <v>300</v>
    </oc>
    <nc r="AA143">
      <f>SUM(AA144:AA147)</f>
    </nc>
    <odxf>
      <numFmt numFmtId="0" formatCode="General"/>
      <border outline="0">
        <left style="thin">
          <color indexed="64"/>
        </left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658" sId="3">
    <nc r="AB143">
      <v>260</v>
    </nc>
  </rcc>
  <rcc rId="4659" sId="3" odxf="1" s="1" dxf="1" numFmtId="34">
    <oc r="AA144">
      <v>264</v>
    </oc>
    <nc r="AA144">
      <v>256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660" sId="3">
    <nc r="AB144">
      <v>236</v>
    </nc>
  </rcc>
  <rcc rId="4661" sId="3" odxf="1" s="1" dxf="1" numFmtId="34">
    <oc r="AA145">
      <v>29</v>
    </oc>
    <nc r="AA145">
      <v>34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662" sId="3">
    <nc r="AB145">
      <v>24</v>
    </nc>
  </rcc>
  <rcc rId="4663" sId="3" odxf="1" s="1" dxf="1" numFmtId="34">
    <oc r="AA146">
      <v>7</v>
    </oc>
    <nc r="AA146">
      <v>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664" sId="3" odxf="1" s="1" dxf="1" numFmtId="34">
    <nc r="AA147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AA148" start="0" length="0">
    <dxf>
      <border outline="0">
        <left style="medium">
          <color indexed="64"/>
        </left>
      </border>
    </dxf>
  </rfmt>
  <rfmt sheetId="3" sqref="AB148" start="0" length="0">
    <dxf/>
  </rfmt>
  <rcc rId="4665" sId="3" odxf="1" s="1" dxf="1" numFmtId="34">
    <oc r="AA149">
      <v>1618</v>
    </oc>
    <nc r="AA149">
      <v>3906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666" sId="3" odxf="1" s="1" dxf="1" numFmtId="34">
    <oc r="AA150">
      <v>108078</v>
    </oc>
    <nc r="AA150">
      <v>280438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horizontal="center" readingOrder="0"/>
      <border outline="0">
        <left style="medium">
          <color indexed="64"/>
        </left>
      </border>
      <protection locked="0"/>
    </ndxf>
  </rcc>
  <rcc rId="4667" sId="3" odxf="1" dxf="1">
    <oc r="AA151" t="inlineStr">
      <is>
        <t>In Insert</t>
      </is>
    </oc>
    <nc r="AA151" t="inlineStr">
      <is>
        <t>Updated in Comment</t>
      </is>
    </nc>
    <odxf>
      <alignment vertical="center" readingOrder="0"/>
      <border outline="0">
        <left style="thin">
          <color indexed="64"/>
        </left>
      </border>
    </odxf>
    <ndxf>
      <alignment vertical="top" readingOrder="0"/>
      <border outline="0">
        <left style="medium">
          <color indexed="64"/>
        </left>
      </border>
    </ndxf>
  </rcc>
  <rfmt sheetId="3" sqref="AA152" start="0" length="0">
    <dxf>
      <border outline="0">
        <left style="medium">
          <color indexed="64"/>
        </left>
      </border>
    </dxf>
  </rfmt>
  <rfmt sheetId="3" sqref="AB152" start="0" length="0">
    <dxf/>
  </rfmt>
  <rcc rId="4668" sId="3" odxf="1" dxf="1" numFmtId="14">
    <nc r="AA153">
      <v>2.06E-2</v>
    </nc>
    <odxf>
      <numFmt numFmtId="0" formatCode="General"/>
      <border outline="0">
        <left style="thin">
          <color indexed="64"/>
        </left>
      </border>
    </odxf>
    <ndxf>
      <numFmt numFmtId="14" formatCode="0.00%"/>
      <border outline="0">
        <left style="medium">
          <color indexed="64"/>
        </left>
      </border>
    </ndxf>
  </rcc>
  <rfmt sheetId="3" sqref="AA154" start="0" length="0">
    <dxf>
      <border outline="0">
        <left style="medium">
          <color indexed="64"/>
        </left>
      </border>
    </dxf>
  </rfmt>
  <rcc rId="4669" sId="3" odxf="1" s="1" dxf="1" numFmtId="34">
    <oc r="AA155">
      <v>144</v>
    </oc>
    <nc r="AA155">
      <v>240902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horizontal="center" wrapText="0" readingOrder="0"/>
      <border outline="0">
        <left style="medium">
          <color indexed="64"/>
        </left>
      </border>
      <protection locked="0"/>
    </ndxf>
  </rcc>
  <rcc rId="4670" sId="3" odxf="1" dxf="1">
    <oc r="AA156">
      <v>342207</v>
    </oc>
    <nc r="AA156">
      <v>68</v>
    </nc>
    <odxf>
      <alignment vertical="center" readingOrder="0"/>
      <border outline="0">
        <left style="thin">
          <color indexed="64"/>
        </left>
      </border>
    </odxf>
    <ndxf>
      <alignment vertical="top" readingOrder="0"/>
      <border outline="0">
        <left style="medium">
          <color indexed="64"/>
        </left>
      </border>
    </ndxf>
  </rcc>
  <rcc rId="4671" sId="3" odxf="1" dxf="1">
    <oc r="AA157" t="inlineStr">
      <is>
        <t>Sheets</t>
      </is>
    </oc>
    <nc r="AA15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  <right/>
        <top/>
        <bottom/>
      </border>
    </ndxf>
  </rcc>
  <rcc rId="4672" sId="3" odxf="1" s="1" dxf="1" numFmtId="34">
    <nc r="AA158">
      <v>124486.83333333333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horizontal="center" readingOrder="0"/>
      <border outline="0">
        <left style="medium">
          <color indexed="64"/>
        </left>
      </border>
      <protection locked="0"/>
    </ndxf>
  </rcc>
  <rcc rId="4673" sId="3" odxf="1" dxf="1">
    <nc r="AA159" t="inlineStr">
      <is>
        <t>Pending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A160" start="0" length="0">
    <dxf>
      <border outline="0">
        <left style="medium">
          <color indexed="64"/>
        </left>
      </border>
    </dxf>
  </rfmt>
  <rfmt sheetId="3" sqref="AB160" start="0" length="0">
    <dxf/>
  </rfmt>
  <rcc rId="4674" sId="3" odxf="1" dxf="1">
    <nc r="AA161">
      <v>0</v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675" sId="3" odxf="1" dxf="1">
    <nc r="AA162">
      <v>0</v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A163" start="0" length="0">
    <dxf>
      <border outline="0">
        <left style="medium">
          <color indexed="64"/>
        </left>
      </border>
    </dxf>
  </rfmt>
  <rfmt sheetId="3" sqref="AB163" start="0" length="0">
    <dxf/>
  </rfmt>
  <rfmt sheetId="3" sqref="AA164" start="0" length="0">
    <dxf>
      <border outline="0">
        <left style="medium">
          <color indexed="64"/>
        </left>
      </border>
    </dxf>
  </rfmt>
  <rfmt sheetId="3" sqref="AA165" start="0" length="0">
    <dxf>
      <border outline="0">
        <left style="medium">
          <color indexed="64"/>
        </left>
      </border>
    </dxf>
  </rfmt>
  <rcc rId="4676" sId="3" odxf="1" dxf="1">
    <oc r="AA166">
      <v>9</v>
    </oc>
    <nc r="AA166" t="inlineStr">
      <is>
        <t>Pending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677" sId="3" odxf="1" dxf="1">
    <nc r="AA167" t="inlineStr">
      <is>
        <t>Pending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A168" start="0" length="0">
    <dxf>
      <border outline="0">
        <left style="medium">
          <color indexed="64"/>
        </left>
      </border>
    </dxf>
  </rfmt>
  <rfmt sheetId="3" sqref="AB168" start="0" length="0">
    <dxf/>
  </rfmt>
  <rfmt sheetId="3" sqref="AA169" start="0" length="0">
    <dxf>
      <border outline="0">
        <left style="medium">
          <color indexed="64"/>
        </left>
      </border>
    </dxf>
  </rfmt>
  <rfmt sheetId="3" sqref="AA170" start="0" length="0">
    <dxf>
      <border outline="0">
        <left style="medium">
          <color indexed="64"/>
        </left>
      </border>
    </dxf>
  </rfmt>
  <rfmt sheetId="3" sqref="AB170" start="0" length="0">
    <dxf/>
  </rfmt>
  <rcc rId="4678" sId="3" odxf="1" s="1" dxf="1" numFmtId="34">
    <oc r="AA171">
      <v>4381392.5599999996</v>
    </oc>
    <nc r="AA171">
      <v>7950329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79" sId="3" odxf="1" s="1" dxf="1" numFmtId="34">
    <oc r="AA172">
      <v>194150</v>
    </oc>
    <nc r="AA172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80" sId="3" odxf="1" s="1" dxf="1" numFmtId="34">
    <oc r="AA173">
      <v>93907.44</v>
    </oc>
    <nc r="AA173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81" sId="3" odxf="1" s="1" dxf="1" numFmtId="34">
    <oc r="AA174">
      <v>241612</v>
    </oc>
    <nc r="AA174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fmt sheetId="3" sqref="AA175" start="0" length="0">
    <dxf>
      <border outline="0">
        <left style="medium">
          <color indexed="64"/>
        </left>
      </border>
    </dxf>
  </rfmt>
  <rfmt sheetId="3" sqref="AB175" start="0" length="0">
    <dxf/>
  </rfmt>
  <rfmt sheetId="3" sqref="AA176" start="0" length="0">
    <dxf>
      <border outline="0">
        <left style="medium">
          <color indexed="64"/>
        </left>
      </border>
    </dxf>
  </rfmt>
  <rfmt sheetId="3" sqref="AA177" start="0" length="0">
    <dxf>
      <border outline="0">
        <left style="medium">
          <color indexed="64"/>
        </left>
      </border>
    </dxf>
  </rfmt>
  <rcc rId="4682" sId="3" odxf="1" s="1" dxf="1" numFmtId="34">
    <oc r="AA178">
      <f>382332+105436+5055080+271051</f>
    </oc>
    <nc r="AA178">
      <v>5286914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9"/>
        <color auto="1"/>
        <name val="Calibri"/>
        <scheme val="minor"/>
      </font>
      <border outline="0">
        <left style="medium">
          <color indexed="64"/>
        </left>
      </border>
    </ndxf>
  </rcc>
  <rcc rId="4683" sId="3" odxf="1" dxf="1">
    <oc r="AB178">
      <v>6505305</v>
    </oc>
    <nc r="AB178"/>
    <odxf>
      <font>
        <sz val="9"/>
      </font>
      <numFmt numFmtId="165" formatCode="_(* #,##0_);_(* \(#,##0\);_(* &quot;-&quot;??_);_(@_)"/>
    </odxf>
    <ndxf>
      <font>
        <sz val="9"/>
        <color rgb="FFFF0000"/>
      </font>
      <numFmt numFmtId="0" formatCode="General"/>
    </ndxf>
  </rcc>
  <rcc rId="4684" sId="3" odxf="1" s="1" dxf="1">
    <nc r="AA179">
      <f>AA178/AA4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35" formatCode="_(* #,##0.00_);_(* \(#,##0.00\);_(* &quot;-&quot;??_);_(@_)"/>
      <border outline="0">
        <left style="medium">
          <color indexed="64"/>
        </left>
      </border>
    </ndxf>
  </rcc>
  <rfmt sheetId="3" sqref="AA180" start="0" length="0">
    <dxf>
      <border outline="0">
        <left style="medium">
          <color indexed="64"/>
        </left>
      </border>
    </dxf>
  </rfmt>
  <rfmt sheetId="3" sqref="AB180" start="0" length="0">
    <dxf/>
  </rfmt>
  <rcc rId="4685" sId="3" odxf="1" dxf="1">
    <oc r="AA181">
      <v>5</v>
    </oc>
    <nc r="AA181">
      <f>'HT Express BSC '!AA125+'HT Stores BSC'!AA118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686" sId="3" odxf="1" dxf="1">
    <oc r="AA182">
      <v>0</v>
    </oc>
    <nc r="AA182">
      <f>'HT Express BSC '!AA126+'HT Stores BSC'!AA119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687" sId="3" odxf="1" dxf="1">
    <nc r="AA183">
      <f>'HT Express BSC '!AA127+'HT Stores BSC'!AA120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A184" start="0" length="0">
    <dxf>
      <border outline="0">
        <left style="medium">
          <color indexed="64"/>
        </left>
      </border>
    </dxf>
  </rfmt>
  <rfmt sheetId="3" sqref="AB184" start="0" length="0">
    <dxf/>
  </rfmt>
  <rfmt sheetId="3" sqref="AA187" start="0" length="0">
    <dxf>
      <border outline="0">
        <left style="medium">
          <color indexed="64"/>
        </left>
      </border>
    </dxf>
  </rfmt>
  <rfmt sheetId="3" sqref="AB187" start="0" length="0">
    <dxf/>
  </rfmt>
  <rfmt sheetId="3" sqref="AA188" start="0" length="0">
    <dxf>
      <border outline="0">
        <left style="medium">
          <color indexed="64"/>
        </left>
        <right style="thin">
          <color indexed="64"/>
        </right>
      </border>
    </dxf>
  </rfmt>
  <rfmt sheetId="3" sqref="AA189" start="0" length="0">
    <dxf>
      <border outline="0">
        <left style="medium">
          <color indexed="64"/>
        </left>
      </border>
    </dxf>
  </rfmt>
  <rcc rId="4688" sId="3">
    <oc r="AA190" t="inlineStr">
      <is>
        <t>NA</t>
      </is>
    </oc>
    <nc r="AA190" t="inlineStr">
      <is>
        <t>Pending</t>
      </is>
    </nc>
  </rcc>
  <rfmt sheetId="3" sqref="AB190" start="0" length="0">
    <dxf>
      <font>
        <b/>
        <sz val="9"/>
      </font>
    </dxf>
  </rfmt>
  <rcc rId="4689" sId="3">
    <oc r="AA191" t="inlineStr">
      <is>
        <t>NA</t>
      </is>
    </oc>
    <nc r="AA191" t="inlineStr">
      <is>
        <t>Pending</t>
      </is>
    </nc>
  </rcc>
  <rfmt sheetId="3" sqref="AB191" start="0" length="0">
    <dxf>
      <font>
        <b/>
        <sz val="9"/>
      </font>
    </dxf>
  </rfmt>
  <rcc rId="4690" sId="3">
    <oc r="AA192" t="inlineStr">
      <is>
        <t>NA</t>
      </is>
    </oc>
    <nc r="AA192" t="inlineStr">
      <is>
        <t>Pending</t>
      </is>
    </nc>
  </rcc>
  <rfmt sheetId="3" sqref="AB192" start="0" length="0">
    <dxf>
      <font>
        <b/>
        <sz val="9"/>
      </font>
    </dxf>
  </rfmt>
  <rcc rId="4691" sId="3">
    <oc r="AA193" t="inlineStr">
      <is>
        <t>NA</t>
      </is>
    </oc>
    <nc r="AA193" t="inlineStr">
      <is>
        <t>Pending</t>
      </is>
    </nc>
  </rcc>
  <rfmt sheetId="3" sqref="AB193" start="0" length="0">
    <dxf>
      <font>
        <b/>
        <sz val="9"/>
      </font>
    </dxf>
  </rfmt>
  <rcc rId="4692" sId="3">
    <oc r="AA194" t="inlineStr">
      <is>
        <t>NA</t>
      </is>
    </oc>
    <nc r="AA194" t="inlineStr">
      <is>
        <t>Pending</t>
      </is>
    </nc>
  </rcc>
  <rfmt sheetId="3" sqref="AB194" start="0" length="0">
    <dxf>
      <font>
        <b/>
        <sz val="9"/>
      </font>
      <border outline="0">
        <bottom style="medium">
          <color indexed="64"/>
        </bottom>
      </border>
    </dxf>
  </rfmt>
  <rcmt sheetId="3" cell="AA151" guid="{00000000-0000-0000-0000-000000000000}" action="delete" author="Ganesh Mavathur"/>
  <rcc rId="4693" sId="3" odxf="1" s="1" dxf="1" numFmtId="34">
    <oc r="AG4">
      <f>'HT Express BSC '!AG5+'HT Stores BSC'!AG5+'HT Fine Dining'!AG5</f>
    </oc>
    <nc r="AG4">
      <v>20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94" sId="3" odxf="1" s="1" dxf="1" numFmtId="34">
    <oc r="AH4">
      <v>16615069.59</v>
    </oc>
    <nc r="AH4">
      <v>17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695" sId="3" odxf="1" s="1" dxf="1" numFmtId="34">
    <oc r="AG5">
      <f>'HT Express BSC '!AG6+'HT Stores BSC'!AG6+'HT Fine Dining'!AG6</f>
    </oc>
    <nc r="AG5">
      <v>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696" sId="3" odxf="1" s="1" dxf="1" numFmtId="34">
    <nc r="AH5">
      <v>15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697" sId="3" odxf="1" dxf="1">
    <oc r="AG6">
      <f>AG4/AG5</f>
    </oc>
    <nc r="AG6">
      <f>AG4/AG5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="1" sqref="AH6" start="0" length="0">
    <dxf>
      <numFmt numFmtId="13" formatCode="0%"/>
    </dxf>
  </rfmt>
  <rfmt sheetId="3" sqref="AG7" start="0" length="0">
    <dxf>
      <border outline="0">
        <left style="medium">
          <color indexed="64"/>
        </left>
        <right/>
      </border>
    </dxf>
  </rfmt>
  <rfmt sheetId="3" sqref="AH7" start="0" length="0">
    <dxf>
      <border outline="0">
        <right/>
      </border>
    </dxf>
  </rfmt>
  <rcc rId="4698" sId="3" odxf="1" s="1" dxf="1" numFmtId="13">
    <oc r="AG8">
      <f>'HT Stores BSC'!AG5/'TSF Prasadam Overall'!AG4</f>
    </oc>
    <nc r="AG8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699" sId="3" odxf="1" s="1" dxf="1" numFmtId="13">
    <nc r="AH8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4700" sId="3" odxf="1" s="1" dxf="1" numFmtId="13">
    <oc r="AG9">
      <f>'HT Express BSC '!AG5/'TSF Prasadam Overall'!AG4</f>
    </oc>
    <nc r="AG9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701" sId="3" odxf="1" s="1" dxf="1" numFmtId="13">
    <nc r="AH9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4702" sId="3" odxf="1" s="1" dxf="1" numFmtId="13">
    <oc r="AG10">
      <f>'HT Fine Dining'!AG5/'TSF Prasadam Overall'!AG4</f>
    </oc>
    <nc r="AG10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703" sId="3" odxf="1" s="1" dxf="1" numFmtId="13">
    <nc r="AH10">
      <v>0.05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fmt sheetId="3" sqref="AG11" start="0" length="0">
    <dxf>
      <border outline="0">
        <left style="medium">
          <color indexed="64"/>
        </left>
        <right/>
      </border>
    </dxf>
  </rfmt>
  <rfmt sheetId="3" sqref="AH11" start="0" length="0">
    <dxf>
      <border outline="0">
        <right/>
      </border>
    </dxf>
  </rfmt>
  <rcc rId="4704" sId="3" odxf="1" dxf="1" numFmtId="34">
    <oc r="AG12">
      <f>AG16+AG20+AG24</f>
    </oc>
    <nc r="AG12">
      <v>15</v>
    </nc>
    <odxf>
      <font>
        <b/>
        <sz val="9"/>
      </font>
    </odxf>
    <ndxf>
      <font>
        <b val="0"/>
        <sz val="9"/>
      </font>
    </ndxf>
  </rcc>
  <rcc rId="4705" sId="3" odxf="1" dxf="1" numFmtId="34">
    <oc r="AH12">
      <f>AH16+AH20+AH24</f>
    </oc>
    <nc r="AH12">
      <v>15</v>
    </nc>
    <odxf>
      <font>
        <b/>
        <sz val="9"/>
      </font>
      <border outline="0">
        <left style="medium">
          <color indexed="64"/>
        </left>
      </border>
    </odxf>
    <ndxf>
      <font>
        <b val="0"/>
        <sz val="9"/>
      </font>
      <border outline="0">
        <left style="thin">
          <color indexed="64"/>
        </left>
      </border>
    </ndxf>
  </rcc>
  <rcc rId="4706" sId="3" odxf="1" s="1" dxf="1" numFmtId="34">
    <oc r="AG13">
      <f>AG17+AG21+AG25</f>
    </oc>
    <nc r="AG13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07" sId="3" odxf="1" s="1" dxf="1" numFmtId="34">
    <nc r="AH13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08" sId="3">
    <oc r="AG14">
      <f>AG12/AG13</f>
    </oc>
    <nc r="AG14">
      <f>AG12/AG13</f>
    </nc>
  </rcc>
  <rfmt sheetId="3" sqref="AH14" start="0" length="0">
    <dxf>
      <numFmt numFmtId="13" formatCode="0%"/>
    </dxf>
  </rfmt>
  <rfmt sheetId="3" sqref="AG15" start="0" length="0">
    <dxf>
      <border outline="0">
        <left style="medium">
          <color indexed="64"/>
        </left>
        <right/>
      </border>
    </dxf>
  </rfmt>
  <rfmt sheetId="3" sqref="AH15" start="0" length="0">
    <dxf>
      <border outline="0">
        <right/>
      </border>
    </dxf>
  </rfmt>
  <rcc rId="4709" sId="3" odxf="1" s="1" dxf="1">
    <oc r="AG16">
      <f>'HT Stores BSC'!AG9</f>
    </oc>
    <nc r="AG16">
      <f>'HT Stores BSC'!AG9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fmt sheetId="3" s="1" sqref="AH16" start="0" length="0">
    <dxf>
      <numFmt numFmtId="165" formatCode="_(* #,##0_);_(* \(#,##0\);_(* &quot;-&quot;??_);_(@_)"/>
    </dxf>
  </rfmt>
  <rcc rId="4710" sId="3" odxf="1" s="1" dxf="1" numFmtId="34">
    <oc r="AG17">
      <v>1000000</v>
    </oc>
    <nc r="AG17">
      <f>'HT Stores BSC'!AG10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11" sId="3" odxf="1" dxf="1">
    <oc r="AG18">
      <f>AG16/AG17</f>
    </oc>
    <nc r="AG18">
      <f>AG16/AG17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H18" start="0" length="0">
    <dxf>
      <numFmt numFmtId="13" formatCode="0%"/>
    </dxf>
  </rfmt>
  <rfmt sheetId="3" sqref="AG19" start="0" length="0">
    <dxf>
      <border outline="0">
        <left style="medium">
          <color indexed="64"/>
        </left>
        <right/>
      </border>
    </dxf>
  </rfmt>
  <rfmt sheetId="3" sqref="AH19" start="0" length="0">
    <dxf>
      <border outline="0">
        <right/>
      </border>
    </dxf>
  </rfmt>
  <rcc rId="4712" sId="3" odxf="1" s="1" dxf="1">
    <oc r="AG20">
      <f>'HT Stores BSC'!AG13</f>
    </oc>
    <nc r="AG20">
      <f>'HT Stores BSC'!AG13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713" sId="3" odxf="1" s="1" dxf="1" numFmtId="34">
    <oc r="AH20">
      <v>6020639</v>
    </oc>
    <nc r="AH20">
      <f>'HT Stores BSC'!AH13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14" sId="3" odxf="1" s="1" dxf="1">
    <oc r="AG21">
      <f>'HT Stores BSC'!AG14</f>
    </oc>
    <nc r="AG21">
      <f>'HT Stores BSC'!AG14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fmt sheetId="3" s="1" sqref="AH21" start="0" length="0">
    <dxf>
      <numFmt numFmtId="165" formatCode="_(* #,##0_);_(* \(#,##0\);_(* &quot;-&quot;??_);_(@_)"/>
    </dxf>
  </rfmt>
  <rcc rId="4715" sId="3" odxf="1" dxf="1">
    <oc r="AG22">
      <f>AG20/AG21</f>
    </oc>
    <nc r="AG22">
      <f>'HT Stores BSC'!AG15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H22" start="0" length="0">
    <dxf>
      <numFmt numFmtId="13" formatCode="0%"/>
    </dxf>
  </rfmt>
  <rfmt sheetId="3" sqref="AG23" start="0" length="0">
    <dxf>
      <border outline="0">
        <left style="medium">
          <color indexed="64"/>
        </left>
        <right/>
      </border>
    </dxf>
  </rfmt>
  <rfmt sheetId="3" sqref="AH23" start="0" length="0">
    <dxf>
      <border outline="0">
        <right/>
      </border>
    </dxf>
  </rfmt>
  <rcc rId="4716" sId="3" odxf="1" s="1" dxf="1">
    <oc r="AG24">
      <f>'HT Stores BSC'!AG17</f>
    </oc>
    <nc r="AG24">
      <f>'HT Stores BSC'!AG17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717" sId="3" odxf="1" s="1" dxf="1" numFmtId="34">
    <nc r="AH24">
      <v>1294428.1183333334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18" sId="3" odxf="1" s="1" dxf="1">
    <oc r="AG25">
      <f>'HT Stores BSC'!AG18</f>
    </oc>
    <nc r="AG25">
      <f>'HT Stores BSC'!AG18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19" sId="3">
    <oc r="AG26">
      <f>AG24/AG25</f>
    </oc>
    <nc r="AG26">
      <f>AG24/AG25</f>
    </nc>
  </rcc>
  <rfmt sheetId="3" sqref="AH26" start="0" length="0">
    <dxf>
      <numFmt numFmtId="13" formatCode="0%"/>
    </dxf>
  </rfmt>
  <rfmt sheetId="3" sqref="AG27" start="0" length="0">
    <dxf>
      <border outline="0">
        <left style="medium">
          <color indexed="64"/>
        </left>
        <right/>
      </border>
    </dxf>
  </rfmt>
  <rfmt sheetId="3" sqref="AH27" start="0" length="0">
    <dxf>
      <border outline="0">
        <right/>
      </border>
    </dxf>
  </rfmt>
  <rcc rId="4720" sId="3" numFmtId="13">
    <oc r="AG28">
      <f>AG16/AG12</f>
    </oc>
    <nc r="AG28">
      <v>0.45</v>
    </nc>
  </rcc>
  <rcc rId="4721" sId="3" numFmtId="13">
    <oc r="AH28">
      <f>AH16/AH12</f>
    </oc>
    <nc r="AH28">
      <v>0.15</v>
    </nc>
  </rcc>
  <rcc rId="4722" sId="3" numFmtId="13">
    <oc r="AG29">
      <f>AG20/AG12</f>
    </oc>
    <nc r="AG29">
      <v>0.39</v>
    </nc>
  </rcc>
  <rcc rId="4723" sId="3" numFmtId="13">
    <oc r="AH29">
      <f>AH20/AH12</f>
    </oc>
    <nc r="AH29">
      <v>0.1</v>
    </nc>
  </rcc>
  <rcc rId="4724" sId="3" numFmtId="13">
    <oc r="AG30">
      <f>AG24/AG12</f>
    </oc>
    <nc r="AG30">
      <v>0.37</v>
    </nc>
  </rcc>
  <rcc rId="4725" sId="3" numFmtId="13">
    <oc r="AH30">
      <f>AH24/AH12</f>
    </oc>
    <nc r="AH30">
      <v>0.06</v>
    </nc>
  </rcc>
  <rfmt sheetId="3" sqref="AG31" start="0" length="0">
    <dxf>
      <border outline="0">
        <left style="medium">
          <color indexed="64"/>
        </left>
        <right/>
      </border>
    </dxf>
  </rfmt>
  <rfmt sheetId="3" sqref="AH31" start="0" length="0">
    <dxf>
      <border outline="0">
        <right/>
      </border>
    </dxf>
  </rfmt>
  <rcc rId="4726" sId="3" odxf="1" s="1" dxf="1" numFmtId="34">
    <oc r="AG32">
      <f>'HT Express BSC '!AG5</f>
    </oc>
    <nc r="AG32">
      <v>29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27" sId="3" odxf="1" s="1" dxf="1" numFmtId="34">
    <nc r="AH32">
      <v>21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28" sId="3" odxf="1" s="1" dxf="1" numFmtId="34">
    <oc r="AG33">
      <f>'HT Express BSC '!AG6</f>
    </oc>
    <nc r="AG33">
      <v>30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29" sId="3" odxf="1" s="1" dxf="1" numFmtId="34">
    <nc r="AH33">
      <v>20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30" sId="3">
    <oc r="AG34">
      <f>AG32/AG33</f>
    </oc>
    <nc r="AG34">
      <f>AG32/AG33</f>
    </nc>
  </rcc>
  <rfmt sheetId="3" sqref="AH34" start="0" length="0">
    <dxf>
      <numFmt numFmtId="13" formatCode="0%"/>
    </dxf>
  </rfmt>
  <rfmt sheetId="3" sqref="AG35" start="0" length="0">
    <dxf>
      <border outline="0">
        <left style="medium">
          <color indexed="64"/>
        </left>
        <right/>
      </border>
    </dxf>
  </rfmt>
  <rfmt sheetId="3" sqref="AH35" start="0" length="0">
    <dxf>
      <border outline="0">
        <right/>
      </border>
    </dxf>
  </rfmt>
  <rcc rId="4731" sId="3" odxf="1" s="1" dxf="1" numFmtId="34">
    <oc r="AG36">
      <f>'HT Express BSC '!AG9</f>
    </oc>
    <nc r="AG36">
      <v>12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32" sId="3" odxf="1" s="1" dxf="1" numFmtId="34">
    <nc r="AH36">
      <v>12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33" sId="3" odxf="1" s="1" dxf="1" numFmtId="34">
    <oc r="AG37">
      <f>'HT Express BSC '!AG10</f>
    </oc>
    <nc r="AG37">
      <v>12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34" sId="3" odxf="1" s="1" dxf="1">
    <nc r="AH37">
      <f>'HT Express BSC '!AH10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35" sId="3">
    <oc r="AG38">
      <f>AG36/AG37</f>
    </oc>
    <nc r="AG38">
      <f>AG36/AG37</f>
    </nc>
  </rcc>
  <rfmt sheetId="3" sqref="AH38" start="0" length="0">
    <dxf>
      <numFmt numFmtId="13" formatCode="0%"/>
    </dxf>
  </rfmt>
  <rfmt sheetId="3" sqref="AG39" start="0" length="0">
    <dxf>
      <border outline="0">
        <left style="medium">
          <color indexed="64"/>
        </left>
        <right/>
      </border>
    </dxf>
  </rfmt>
  <rfmt sheetId="3" sqref="AH39" start="0" length="0">
    <dxf>
      <border outline="0">
        <right/>
      </border>
    </dxf>
  </rfmt>
  <rcc rId="4736" sId="3" odxf="1" s="1" dxf="1" numFmtId="34">
    <oc r="AG40">
      <f>'HT Express BSC '!AG13</f>
    </oc>
    <nc r="AG40">
      <v>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37" sId="3">
    <nc r="AH40">
      <v>5</v>
    </nc>
  </rcc>
  <rcc rId="4738" sId="3" odxf="1" s="1" dxf="1" numFmtId="34">
    <oc r="AG41">
      <f>'HT Express BSC '!AG14</f>
    </oc>
    <nc r="AG41">
      <v>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39" sId="3">
    <nc r="AH41">
      <v>2</v>
    </nc>
  </rcc>
  <rcc rId="4740" sId="3">
    <oc r="AG42">
      <f>AG40/AG41</f>
    </oc>
    <nc r="AG42">
      <f>AG40/AG41</f>
    </nc>
  </rcc>
  <rfmt sheetId="3" sqref="AH42" start="0" length="0">
    <dxf>
      <numFmt numFmtId="13" formatCode="0%"/>
    </dxf>
  </rfmt>
  <rfmt sheetId="3" sqref="AG43" start="0" length="0">
    <dxf>
      <border outline="0">
        <left style="medium">
          <color indexed="64"/>
        </left>
        <right/>
      </border>
    </dxf>
  </rfmt>
  <rfmt sheetId="3" sqref="AH43" start="0" length="0">
    <dxf>
      <border outline="0">
        <right/>
      </border>
    </dxf>
  </rfmt>
  <rcc rId="4741" sId="3" odxf="1" s="1" dxf="1" numFmtId="34">
    <oc r="AG44">
      <f>'HT Express BSC '!AG17</f>
    </oc>
    <nc r="AG44">
      <v>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42" sId="3" odxf="1" s="1" dxf="1" numFmtId="34">
    <nc r="AH44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43" sId="3" odxf="1" s="1" dxf="1" numFmtId="34">
    <oc r="AG45">
      <f>'HT Express BSC '!AG18</f>
    </oc>
    <nc r="AG45">
      <v>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44" sId="3" odxf="1" s="1" dxf="1">
    <nc r="AH45">
      <f>'HT Express BSC '!AH18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45" sId="3">
    <oc r="AG46">
      <f>AG44/AG45</f>
    </oc>
    <nc r="AG46">
      <f>AG44/AG45</f>
    </nc>
  </rcc>
  <rfmt sheetId="3" sqref="AH46" start="0" length="0">
    <dxf>
      <numFmt numFmtId="13" formatCode="0%"/>
    </dxf>
  </rfmt>
  <rfmt sheetId="3" sqref="AG47" start="0" length="0">
    <dxf>
      <border outline="0">
        <left style="medium">
          <color indexed="64"/>
        </left>
        <right/>
      </border>
    </dxf>
  </rfmt>
  <rfmt sheetId="3" sqref="AH47" start="0" length="0">
    <dxf>
      <border outline="0">
        <right/>
      </border>
    </dxf>
  </rfmt>
  <rcc rId="4746" sId="3" odxf="1" s="1" dxf="1" numFmtId="34">
    <oc r="AG48">
      <f>'HT Express BSC '!AG21</f>
    </oc>
    <nc r="AG48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47" sId="3">
    <nc r="AH48" t="inlineStr">
      <is>
        <t>NA</t>
      </is>
    </nc>
  </rcc>
  <rcc rId="4748" sId="3" odxf="1" s="1" dxf="1" numFmtId="34">
    <oc r="AG49">
      <f>'HT Express BSC '!AG22</f>
    </oc>
    <nc r="AG49">
      <v>2.5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49" sId="3">
    <oc r="AG50">
      <f>AG48/AG49</f>
    </oc>
    <nc r="AG50">
      <f>AG48/AG49</f>
    </nc>
  </rcc>
  <rfmt sheetId="3" sqref="AH50" start="0" length="0">
    <dxf>
      <numFmt numFmtId="13" formatCode="0%"/>
    </dxf>
  </rfmt>
  <rfmt sheetId="3" sqref="AG51" start="0" length="0">
    <dxf>
      <border outline="0">
        <left style="medium">
          <color indexed="64"/>
        </left>
        <right/>
      </border>
    </dxf>
  </rfmt>
  <rfmt sheetId="3" sqref="AH51" start="0" length="0">
    <dxf>
      <border outline="0">
        <right/>
      </border>
    </dxf>
  </rfmt>
  <rcc rId="4750" sId="3">
    <oc r="AG52">
      <f>AG36/AG32</f>
    </oc>
    <nc r="AG52">
      <f>AG36/AG32</f>
    </nc>
  </rcc>
  <rcc rId="4751" sId="3" odxf="1" s="1" dxf="1">
    <nc r="AH52">
      <f>AH36/AH32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4752" sId="3">
    <oc r="AG53">
      <f>AG40/AG32</f>
    </oc>
    <nc r="AG53">
      <f>AG40/AG32</f>
    </nc>
  </rcc>
  <rfmt sheetId="3" s="1" sqref="AH53" start="0" length="0">
    <dxf>
      <numFmt numFmtId="13" formatCode="0%"/>
    </dxf>
  </rfmt>
  <rcc rId="4753" sId="3">
    <oc r="AG54">
      <f>AG44/AG32</f>
    </oc>
    <nc r="AG54">
      <f>AG44/AG32</f>
    </nc>
  </rcc>
  <rcc rId="4754" sId="3" odxf="1" s="1" dxf="1">
    <nc r="AH54">
      <f>AH44/AH32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4755" sId="3">
    <oc r="AG55">
      <f>AG48/AG32</f>
    </oc>
    <nc r="AG55">
      <f>AG48/AG32</f>
    </nc>
  </rcc>
  <rfmt sheetId="3" s="1" sqref="AH55" start="0" length="0">
    <dxf>
      <numFmt numFmtId="13" formatCode="0%"/>
    </dxf>
  </rfmt>
  <rfmt sheetId="3" sqref="AG56" start="0" length="0">
    <dxf>
      <border outline="0">
        <left style="medium">
          <color indexed="64"/>
        </left>
        <right/>
      </border>
    </dxf>
  </rfmt>
  <rfmt sheetId="3" sqref="AH56" start="0" length="0">
    <dxf>
      <border outline="0">
        <right/>
      </border>
    </dxf>
  </rfmt>
  <rcc rId="4756" sId="3" odxf="1" s="1" dxf="1" numFmtId="34">
    <oc r="AG57">
      <f>'HT Fine Dining'!AG5</f>
    </oc>
    <nc r="AG57">
      <v>21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57" sId="3" odxf="1" s="1" dxf="1" numFmtId="34">
    <nc r="AH57">
      <v>25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58" sId="3" odxf="1" s="1" dxf="1" numFmtId="34">
    <oc r="AG58">
      <f>'HT Fine Dining'!AG6</f>
    </oc>
    <nc r="AG58">
      <v>25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59" sId="3" odxf="1" s="1" dxf="1" numFmtId="34">
    <nc r="AH58">
      <v>20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60" sId="3">
    <oc r="AG59">
      <f>AG57/AG58</f>
    </oc>
    <nc r="AG59">
      <f>AG57/AG58</f>
    </nc>
  </rcc>
  <rcc rId="4761" sId="3" odxf="1" dxf="1">
    <nc r="AH59">
      <f>AH57/AH58</f>
    </nc>
    <odxf>
      <numFmt numFmtId="0" formatCode="General"/>
    </odxf>
    <ndxf>
      <numFmt numFmtId="13" formatCode="0%"/>
    </ndxf>
  </rcc>
  <rfmt sheetId="3" sqref="AG60" start="0" length="0">
    <dxf>
      <border outline="0">
        <left style="medium">
          <color indexed="64"/>
        </left>
        <right/>
      </border>
    </dxf>
  </rfmt>
  <rfmt sheetId="3" sqref="AH60" start="0" length="0">
    <dxf>
      <border outline="0">
        <right/>
      </border>
    </dxf>
  </rfmt>
  <rcc rId="4762" sId="3" odxf="1" dxf="1">
    <oc r="AG61">
      <v>0.18</v>
    </oc>
    <nc r="AG61"/>
    <odxf>
      <numFmt numFmtId="13" formatCode="0%"/>
    </odxf>
    <ndxf>
      <numFmt numFmtId="0" formatCode="General"/>
    </ndxf>
  </rcc>
  <rcc rId="4763" sId="3" odxf="1" dxf="1">
    <oc r="AG62">
      <v>0.09</v>
    </oc>
    <nc r="AG62"/>
    <odxf>
      <numFmt numFmtId="13" formatCode="0%"/>
    </odxf>
    <ndxf>
      <numFmt numFmtId="0" formatCode="General"/>
    </ndxf>
  </rcc>
  <rcc rId="4764" sId="3" odxf="1" dxf="1">
    <oc r="AG63">
      <v>0.15</v>
    </oc>
    <nc r="AG63"/>
    <odxf>
      <numFmt numFmtId="13" formatCode="0%"/>
    </odxf>
    <ndxf>
      <numFmt numFmtId="0" formatCode="General"/>
    </ndxf>
  </rcc>
  <rcc rId="4765" sId="3" odxf="1" dxf="1">
    <oc r="AG64">
      <v>0.15</v>
    </oc>
    <nc r="AG64"/>
    <odxf>
      <numFmt numFmtId="13" formatCode="0%"/>
    </odxf>
    <ndxf>
      <numFmt numFmtId="0" formatCode="General"/>
    </ndxf>
  </rcc>
  <rcc rId="4766" sId="3" odxf="1" dxf="1">
    <oc r="AG65">
      <v>0.06</v>
    </oc>
    <nc r="AG65"/>
    <odxf>
      <numFmt numFmtId="13" formatCode="0%"/>
    </odxf>
    <ndxf>
      <numFmt numFmtId="0" formatCode="General"/>
    </ndxf>
  </rcc>
  <rcc rId="4767" sId="3" odxf="1" dxf="1">
    <oc r="AG66">
      <v>0.06</v>
    </oc>
    <nc r="AG66"/>
    <odxf>
      <numFmt numFmtId="13" formatCode="0%"/>
    </odxf>
    <ndxf>
      <numFmt numFmtId="0" formatCode="General"/>
    </ndxf>
  </rcc>
  <rcc rId="4768" sId="3" odxf="1" dxf="1">
    <oc r="AG67">
      <v>0.05</v>
    </oc>
    <nc r="AG67"/>
    <odxf>
      <numFmt numFmtId="13" formatCode="0%"/>
    </odxf>
    <ndxf>
      <numFmt numFmtId="0" formatCode="General"/>
    </ndxf>
  </rcc>
  <rcc rId="4769" sId="3" odxf="1" dxf="1">
    <oc r="AG68">
      <v>0.11</v>
    </oc>
    <nc r="AG68"/>
    <odxf>
      <numFmt numFmtId="13" formatCode="0%"/>
    </odxf>
    <ndxf>
      <numFmt numFmtId="0" formatCode="General"/>
    </ndxf>
  </rcc>
  <rcc rId="4770" sId="3" odxf="1" dxf="1">
    <oc r="AG69">
      <v>0.03</v>
    </oc>
    <nc r="AG69"/>
    <odxf>
      <numFmt numFmtId="13" formatCode="0%"/>
    </odxf>
    <ndxf>
      <numFmt numFmtId="0" formatCode="General"/>
    </ndxf>
  </rcc>
  <rcc rId="4771" sId="3" odxf="1" dxf="1">
    <oc r="AG70">
      <v>0.04</v>
    </oc>
    <nc r="AG70"/>
    <odxf>
      <numFmt numFmtId="13" formatCode="0%"/>
    </odxf>
    <ndxf>
      <numFmt numFmtId="0" formatCode="General"/>
    </ndxf>
  </rcc>
  <rcc rId="4772" sId="3" odxf="1" dxf="1">
    <oc r="AG71">
      <v>0.02</v>
    </oc>
    <nc r="AG71"/>
    <odxf>
      <numFmt numFmtId="13" formatCode="0%"/>
    </odxf>
    <ndxf>
      <numFmt numFmtId="0" formatCode="General"/>
    </ndxf>
  </rcc>
  <rcc rId="4773" sId="3" odxf="1" dxf="1">
    <oc r="AG72">
      <v>0.04</v>
    </oc>
    <nc r="AG72"/>
    <odxf>
      <numFmt numFmtId="13" formatCode="0%"/>
    </odxf>
    <ndxf>
      <numFmt numFmtId="0" formatCode="General"/>
    </ndxf>
  </rcc>
  <rcc rId="4774" sId="3" odxf="1" dxf="1">
    <oc r="AG73">
      <v>0.02</v>
    </oc>
    <nc r="AG73"/>
    <odxf>
      <numFmt numFmtId="13" formatCode="0%"/>
    </odxf>
    <ndxf>
      <numFmt numFmtId="0" formatCode="General"/>
    </ndxf>
  </rcc>
  <rfmt sheetId="3" sqref="AG74" start="0" length="0">
    <dxf>
      <border outline="0">
        <left style="medium">
          <color indexed="64"/>
        </left>
      </border>
    </dxf>
  </rfmt>
  <rfmt sheetId="3" sqref="AH74" start="0" length="0">
    <dxf/>
  </rfmt>
  <rcc rId="4775" sId="3" odxf="1" s="1" dxf="1" numFmtId="34">
    <oc r="AG75">
      <v>328000</v>
    </oc>
    <nc r="AG75">
      <v>316042.09999999998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776" sId="3">
    <oc r="AH75">
      <v>233000</v>
    </oc>
    <nc r="AH75">
      <v>318851</v>
    </nc>
  </rcc>
  <rcc rId="4777" sId="3">
    <oc r="AG76">
      <f>AG20/AG75</f>
    </oc>
    <nc r="AG76">
      <f>AG20/AG75</f>
    </nc>
  </rcc>
  <rcc rId="4778" sId="3" odxf="1" dxf="1">
    <oc r="AH76">
      <f>AH20/AH75</f>
    </oc>
    <nc r="AH76">
      <f>AH20/AH75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4779" sId="3">
    <oc r="AG77">
      <f>AG36/AG75</f>
    </oc>
    <nc r="AG77">
      <f>AG36/AG75</f>
    </nc>
  </rcc>
  <rcc rId="4780" sId="3" odxf="1" dxf="1">
    <oc r="AH77">
      <f>AH36/AH75</f>
    </oc>
    <nc r="AH77">
      <f>AH36/AH75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fmt sheetId="3" sqref="AG78" start="0" length="0">
    <dxf>
      <border outline="0">
        <left style="medium">
          <color indexed="64"/>
        </left>
      </border>
    </dxf>
  </rfmt>
  <rfmt sheetId="3" sqref="AH78" start="0" length="0">
    <dxf/>
  </rfmt>
  <rcc rId="4781" sId="3" odxf="1" s="1" dxf="1">
    <oc r="AG79">
      <f>AG36/7335</f>
    </oc>
    <nc r="AG79">
      <f>AG36/7335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82" sId="3" odxf="1" s="1" dxf="1">
    <nc r="AH79">
      <f>AH36/7335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83" sId="3" odxf="1" s="1" dxf="1">
    <oc r="AG80">
      <f>AG20/2799.94</f>
    </oc>
    <nc r="AG80">
      <f>AG20/2799.94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84" sId="3" odxf="1" s="1" dxf="1">
    <nc r="AH80">
      <f>AH20/2799.94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fmt sheetId="3" s="1" sqref="AG81" start="0" length="0">
    <dxf>
      <numFmt numFmtId="165" formatCode="_(* #,##0_);_(* \(#,##0\);_(* &quot;-&quot;??_);_(@_)"/>
      <border outline="0">
        <left style="medium">
          <color indexed="64"/>
        </left>
      </border>
    </dxf>
  </rfmt>
  <rfmt sheetId="3" s="1" sqref="AH81" start="0" length="0">
    <dxf>
      <numFmt numFmtId="165" formatCode="_(* #,##0_);_(* \(#,##0\);_(* &quot;-&quot;??_);_(@_)"/>
    </dxf>
  </rfmt>
  <rfmt sheetId="3" sqref="AG82" start="0" length="0">
    <dxf>
      <border outline="0">
        <left style="medium">
          <color indexed="64"/>
        </left>
      </border>
    </dxf>
  </rfmt>
  <rfmt sheetId="3" sqref="AH82" start="0" length="0">
    <dxf/>
  </rfmt>
  <rfmt sheetId="3" sqref="AG83" start="0" length="0">
    <dxf>
      <border outline="0">
        <left style="medium">
          <color indexed="64"/>
        </left>
        <right style="thin">
          <color indexed="64"/>
        </right>
        <top style="thin">
          <color indexed="64"/>
        </top>
      </border>
    </dxf>
  </rfmt>
  <rcc rId="4785" sId="3" odxf="1" s="1" dxf="1" numFmtId="34">
    <oc r="AG84">
      <f>'HT Express BSC '!AG53+'HT Stores BSC'!AG45+'HT Fine Dining'!AG23</f>
    </oc>
    <nc r="AG84">
      <v>0.1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86" sId="3" odxf="1" s="1" dxf="1" numFmtId="34">
    <oc r="AH84">
      <v>414909</v>
    </oc>
    <nc r="AH84">
      <f>'HT Express BSC '!AH53+'HT Stores BSC'!AH45+'HT Fine Dining'!AH23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787" sId="3" odxf="1" s="1" dxf="1">
    <oc r="AG85">
      <f>AG4-AG84</f>
    </oc>
    <nc r="AG85">
      <f>AG4-AG84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88" sId="3" odxf="1" dxf="1">
    <oc r="AH85">
      <f>AH4-AH84</f>
    </oc>
    <nc r="AH85"/>
    <odxf>
      <numFmt numFmtId="165" formatCode="_(* #,##0_);_(* \(#,##0\);_(* &quot;-&quot;??_);_(@_)"/>
    </odxf>
    <ndxf>
      <numFmt numFmtId="1" formatCode="0"/>
    </ndxf>
  </rcc>
  <rfmt sheetId="3" sqref="AG86" start="0" length="0">
    <dxf>
      <border outline="0">
        <left style="medium">
          <color indexed="64"/>
        </left>
        <top/>
      </border>
    </dxf>
  </rfmt>
  <rfmt sheetId="3" sqref="AH86" start="0" length="0">
    <dxf>
      <border outline="0">
        <top/>
      </border>
    </dxf>
  </rfmt>
  <rcc rId="4789" sId="3" odxf="1" s="1" dxf="1" numFmtId="34">
    <oc r="AG87">
      <f>'HT Express BSC '!AG56+'HT Stores BSC'!AG48+'HT Fine Dining'!AG26</f>
    </oc>
    <nc r="AG87">
      <v>3.5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790" sId="3" odxf="1" dxf="1" numFmtId="4">
    <oc r="AH87">
      <v>5931412</v>
    </oc>
    <nc r="AH87"/>
    <odxf>
      <numFmt numFmtId="0" formatCode="General"/>
    </odxf>
    <ndxf>
      <numFmt numFmtId="1" formatCode="0"/>
    </ndxf>
  </rcc>
  <rcc rId="4791" sId="3" odxf="1" s="1" dxf="1" numFmtId="34">
    <oc r="AG88">
      <f>'HT Express BSC '!AG57+'HT Stores BSC'!AG49+'HT Fine Dining'!AG27</f>
    </oc>
    <nc r="AG88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792" sId="3" odxf="1" dxf="1" numFmtId="4">
    <oc r="AH88">
      <v>895267</v>
    </oc>
    <nc r="AH88"/>
    <odxf>
      <numFmt numFmtId="0" formatCode="General"/>
    </odxf>
    <ndxf>
      <numFmt numFmtId="1" formatCode="0"/>
    </ndxf>
  </rcc>
  <rcc rId="4793" sId="3" odxf="1" s="1" dxf="1" numFmtId="34">
    <oc r="AG89">
      <f>'HT Express BSC '!AG58+'HT Stores BSC'!AG50+'HT Fine Dining'!AG28</f>
    </oc>
    <nc r="AG89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794" sId="3" odxf="1" dxf="1" numFmtId="13">
    <oc r="AH89">
      <v>-711557</v>
    </oc>
    <nc r="AH89">
      <f>(AG87+AG88+AG89)/AG4</f>
    </nc>
    <odxf>
      <numFmt numFmtId="0" formatCode="General"/>
    </odxf>
    <ndxf>
      <numFmt numFmtId="13" formatCode="0%"/>
    </ndxf>
  </rcc>
  <rcc rId="4795" sId="3" odxf="1" s="1" dxf="1">
    <oc r="AG90">
      <f>AG85-SUM(AG87:AG89)</f>
    </oc>
    <nc r="AG90">
      <f>AG85-AG87-AG88-AG89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96" sId="3" odxf="1" dxf="1">
    <oc r="AH90">
      <f>AH85-SUM(AH87:AH89)</f>
    </oc>
    <nc r="AH90"/>
    <odxf>
      <numFmt numFmtId="165" formatCode="_(* #,##0_);_(* \(#,##0\);_(* &quot;-&quot;??_);_(@_)"/>
    </odxf>
    <ndxf>
      <numFmt numFmtId="1" formatCode="0"/>
    </ndxf>
  </rcc>
  <rfmt sheetId="3" sqref="AG91" start="0" length="0">
    <dxf>
      <border outline="0">
        <left style="medium">
          <color indexed="64"/>
        </left>
        <top/>
      </border>
    </dxf>
  </rfmt>
  <rfmt sheetId="3" sqref="AH91" start="0" length="0">
    <dxf>
      <border outline="0">
        <top/>
      </border>
    </dxf>
  </rfmt>
  <rcc rId="4797" sId="3" odxf="1" s="1" dxf="1" numFmtId="34">
    <oc r="AG92">
      <v>4471639</v>
    </oc>
    <nc r="AG92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798" sId="3" odxf="1" dxf="1" numFmtId="4">
    <oc r="AH92">
      <v>4173714</v>
    </oc>
    <nc r="AH92"/>
    <odxf>
      <numFmt numFmtId="165" formatCode="_(* #,##0_);_(* \(#,##0\);_(* &quot;-&quot;??_);_(@_)"/>
    </odxf>
    <ndxf>
      <numFmt numFmtId="1" formatCode="0"/>
    </ndxf>
  </rcc>
  <rcc rId="4799" sId="3" odxf="1" s="1" dxf="1" numFmtId="34">
    <oc r="AG93">
      <v>601291</v>
    </oc>
    <nc r="AG93">
      <v>0.7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800" sId="3" odxf="1" dxf="1" numFmtId="4">
    <oc r="AH93">
      <v>350915</v>
    </oc>
    <nc r="AH93"/>
    <odxf>
      <numFmt numFmtId="165" formatCode="_(* #,##0_);_(* \(#,##0\);_(* &quot;-&quot;??_);_(@_)"/>
    </odxf>
    <ndxf>
      <numFmt numFmtId="1" formatCode="0"/>
    </ndxf>
  </rcc>
  <rcc rId="4801" sId="3" odxf="1" s="1" dxf="1" numFmtId="34">
    <oc r="AG94">
      <v>388520</v>
    </oc>
    <nc r="AG94">
      <v>0.75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802" sId="3" odxf="1" dxf="1" numFmtId="4">
    <oc r="AH94">
      <v>782732</v>
    </oc>
    <nc r="AH94"/>
    <odxf>
      <numFmt numFmtId="165" formatCode="_(* #,##0_);_(* \(#,##0\);_(* &quot;-&quot;??_);_(@_)"/>
    </odxf>
    <ndxf>
      <numFmt numFmtId="1" formatCode="0"/>
    </ndxf>
  </rcc>
  <rcc rId="4803" sId="3" odxf="1" s="1" dxf="1" numFmtId="34">
    <oc r="AG95">
      <v>1253156</v>
    </oc>
    <nc r="AG95">
      <v>0.6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804" sId="3" odxf="1" dxf="1" numFmtId="4">
    <oc r="AH95">
      <v>507347.63</v>
    </oc>
    <nc r="AH95"/>
    <odxf>
      <numFmt numFmtId="165" formatCode="_(* #,##0_);_(* \(#,##0\);_(* &quot;-&quot;??_);_(@_)"/>
    </odxf>
    <ndxf>
      <numFmt numFmtId="1" formatCode="0"/>
    </ndxf>
  </rcc>
  <rcc rId="4805" sId="3" odxf="1" s="1" dxf="1" numFmtId="34">
    <oc r="AG96">
      <v>68395</v>
    </oc>
    <nc r="AG96">
      <v>0.2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806" sId="3" odxf="1" dxf="1" numFmtId="4">
    <oc r="AH96">
      <v>24810</v>
    </oc>
    <nc r="AH96"/>
    <odxf>
      <numFmt numFmtId="165" formatCode="_(* #,##0_);_(* \(#,##0\);_(* &quot;-&quot;??_);_(@_)"/>
    </odxf>
    <ndxf>
      <numFmt numFmtId="1" formatCode="0"/>
    </ndxf>
  </rcc>
  <rcc rId="4807" sId="3" odxf="1" s="1" dxf="1" numFmtId="34">
    <oc r="AG97">
      <v>0</v>
    </oc>
    <nc r="AG97">
      <v>0.3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fmt sheetId="3" sqref="AH97" start="0" length="0">
    <dxf>
      <numFmt numFmtId="1" formatCode="0"/>
    </dxf>
  </rfmt>
  <rcc rId="4808" sId="3" odxf="1" s="1" dxf="1">
    <nc r="AG98">
      <f>-2128261*0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AH98" start="0" length="0">
    <dxf>
      <numFmt numFmtId="1" formatCode="0"/>
      <alignment vertical="bottom" wrapText="0" readingOrder="0"/>
    </dxf>
  </rfmt>
  <rfmt sheetId="3" s="1" sqref="AG99" start="0" length="0">
    <dxf>
      <numFmt numFmtId="165" formatCode="_(* #,##0_);_(* \(#,##0\);_(* &quot;-&quot;??_);_(@_)"/>
      <border outline="0">
        <left style="medium">
          <color indexed="64"/>
        </left>
        <top/>
      </border>
    </dxf>
  </rfmt>
  <rfmt sheetId="3" sqref="AH99" start="0" length="0">
    <dxf>
      <border outline="0">
        <top/>
      </border>
    </dxf>
  </rfmt>
  <rcc rId="4809" sId="3" odxf="1" s="1" dxf="1">
    <oc r="AG100">
      <f>AG90-SUM(AG92:AG98)</f>
    </oc>
    <nc r="AG100">
      <f>AG90-SUM(AG92:AG98)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810" sId="3" odxf="1" dxf="1">
    <oc r="AH100">
      <f>AH90-SUM(AH92:AH98)</f>
    </oc>
    <nc r="AH100"/>
    <odxf>
      <numFmt numFmtId="165" formatCode="_(* #,##0_);_(* \(#,##0\);_(* &quot;-&quot;??_);_(@_)"/>
    </odxf>
    <ndxf>
      <numFmt numFmtId="1" formatCode="0"/>
    </ndxf>
  </rcc>
  <rfmt sheetId="3" sqref="AG101" start="0" length="0">
    <dxf>
      <border outline="0">
        <left style="medium">
          <color indexed="64"/>
        </left>
      </border>
    </dxf>
  </rfmt>
  <rcc rId="4811" sId="3" odxf="1" s="1" dxf="1">
    <oc r="AG102">
      <f>AG100/AG85</f>
    </oc>
    <nc r="AG102">
      <f>AG100/AG85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cc rId="4812" sId="3" odxf="1" s="1" dxf="1">
    <oc r="AH102">
      <f>AH100/AH85</f>
    </oc>
    <nc r="AH102"/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thin">
          <color indexed="64"/>
        </left>
      </border>
    </ndxf>
  </rcc>
  <rfmt sheetId="3" sqref="AG103" start="0" length="0">
    <dxf>
      <border outline="0">
        <left style="medium">
          <color indexed="64"/>
        </left>
      </border>
    </dxf>
  </rfmt>
  <rfmt sheetId="3" sqref="AH103" start="0" length="0">
    <dxf/>
  </rfmt>
  <rcc rId="4813" sId="3" odxf="1" dxf="1" numFmtId="13">
    <nc r="AG104">
      <v>-4.7374607982104272E-2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AH104" start="0" length="0">
    <dxf>
      <numFmt numFmtId="13" formatCode="0%"/>
    </dxf>
  </rfmt>
  <rcc rId="4814" sId="3" odxf="1" dxf="1" numFmtId="13">
    <nc r="AG105">
      <v>0.3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AH105" start="0" length="0">
    <dxf>
      <numFmt numFmtId="13" formatCode="0%"/>
    </dxf>
  </rfmt>
  <rcc rId="4815" sId="3" odxf="1" dxf="1" numFmtId="13">
    <nc r="AG106">
      <v>0.25</v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AH106" start="0" length="0">
    <dxf>
      <numFmt numFmtId="13" formatCode="0%"/>
    </dxf>
  </rfmt>
  <rfmt sheetId="3" sqref="AG107" start="0" length="0">
    <dxf>
      <border outline="0">
        <left style="medium">
          <color indexed="64"/>
        </left>
      </border>
    </dxf>
  </rfmt>
  <rfmt sheetId="3" sqref="AH107" start="0" length="0">
    <dxf/>
  </rfmt>
  <rcc rId="4816" sId="3" odxf="1" s="1" dxf="1">
    <nc r="AG108">
      <f>'HT Express BSC '!AG72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H108" start="0" length="0">
    <dxf>
      <numFmt numFmtId="13" formatCode="0%"/>
    </dxf>
  </rfmt>
  <rcc rId="4817" sId="3" odxf="1" s="1" dxf="1">
    <nc r="AG109">
      <f>'HT Express BSC '!AG73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H109" start="0" length="0">
    <dxf>
      <numFmt numFmtId="13" formatCode="0%"/>
    </dxf>
  </rfmt>
  <rcc rId="4818" sId="3" odxf="1" s="1" dxf="1">
    <nc r="AG110">
      <f>'HT Express BSC '!AG74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H110" start="0" length="0">
    <dxf>
      <numFmt numFmtId="13" formatCode="0%"/>
    </dxf>
  </rfmt>
  <rcc rId="4819" sId="3" odxf="1" s="1" dxf="1">
    <nc r="AG111">
      <f>'HT Express BSC '!AG75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H111" start="0" length="0">
    <dxf>
      <numFmt numFmtId="13" formatCode="0%"/>
    </dxf>
  </rfmt>
  <rfmt sheetId="3" sqref="AG112" start="0" length="0">
    <dxf>
      <border outline="0">
        <left style="medium">
          <color indexed="64"/>
        </left>
        <top/>
      </border>
    </dxf>
  </rfmt>
  <rfmt sheetId="3" sqref="AH112" start="0" length="0">
    <dxf>
      <border outline="0">
        <top/>
      </border>
    </dxf>
  </rfmt>
  <rcc rId="4820" sId="3" odxf="1" s="1" dxf="1">
    <nc r="AG113">
      <f>'HT Stores BSC'!AG65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H113" start="0" length="0">
    <dxf>
      <numFmt numFmtId="13" formatCode="0%"/>
    </dxf>
  </rfmt>
  <rcc rId="4821" sId="3" odxf="1" s="1" dxf="1">
    <nc r="AG114">
      <f>'HT Stores BSC'!AG66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H114" start="0" length="0">
    <dxf>
      <numFmt numFmtId="13" formatCode="0%"/>
    </dxf>
  </rfmt>
  <rcc rId="4822" sId="3" odxf="1" s="1" dxf="1">
    <nc r="AG115">
      <f>'HT Stores BSC'!AG67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H115" start="0" length="0">
    <dxf>
      <numFmt numFmtId="13" formatCode="0%"/>
    </dxf>
  </rfmt>
  <rfmt sheetId="3" sqref="AG116" start="0" length="0">
    <dxf>
      <border outline="0">
        <left style="medium">
          <color indexed="64"/>
        </left>
      </border>
    </dxf>
  </rfmt>
  <rfmt sheetId="3" sqref="AH116" start="0" length="0">
    <dxf/>
  </rfmt>
  <rcc rId="4823" sId="3" odxf="1" dxf="1">
    <nc r="AG117">
      <f>'HT Express BSC '!AG77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AH117" start="0" length="0">
    <dxf>
      <numFmt numFmtId="13" formatCode="0%"/>
    </dxf>
  </rfmt>
  <rcc rId="4824" sId="3" odxf="1" dxf="1">
    <nc r="AG118">
      <f>'HT Stores BSC'!AG69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fmt sheetId="3" sqref="AH118" start="0" length="0">
    <dxf>
      <numFmt numFmtId="13" formatCode="0%"/>
    </dxf>
  </rfmt>
  <rcc rId="4825" sId="3" odxf="1" s="1" dxf="1">
    <nc r="AG119">
      <f>'HT Fine Dining'!AG42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fmt sheetId="3" s="1" sqref="AH119" start="0" length="0">
    <dxf>
      <numFmt numFmtId="13" formatCode="0%"/>
    </dxf>
  </rfmt>
  <rfmt sheetId="3" sqref="AG120" start="0" length="0">
    <dxf>
      <border outline="0">
        <left style="medium">
          <color indexed="64"/>
        </left>
      </border>
    </dxf>
  </rfmt>
  <rfmt sheetId="3" sqref="AH120" start="0" length="0">
    <dxf/>
  </rfmt>
  <rcc rId="4826" sId="3" odxf="1" dxf="1">
    <oc r="AG121">
      <f>'HT Express BSC '!AG79+'HT Stores BSC'!AG71+'HT Fine Dining'!AG44</f>
    </oc>
    <nc r="AG121"/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G122" start="0" length="0">
    <dxf>
      <border outline="0">
        <left style="medium">
          <color indexed="64"/>
        </left>
      </border>
    </dxf>
  </rfmt>
  <rcc rId="4827" sId="3" odxf="1" dxf="1">
    <oc r="AG123">
      <f>AG121/AG87</f>
    </oc>
    <nc r="AG123"/>
    <odxf>
      <numFmt numFmtId="13" formatCode="0%"/>
      <border outline="0">
        <left style="thin">
          <color indexed="64"/>
        </left>
      </border>
    </odxf>
    <ndxf>
      <numFmt numFmtId="0" formatCode="General"/>
      <border outline="0">
        <left style="medium">
          <color indexed="64"/>
        </left>
      </border>
    </ndxf>
  </rcc>
  <rfmt sheetId="3" sqref="AG124" start="0" length="0">
    <dxf>
      <border outline="0">
        <left style="medium">
          <color indexed="64"/>
        </left>
      </border>
    </dxf>
  </rfmt>
  <rfmt sheetId="3" sqref="AG125" start="0" length="0">
    <dxf>
      <border outline="0">
        <left style="medium">
          <color indexed="64"/>
        </left>
      </border>
    </dxf>
  </rfmt>
  <rfmt sheetId="3" sqref="AG126" start="0" length="0">
    <dxf>
      <border outline="0">
        <left style="medium">
          <color indexed="64"/>
        </left>
      </border>
    </dxf>
  </rfmt>
  <rfmt sheetId="3" sqref="AG127" start="0" length="0">
    <dxf>
      <border outline="0">
        <left style="medium">
          <color indexed="64"/>
        </left>
      </border>
    </dxf>
  </rfmt>
  <rfmt sheetId="3" sqref="AG128" start="0" length="0">
    <dxf>
      <border outline="0">
        <left style="medium">
          <color indexed="64"/>
        </left>
      </border>
    </dxf>
  </rfmt>
  <rfmt sheetId="3" sqref="AG129" start="0" length="0">
    <dxf>
      <border outline="0">
        <left style="medium">
          <color indexed="64"/>
        </left>
      </border>
    </dxf>
  </rfmt>
  <rfmt sheetId="3" sqref="AG130" start="0" length="0">
    <dxf>
      <border outline="0">
        <left style="medium">
          <color indexed="64"/>
        </left>
      </border>
    </dxf>
  </rfmt>
  <rfmt sheetId="3" sqref="AG131" start="0" length="0">
    <dxf>
      <border outline="0">
        <left style="medium">
          <color indexed="64"/>
        </left>
      </border>
    </dxf>
  </rfmt>
  <rfmt sheetId="3" sqref="AH131" start="0" length="0">
    <dxf/>
  </rfmt>
  <rcc rId="4828" sId="3" odxf="1" s="1" dxf="1" numFmtId="34">
    <oc r="AG132">
      <v>3565304</v>
    </oc>
    <nc r="AG132">
      <v>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829" sId="3" odxf="1" s="1" dxf="1" numFmtId="34">
    <nc r="AH132">
      <v>8.5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830" sId="3" odxf="1" s="1" dxf="1">
    <oc r="AG133">
      <f>AG132/AG85</f>
    </oc>
    <nc r="AG133">
      <f>AG132/AG85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/>
  </rcc>
  <rfmt sheetId="3" s="1" sqref="AH133" start="0" length="0">
    <dxf>
      <numFmt numFmtId="13" formatCode="0%"/>
    </dxf>
  </rfmt>
  <rcc rId="4831" sId="3" odxf="1" s="1" dxf="1" numFmtId="34">
    <oc r="AG134">
      <v>2519981</v>
    </oc>
    <nc r="AG134">
      <v>7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832" sId="3" odxf="1" s="1" dxf="1" numFmtId="34">
    <nc r="AH134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4833" sId="3" odxf="1" s="1" dxf="1" numFmtId="34">
    <oc r="AG135">
      <v>929563</v>
    </oc>
    <nc r="AG135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834" sId="3" odxf="1" s="1" dxf="1" numFmtId="34">
    <oc r="AG136">
      <v>15760</v>
    </oc>
    <nc r="AG136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="1" sqref="AG137" start="0" length="0">
    <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dxf>
  </rfmt>
  <rfmt sheetId="3" sqref="AG138" start="0" length="0">
    <dxf>
      <border outline="0">
        <left style="medium">
          <color indexed="64"/>
        </left>
      </border>
    </dxf>
  </rfmt>
  <rfmt sheetId="3" sqref="AH138" start="0" length="0">
    <dxf/>
  </rfmt>
  <rcc rId="4835" sId="3" odxf="1" s="1" dxf="1" numFmtId="34">
    <nc r="AG139">
      <v>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AH139" start="0" length="0">
    <dxf>
      <numFmt numFmtId="13" formatCode="0%"/>
    </dxf>
  </rfmt>
  <rcc rId="4836" sId="3" odxf="1" s="1" dxf="1" numFmtId="34">
    <nc r="AG140">
      <v>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AH140" start="0" length="0">
    <dxf>
      <numFmt numFmtId="13" formatCode="0%"/>
    </dxf>
  </rfmt>
  <rcc rId="4837" sId="3" odxf="1" s="1" dxf="1" numFmtId="34">
    <nc r="AG141">
      <v>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AH141" start="0" length="0">
    <dxf>
      <numFmt numFmtId="13" formatCode="0%"/>
    </dxf>
  </rfmt>
  <rfmt sheetId="3" sqref="AG142" start="0" length="0">
    <dxf>
      <border outline="0">
        <left style="medium">
          <color indexed="64"/>
        </left>
        <right/>
      </border>
    </dxf>
  </rfmt>
  <rfmt sheetId="3" sqref="AH142" start="0" length="0">
    <dxf>
      <border outline="0">
        <right/>
      </border>
    </dxf>
  </rfmt>
  <rcc rId="4838" sId="3" odxf="1" dxf="1" numFmtId="34">
    <oc r="AG143">
      <v>279</v>
    </oc>
    <nc r="AG143">
      <f>SUM(AG144:AG147)</f>
    </nc>
    <odxf>
      <numFmt numFmtId="0" formatCode="General"/>
      <border outline="0">
        <left style="thin">
          <color indexed="64"/>
        </left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839" sId="3">
    <nc r="AH143">
      <v>260</v>
    </nc>
  </rcc>
  <rcc rId="4840" sId="3" odxf="1" s="1" dxf="1" numFmtId="34">
    <oc r="AG144">
      <v>240</v>
    </oc>
    <nc r="AG144">
      <v>256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841" sId="3">
    <nc r="AH144">
      <v>236</v>
    </nc>
  </rcc>
  <rcc rId="4842" sId="3" odxf="1" s="1" dxf="1" numFmtId="34">
    <oc r="AG145">
      <v>32</v>
    </oc>
    <nc r="AG145">
      <v>34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843" sId="3">
    <nc r="AH145">
      <v>24</v>
    </nc>
  </rcc>
  <rcc rId="4844" sId="3" odxf="1" s="1" dxf="1" numFmtId="34">
    <oc r="AG146">
      <v>7</v>
    </oc>
    <nc r="AG146">
      <v>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cc rId="4845" sId="3" odxf="1" s="1" dxf="1" numFmtId="34">
    <nc r="AG147">
      <v>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vertical="bottom" wrapText="0" readingOrder="0"/>
      <border outline="0">
        <left style="medium">
          <color indexed="64"/>
        </left>
      </border>
    </ndxf>
  </rcc>
  <rfmt sheetId="3" sqref="AG148" start="0" length="0">
    <dxf>
      <border outline="0">
        <left style="medium">
          <color indexed="64"/>
        </left>
      </border>
    </dxf>
  </rfmt>
  <rfmt sheetId="3" sqref="AH148" start="0" length="0">
    <dxf/>
  </rfmt>
  <rcc rId="4846" sId="3" odxf="1" s="1" dxf="1" numFmtId="34">
    <oc r="AG149">
      <v>844.5</v>
    </oc>
    <nc r="AG149">
      <v>3906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4847" sId="3" odxf="1" s="1" dxf="1" numFmtId="34">
    <oc r="AG150">
      <v>59883</v>
    </oc>
    <nc r="AG150">
      <v>280438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horizontal="center" readingOrder="0"/>
      <border outline="0">
        <left style="medium">
          <color indexed="64"/>
        </left>
      </border>
      <protection locked="0"/>
    </ndxf>
  </rcc>
  <rcc rId="4848" sId="3" odxf="1" dxf="1">
    <oc r="AG151" t="inlineStr">
      <is>
        <t>In Insert</t>
      </is>
    </oc>
    <nc r="AG151" t="inlineStr">
      <is>
        <t>Updated in Comment</t>
      </is>
    </nc>
    <odxf>
      <alignment vertical="center" readingOrder="0"/>
      <border outline="0">
        <left style="thin">
          <color indexed="64"/>
        </left>
      </border>
    </odxf>
    <ndxf>
      <alignment vertical="top" readingOrder="0"/>
      <border outline="0">
        <left style="medium">
          <color indexed="64"/>
        </left>
      </border>
    </ndxf>
  </rcc>
  <rfmt sheetId="3" sqref="AG152" start="0" length="0">
    <dxf>
      <border outline="0">
        <left style="medium">
          <color indexed="64"/>
        </left>
      </border>
    </dxf>
  </rfmt>
  <rfmt sheetId="3" sqref="AH152" start="0" length="0">
    <dxf/>
  </rfmt>
  <rcc rId="4849" sId="3" odxf="1" dxf="1" numFmtId="14">
    <nc r="AG153">
      <v>2.06E-2</v>
    </nc>
    <odxf>
      <numFmt numFmtId="0" formatCode="General"/>
      <border outline="0">
        <left style="thin">
          <color indexed="64"/>
        </left>
      </border>
    </odxf>
    <ndxf>
      <numFmt numFmtId="14" formatCode="0.00%"/>
      <border outline="0">
        <left style="medium">
          <color indexed="64"/>
        </left>
      </border>
    </ndxf>
  </rcc>
  <rfmt sheetId="3" sqref="AG154" start="0" length="0">
    <dxf>
      <border outline="0">
        <left style="medium">
          <color indexed="64"/>
        </left>
      </border>
    </dxf>
  </rfmt>
  <rcc rId="4850" sId="3" odxf="1" s="1" dxf="1" numFmtId="34">
    <oc r="AG155">
      <v>334089</v>
    </oc>
    <nc r="AG155">
      <v>240902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horizontal="center" wrapText="0" readingOrder="0"/>
      <border outline="0">
        <left style="medium">
          <color indexed="64"/>
        </left>
      </border>
      <protection locked="0"/>
    </ndxf>
  </rcc>
  <rcc rId="4851" sId="3" odxf="1" dxf="1">
    <oc r="AG156">
      <v>198</v>
    </oc>
    <nc r="AG156">
      <v>68</v>
    </nc>
    <odxf>
      <alignment vertical="center" readingOrder="0"/>
      <border outline="0">
        <left style="thin">
          <color indexed="64"/>
        </left>
      </border>
    </odxf>
    <ndxf>
      <alignment vertical="top" readingOrder="0"/>
      <border outline="0">
        <left style="medium">
          <color indexed="64"/>
        </left>
      </border>
    </ndxf>
  </rcc>
  <rfmt sheetId="3" sqref="AG157" start="0" length="0">
    <dxf>
      <border outline="0">
        <left style="medium">
          <color indexed="64"/>
        </left>
      </border>
    </dxf>
  </rfmt>
  <rcc rId="4852" sId="3" odxf="1" s="1" dxf="1" numFmtId="34">
    <nc r="AG158">
      <v>124486.83333333333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alignment horizontal="center" readingOrder="0"/>
      <border outline="0">
        <left style="medium">
          <color indexed="64"/>
        </left>
      </border>
      <protection locked="0"/>
    </ndxf>
  </rcc>
  <rcc rId="4853" sId="3" odxf="1" dxf="1">
    <nc r="AG159" t="inlineStr">
      <is>
        <t>Pending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G160" start="0" length="0">
    <dxf>
      <border outline="0">
        <left style="medium">
          <color indexed="64"/>
        </left>
      </border>
    </dxf>
  </rfmt>
  <rfmt sheetId="3" sqref="AH160" start="0" length="0">
    <dxf/>
  </rfmt>
  <rcc rId="4854" sId="3" odxf="1" dxf="1">
    <nc r="AG161">
      <v>0</v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855" sId="3" odxf="1" dxf="1">
    <nc r="AG162">
      <v>0</v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G163" start="0" length="0">
    <dxf>
      <border outline="0">
        <left style="medium">
          <color indexed="64"/>
        </left>
      </border>
    </dxf>
  </rfmt>
  <rfmt sheetId="3" sqref="AH163" start="0" length="0">
    <dxf/>
  </rfmt>
  <rfmt sheetId="3" sqref="AG164" start="0" length="0">
    <dxf>
      <border outline="0">
        <left style="medium">
          <color indexed="64"/>
        </left>
      </border>
    </dxf>
  </rfmt>
  <rfmt sheetId="3" sqref="AG165" start="0" length="0">
    <dxf>
      <border outline="0">
        <left style="medium">
          <color indexed="64"/>
        </left>
        <right/>
      </border>
    </dxf>
  </rfmt>
  <rfmt sheetId="3" sqref="AH165" start="0" length="0">
    <dxf>
      <border outline="0">
        <right/>
      </border>
    </dxf>
  </rfmt>
  <rcc rId="4856" sId="3" odxf="1" dxf="1">
    <oc r="AG166">
      <v>3</v>
    </oc>
    <nc r="AG166" t="inlineStr">
      <is>
        <t>Pending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857" sId="3" odxf="1" dxf="1">
    <nc r="AG167" t="inlineStr">
      <is>
        <t>Pending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G168" start="0" length="0">
    <dxf>
      <border outline="0">
        <left style="medium">
          <color indexed="64"/>
        </left>
      </border>
    </dxf>
  </rfmt>
  <rfmt sheetId="3" sqref="AH168" start="0" length="0">
    <dxf/>
  </rfmt>
  <rfmt sheetId="3" sqref="AG169" start="0" length="0">
    <dxf>
      <border outline="0">
        <left style="medium">
          <color indexed="64"/>
        </left>
      </border>
    </dxf>
  </rfmt>
  <rfmt sheetId="3" sqref="AG170" start="0" length="0">
    <dxf>
      <border outline="0">
        <left style="medium">
          <color indexed="64"/>
        </left>
      </border>
    </dxf>
  </rfmt>
  <rfmt sheetId="3" sqref="AH170" start="0" length="0">
    <dxf/>
  </rfmt>
  <rcc rId="4858" sId="3" odxf="1" s="1" dxf="1" numFmtId="34">
    <oc r="AG171">
      <v>3175654.44</v>
    </oc>
    <nc r="AG171">
      <v>7950329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859" sId="3" odxf="1" s="1" dxf="1" numFmtId="34">
    <oc r="AG172">
      <v>444809</v>
    </oc>
    <nc r="AG172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860" sId="3" odxf="1" s="1" dxf="1" numFmtId="34">
    <oc r="AG173">
      <v>188883.44</v>
    </oc>
    <nc r="AG173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cc rId="4861" sId="3" odxf="1" s="1" dxf="1" numFmtId="34">
    <oc r="AG174">
      <v>427972</v>
    </oc>
    <nc r="AG174"/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 style="medium">
          <color indexed="64"/>
        </left>
      </border>
    </ndxf>
  </rcc>
  <rfmt sheetId="3" sqref="AG175" start="0" length="0">
    <dxf>
      <border outline="0">
        <left style="medium">
          <color indexed="64"/>
        </left>
      </border>
    </dxf>
  </rfmt>
  <rfmt sheetId="3" sqref="AH175" start="0" length="0">
    <dxf/>
  </rfmt>
  <rfmt sheetId="3" sqref="AG176" start="0" length="0">
    <dxf>
      <border outline="0">
        <left style="medium">
          <color indexed="64"/>
        </left>
      </border>
    </dxf>
  </rfmt>
  <rfmt sheetId="3" sqref="AG177" start="0" length="0">
    <dxf>
      <border outline="0">
        <left style="medium">
          <color indexed="64"/>
        </left>
      </border>
    </dxf>
  </rfmt>
  <rcc rId="4862" sId="3" odxf="1" s="1" dxf="1" numFmtId="34">
    <oc r="AG178">
      <v>4987719</v>
    </oc>
    <nc r="AG178">
      <v>5286914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9"/>
        <color auto="1"/>
        <name val="Calibri"/>
        <scheme val="minor"/>
      </font>
      <border outline="0">
        <left style="medium">
          <color indexed="64"/>
        </left>
      </border>
    </ndxf>
  </rcc>
  <rcc rId="4863" sId="3" odxf="1" dxf="1">
    <oc r="AH178">
      <v>8771062</v>
    </oc>
    <nc r="AH178"/>
    <odxf>
      <font>
        <sz val="9"/>
      </font>
      <numFmt numFmtId="165" formatCode="_(* #,##0_);_(* \(#,##0\);_(* &quot;-&quot;??_);_(@_)"/>
    </odxf>
    <ndxf>
      <font>
        <sz val="9"/>
        <color rgb="FFFF0000"/>
      </font>
      <numFmt numFmtId="0" formatCode="General"/>
    </ndxf>
  </rcc>
  <rcc rId="4864" sId="3" odxf="1" s="1" dxf="1">
    <nc r="AG179">
      <f>AG178/AG4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35" formatCode="_(* #,##0.00_);_(* \(#,##0.00\);_(* &quot;-&quot;??_);_(@_)"/>
      <border outline="0">
        <left style="medium">
          <color indexed="64"/>
        </left>
      </border>
    </ndxf>
  </rcc>
  <rfmt sheetId="3" sqref="AG180" start="0" length="0">
    <dxf>
      <border outline="0">
        <left style="medium">
          <color indexed="64"/>
        </left>
      </border>
    </dxf>
  </rfmt>
  <rfmt sheetId="3" sqref="AH180" start="0" length="0">
    <dxf/>
  </rfmt>
  <rcc rId="4865" sId="3" odxf="1" dxf="1">
    <nc r="AG181">
      <f>'HT Express BSC '!AG125+'HT Stores BSC'!AG118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866" sId="3" odxf="1" dxf="1">
    <nc r="AG182">
      <f>'HT Express BSC '!AG126+'HT Stores BSC'!AG119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867" sId="3" odxf="1" dxf="1">
    <nc r="AG183">
      <f>'HT Express BSC '!AG127+'HT Stores BSC'!AG120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G184" start="0" length="0">
    <dxf>
      <border outline="0">
        <left style="medium">
          <color indexed="64"/>
        </left>
      </border>
    </dxf>
  </rfmt>
  <rfmt sheetId="3" sqref="AH184" start="0" length="0">
    <dxf/>
  </rfmt>
  <rcc rId="4868" sId="3" odxf="1" dxf="1">
    <oc r="AG185">
      <v>4732</v>
    </oc>
    <nc r="AG185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4869" sId="3" odxf="1" dxf="1">
    <nc r="AG186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AG187" start="0" length="0">
    <dxf>
      <border outline="0">
        <left style="medium">
          <color indexed="64"/>
        </left>
      </border>
    </dxf>
  </rfmt>
  <rfmt sheetId="3" sqref="AH187" start="0" length="0">
    <dxf/>
  </rfmt>
  <rfmt sheetId="3" sqref="AG188" start="0" length="0">
    <dxf>
      <border outline="0">
        <left style="medium">
          <color indexed="64"/>
        </left>
        <right style="thin">
          <color indexed="64"/>
        </right>
      </border>
    </dxf>
  </rfmt>
  <rfmt sheetId="3" sqref="AG189" start="0" length="0">
    <dxf>
      <border outline="0">
        <left style="medium">
          <color indexed="64"/>
        </left>
      </border>
    </dxf>
  </rfmt>
  <rfmt sheetId="3" sqref="AH189" start="0" length="0">
    <dxf/>
  </rfmt>
  <rcc rId="4870" sId="3">
    <oc r="AG190" t="inlineStr">
      <is>
        <t>NA</t>
      </is>
    </oc>
    <nc r="AG190" t="inlineStr">
      <is>
        <t>Pending</t>
      </is>
    </nc>
  </rcc>
  <rfmt sheetId="3" sqref="AH190" start="0" length="0">
    <dxf>
      <font>
        <b/>
        <sz val="9"/>
      </font>
    </dxf>
  </rfmt>
  <rcc rId="4871" sId="3">
    <oc r="AG191" t="inlineStr">
      <is>
        <t>NA</t>
      </is>
    </oc>
    <nc r="AG191" t="inlineStr">
      <is>
        <t>Pending</t>
      </is>
    </nc>
  </rcc>
  <rfmt sheetId="3" sqref="AH191" start="0" length="0">
    <dxf>
      <font>
        <b/>
        <sz val="9"/>
      </font>
    </dxf>
  </rfmt>
  <rcc rId="4872" sId="3">
    <oc r="AG192" t="inlineStr">
      <is>
        <t>NA</t>
      </is>
    </oc>
    <nc r="AG192" t="inlineStr">
      <is>
        <t>Pending</t>
      </is>
    </nc>
  </rcc>
  <rfmt sheetId="3" sqref="AH192" start="0" length="0">
    <dxf>
      <font>
        <b/>
        <sz val="9"/>
      </font>
    </dxf>
  </rfmt>
  <rcc rId="4873" sId="3">
    <oc r="AG193" t="inlineStr">
      <is>
        <t>NA</t>
      </is>
    </oc>
    <nc r="AG193" t="inlineStr">
      <is>
        <t>Pending</t>
      </is>
    </nc>
  </rcc>
  <rfmt sheetId="3" sqref="AH193" start="0" length="0">
    <dxf>
      <font>
        <b/>
        <sz val="9"/>
      </font>
    </dxf>
  </rfmt>
  <rcc rId="4874" sId="3">
    <oc r="AG194" t="inlineStr">
      <is>
        <t>NA</t>
      </is>
    </oc>
    <nc r="AG194" t="inlineStr">
      <is>
        <t>Pending</t>
      </is>
    </nc>
  </rcc>
  <rfmt sheetId="3" sqref="AH194" start="0" length="0">
    <dxf>
      <font>
        <b/>
        <sz val="9"/>
      </font>
      <border outline="0">
        <bottom style="medium">
          <color indexed="64"/>
        </bottom>
      </border>
    </dxf>
  </rfmt>
  <rcmt sheetId="3" cell="AG151" guid="{00000000-0000-0000-0000-000000000000}" action="delete" author="Ganesh Mavathur"/>
  <rcmt sheetId="3" cell="L92" guid="{0C19A4A9-394C-4245-9488-CBD6BC604E2A}" author="Krishna Murthy BG." newLength="37"/>
  <rcmt sheetId="3" cell="O92" guid="{46A94A10-98BB-4996-92D7-85C4EEC1CDD1}" author="Krishna Murthy BG." newLength="37"/>
  <rcmt sheetId="3" cell="U92" guid="{C490DE5B-1A14-4F4B-A1EE-C48EB18A1AEA}" author="Krishna Murthy BG." newLength="37"/>
  <rcmt sheetId="3" cell="X92" guid="{8E1EA9F0-84DE-4E8D-8216-01D78F40163C}" author="Krishna Murthy BG." newLength="37"/>
  <rcmt sheetId="3" cell="AA92" guid="{36DDEBAF-8DEA-432E-804B-7AD8D8640947}" author="Krishna Murthy BG." newLength="37"/>
  <rcmt sheetId="3" cell="AG92" guid="{6418B164-ACDC-40A3-9592-C6F1A2B98B2E}" author="Krishna Murthy BG." newLength="37"/>
  <rcmt sheetId="3" cell="L151" guid="{ED4B3E4B-A375-4E49-AFF1-7FF2D672C111}" author="Ashok Kumar K M" newLength="644"/>
  <rcmt sheetId="3" cell="O151" guid="{06573F10-5691-4FA8-A002-70DDF771FBC8}" author="Ashok Kumar K M" newLength="644"/>
  <rcmt sheetId="3" cell="U151" guid="{2CDF3513-EE8C-4CED-A748-9AEEED932462}" author="Ashok Kumar K M" newLength="644"/>
  <rcmt sheetId="3" cell="X151" guid="{4FBD5253-77CB-400A-9713-732B4E9C67FC}" author="Ashok Kumar K M" newLength="644"/>
  <rcmt sheetId="3" cell="AA151" guid="{35C2E897-56A7-4997-9A0A-1E7732CBA06B}" author="Ashok Kumar K M" newLength="644"/>
  <rcmt sheetId="3" cell="AG151" guid="{CAE3DFE0-7187-4FDD-AD66-ABD514F4EAFD}" author="Ashok Kumar K M" newLength="644"/>
  <rcv guid="{40DAEB26-20D3-4AB4-B94D-0ED6F1AA8B5C}" action="delete"/>
  <rdn rId="0" localSheetId="3" customView="1" name="Z_40DAEB26_20D3_4AB4_B94D_0ED6F1AA8B5C_.wvu.Rows" hidden="1" oldHidden="1">
    <formula>'TSF Prasadam Overall'!$15:$27,'TSF Prasadam Overall'!$157:$159</formula>
    <oldFormula>'TSF Prasadam Overall'!$15:$27,'TSF Prasadam Overall'!$157:$159</oldFormula>
  </rdn>
  <rdn rId="0" localSheetId="3" customView="1" name="Z_40DAEB26_20D3_4AB4_B94D_0ED6F1AA8B5C_.wvu.Cols" hidden="1" oldHidden="1">
    <formula>'TSF Prasadam Overall'!$D:$G,'TSF Prasadam Overall'!$S:$T,'TSF Prasadam Overall'!$AJ:$BD</formula>
    <oldFormula>'TSF Prasadam Overall'!$D:$G,'TSF Prasadam Overall'!$L:$Q,'TSF Prasadam Overall'!$S:$T,'TSF Prasadam Overall'!$AJ:$BD</oldFormula>
  </rdn>
  <rdn rId="0" localSheetId="3" customView="1" name="Z_40DAEB26_20D3_4AB4_B94D_0ED6F1AA8B5C_.wvu.FilterData" hidden="1" oldHidden="1">
    <formula>'TSF Prasadam Overall'!$A$1:$AG$7</formula>
    <oldFormula>'TSF Prasadam Overall'!$A$1:$AG$7</oldFormula>
  </rdn>
  <rdn rId="0" localSheetId="4" customView="1" name="Z_40DAEB26_20D3_4AB4_B94D_0ED6F1AA8B5C_.wvu.Cols" hidden="1" oldHidden="1">
    <formula>'HT Express BSC '!$D:$H,'HT Express BSC '!$J:$T</formula>
    <oldFormula>'HT Express BSC '!$D:$H,'HT Express BSC '!$J:$T</oldFormula>
  </rdn>
  <rdn rId="0" localSheetId="4" customView="1" name="Z_40DAEB26_20D3_4AB4_B94D_0ED6F1AA8B5C_.wvu.FilterData" hidden="1" oldHidden="1">
    <formula>'HT Express BSC '!$A$1:$Q$3</formula>
    <oldFormula>'HT Express BSC '!$A$1:$Q$3</oldFormula>
  </rdn>
  <rdn rId="0" localSheetId="5" customView="1" name="Z_40DAEB26_20D3_4AB4_B94D_0ED6F1AA8B5C_.wvu.Rows" hidden="1" oldHidden="1">
    <formula>'HT Stores BSC'!$83:$84</formula>
    <oldFormula>'HT Stores BSC'!$83:$84</oldFormula>
  </rdn>
  <rdn rId="0" localSheetId="5" customView="1" name="Z_40DAEB26_20D3_4AB4_B94D_0ED6F1AA8B5C_.wvu.Cols" hidden="1" oldHidden="1">
    <formula>'HT Stores BSC'!$D:$G,'HT Stores BSC'!$J:$S,'HT Stores BSC'!$AJ:$BD</formula>
    <oldFormula>'HT Stores BSC'!$D:$G,'HT Stores BSC'!$J:$S,'HT Stores BSC'!$AJ:$BD</oldFormula>
  </rdn>
  <rdn rId="0" localSheetId="5" customView="1" name="Z_40DAEB26_20D3_4AB4_B94D_0ED6F1AA8B5C_.wvu.FilterData" hidden="1" oldHidden="1">
    <formula>'HT Stores BSC'!$A$1:$Q$3</formula>
    <oldFormula>'HT Stores BSC'!$A$1:$Q$3</oldFormula>
  </rdn>
  <rdn rId="0" localSheetId="6" customView="1" name="Z_40DAEB26_20D3_4AB4_B94D_0ED6F1AA8B5C_.wvu.Rows" hidden="1" oldHidden="1">
    <formula>'HT Fine Dining'!$53:$54</formula>
    <oldFormula>'HT Fine Dining'!$53:$54</oldFormula>
  </rdn>
  <rdn rId="0" localSheetId="6" customView="1" name="Z_40DAEB26_20D3_4AB4_B94D_0ED6F1AA8B5C_.wvu.Cols" hidden="1" oldHidden="1">
    <formula>'HT Fine Dining'!$D:$G,'HT Fine Dining'!$J:$T</formula>
    <oldFormula>'HT Fine Dining'!$D:$G,'HT Fine Dining'!$J:$T</oldFormula>
  </rdn>
  <rdn rId="0" localSheetId="6" customView="1" name="Z_40DAEB26_20D3_4AB4_B94D_0ED6F1AA8B5C_.wvu.FilterData" hidden="1" oldHidden="1">
    <formula>'HT Fine Dining'!$A$1:$Q$3</formula>
    <oldFormula>'HT Fine Dining'!$A$1:$Q$3</oldFormula>
  </rdn>
  <rcv guid="{40DAEB26-20D3-4AB4-B94D-0ED6F1AA8B5C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16" sId="4">
    <oc r="BE5">
      <f>I5+L5+O5+U5+X5+AA5+AG5+AJ5+AM5+AS5+AV5+AY5</f>
    </oc>
    <nc r="BE5">
      <f>I5+L5+O5+U5+X5+AA5+AG5+AJ5+AM5+AS5+AV5+AY5</f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</formula>
    <oldFormula>'TSF Prasadam Overall'!$D:$G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</formula>
    <oldFormula>'HT Express BSC '!$D:$H,'HT Express BSC '!$AA:$BD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8" sId="4">
    <oc r="BE6">
      <f>I6+L6+O6+U6+X6+AA6+AG6+AJ6+AM6+AS6+AV6+AY6</f>
    </oc>
    <nc r="BE6">
      <f>I6+L6+O6+U6+X6+AA6+AG6+AJ6+AM6+AS6+AV6+AY6</f>
    </nc>
  </rcc>
  <rcc rId="2329" sId="4">
    <oc r="BE9">
      <f>I9+L9+O9+U9+X9+AA9+AG9+AJ9+AM9+AS9+AV9+AY9</f>
    </oc>
    <nc r="BE9">
      <f>I9+L9+O9+U9+X9+AA9+AG9+AJ9+AM9+AS9+AV9+AY9</f>
    </nc>
  </rcc>
  <rcc rId="2330" sId="4">
    <oc r="BE10">
      <f>I10+L10+O10+U10+X10+AA10+AG10+AJ10+AM10+AS10+AV10+AY10</f>
    </oc>
    <nc r="BE10">
      <f>I10+L10+O10+U10+X10+AA10+AG10+AJ10+AM10+AS10+AV10+AY10</f>
    </nc>
  </rcc>
  <rcc rId="2331" sId="4">
    <oc r="BE13">
      <f>I13+L13+O13+U13+X13+AA13+AG13+AJ13+AM13+AS13+AV13+AY13</f>
    </oc>
    <nc r="BE13">
      <f>I13+L13+O13+U13+X13+AA13+AG13+AJ13+AM13+AS13+AV13+AY13</f>
    </nc>
  </rcc>
  <rcc rId="2332" sId="4">
    <oc r="BE14">
      <f>I14+L14+O14+U14+X14+AA14+AG14+AJ14+AM14+AS14+AV14+AY14</f>
    </oc>
    <nc r="BE14">
      <f>I14+L14+O14+U14+X14+AA14+AG14+AJ14+AM14+AS14+AV14+AY14</f>
    </nc>
  </rcc>
  <rcc rId="2333" sId="4">
    <oc r="BE17">
      <f>I17+L17+O17+U17+X17+AA17+AG17+AJ17+AM17+AS17+AV17+AY17</f>
    </oc>
    <nc r="BE17">
      <f>I17+L17+O17+U17+X17+AA17+AG17+AJ17+AM17+AS17+AV17+AY17</f>
    </nc>
  </rcc>
  <rcc rId="2334" sId="4">
    <oc r="BE18">
      <f>I18+L18+O18+U18+X18+AA18+AG18+AJ18+AM18+AS18+AV18+AY18</f>
    </oc>
    <nc r="BE18">
      <f>I18+L18+O18+U18+X18+AA18+AG18+AJ18+AM18+AS18+AV18+AY18</f>
    </nc>
  </rcc>
  <rcc rId="2335" sId="4">
    <oc r="BE21">
      <f>I21+L21+O21+U21+X21+AA21+AG21+AJ21+AM21+AS21+AV21+AY21</f>
    </oc>
    <nc r="BE21">
      <f>I21+L21+O21+U21+X21+AA21+AG21+AJ21+AM21+AS21+AV21+AY21</f>
    </nc>
  </rcc>
  <rcc rId="2336" sId="4" odxf="1" dxf="1">
    <nc r="BE22">
      <f>I22+L22+O22+U22+X22+AA22+AG22+AJ22+AM22+AS22+AV22+AY22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337" sId="4">
    <nc r="BE23">
      <f>BE21/BE22</f>
    </nc>
  </rcc>
  <rcc rId="2338" sId="4">
    <nc r="BE25">
      <f>BE9/BE5</f>
    </nc>
  </rcc>
  <rcc rId="2339" sId="4">
    <nc r="BE26">
      <f>BE13/BE5</f>
    </nc>
  </rcc>
  <rcc rId="2340" sId="4">
    <nc r="BE27">
      <f>BE17/BE5</f>
    </nc>
  </rcc>
  <rcc rId="2341" sId="4">
    <nc r="BE28">
      <f>BE21/BE5</f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2" sId="4" odxf="1" dxf="1">
    <nc r="BE45">
      <f>I45+L45+O45+U45+X45+AA45+AG45+AJ45+AM45+AS45+AV45+AY45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343" sId="4" odxf="1" dxf="1">
    <nc r="BE46">
      <f>I46+L46+O46+U46+X46+AA46+AG46+AJ46+AM46+AS46+AV46+AY46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344" sId="4" odxf="1" s="1" dxf="1">
    <nc r="BE47">
      <f>I47+L47+O47+U47+X47+AA47+AG47+AJ47+AM47+AS47+AV47+AY47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thin">
          <color indexed="64"/>
        </left>
      </border>
    </ndxf>
  </rcc>
  <rfmt sheetId="4" sqref="BE50" start="0" length="0">
    <dxf>
      <alignment horizontal="general" readingOrder="0"/>
    </dxf>
  </rfmt>
  <rfmt sheetId="4" sqref="BE49:BE50">
    <dxf>
      <fill>
        <patternFill patternType="solid">
          <bgColor rgb="FFFFFF00"/>
        </patternFill>
      </fill>
    </dxf>
  </rfmt>
  <rfmt sheetId="4" sqref="BE49:BE50" start="0" length="2147483647">
    <dxf>
      <font>
        <color rgb="FFFF0000"/>
      </font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1" sId="6" odxf="1" dxf="1">
    <nc r="AA40">
      <f>AA38/AA24</f>
    </nc>
    <odxf>
      <font>
        <b val="0"/>
        <sz val="9"/>
      </font>
    </odxf>
    <ndxf>
      <font>
        <b/>
        <sz val="9"/>
      </font>
    </ndxf>
  </rcc>
  <rcc rId="2582" sId="6" odxf="1" dxf="1">
    <nc r="AA42">
      <f>SUM(AA26:AA28)/AA24</f>
    </nc>
    <odxf>
      <font>
        <b val="0"/>
        <sz val="9"/>
      </font>
    </odxf>
    <ndxf>
      <font>
        <b/>
        <sz val="9"/>
        <color auto="1"/>
      </font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5" sId="4">
    <oc r="BE61">
      <f>I61+L61+O61+U61+X61+AA61+AG61+AJ61+AM61+AS61+AV61+AY61</f>
    </oc>
    <nc r="BE61">
      <f>I61+L61+O61+U61+X61+AA61+AG61+AJ61+AM61+AS61+AV61+AY61</f>
    </nc>
  </rcc>
  <rcc rId="2346" sId="4">
    <oc r="BE62">
      <f>I62+L62+O62+U62+X62+AA62+AG62+AJ62+AM62+AS62+AV62+AY62</f>
    </oc>
    <nc r="BE62">
      <f>I62+L62+O62+U62+X62+AA62+AG62+AJ62+AM62+AS62+AV62+AY62</f>
    </nc>
  </rcc>
  <rcc rId="2347" sId="4">
    <oc r="BE63">
      <f>I63+L63+O63+U63+X63+AA63+AG63+AJ63+AM63+AS63+AV63+AY63</f>
    </oc>
    <nc r="BE63">
      <f>I63+L63+O63+U63+X63+AA63+AG63+AJ63+AM63+AS63+AV63+AY63</f>
    </nc>
  </rcc>
  <rcc rId="2348" sId="4">
    <oc r="BE64">
      <f>I64+L64+O64+U64+X64+AA64+AG64+AJ64+AM64+AS64+AV64+AY64</f>
    </oc>
    <nc r="BE64">
      <f>I64+L64+O64+U64+X64+AA64+AG64+AJ64+AM64+AS64+AV64+AY64</f>
    </nc>
  </rcc>
  <rcc rId="2349" sId="4">
    <oc r="BE68">
      <f>BE59-SUM(BE61:BE65)</f>
    </oc>
    <nc r="BE68">
      <f>BE59-SUM(BE61:BE66)</f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</formula>
    <oldFormula>'TSF Prasadam Overall'!$D:$G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</formula>
    <oldFormula>'HT Express BSC '!$D:$H</oldFormula>
  </rdn>
  <rdn rId="0" localSheetId="4" customView="1" name="Z_DD1F7198_8B36_4512_8BBD_8050BD05AADA_.wvu.FilterData" hidden="1" oldHidden="1">
    <formula>'HT Express BSC '!$BJ$41:$BJ$48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1" sId="5">
    <nc r="BE3">
      <f>BE5/'TSF Prasadam Overall'!BE4</f>
    </nc>
  </rcc>
  <rcc rId="2362" sId="5">
    <oc r="BE6">
      <f>I6+L6+O6+U6+X6+AA6+AG6+AJ6+AM6+AS6+AV6+AY6</f>
    </oc>
    <nc r="BE6">
      <f>I6+L6+O6+U6+X6+AA6+AG6+AJ6+AM6+AS6+AV6+AY6</f>
    </nc>
  </rcc>
  <rcc rId="2363" sId="5">
    <oc r="BE9">
      <f>I9+L9+O9+U9+X9+AA9+AG9+AJ9+AM9+AS9+AV9+AY9</f>
    </oc>
    <nc r="BE9">
      <f>I9+L9+O9+U9+X9+AA9+AG9+AJ9+AM9+AS9+AV9+AY9</f>
    </nc>
  </rcc>
  <rcc rId="2364" sId="5">
    <oc r="BE10">
      <f>I10+L10+O10+U10+X10+AA10+AG10+AJ10+AM10+AS10+AV10+AY10</f>
    </oc>
    <nc r="BE10">
      <f>I10+L10+O10+U10+X10+AA10+AG10+AJ10+AM10+AS10+AV10+AY10</f>
    </nc>
  </rcc>
  <rcc rId="2365" sId="5">
    <oc r="BE13">
      <f>I13+L13+O13+U13+X13+AA13+AG13+AJ13+AM13+AS13+AV13+AY13</f>
    </oc>
    <nc r="BE13">
      <f>I13+L13+O13+U13+X13+AA13+AG13+AJ13+AM13+AS13+AV13+AY13</f>
    </nc>
  </rcc>
  <rcc rId="2366" sId="5">
    <oc r="BE14">
      <f>I14+L14+O14+U14+X14+AA14+AG14+AJ14+AM14+AS14+AV14+AY14</f>
    </oc>
    <nc r="BE14">
      <f>I14+L14+O14+U14+X14+AA14+AG14+AJ14+AM14+AS14+AV14+AY14</f>
    </nc>
  </rcc>
  <rcc rId="2367" sId="5">
    <oc r="BE17">
      <f>I17+L17+O17+U17+X17+AA17+AG17+AJ17+AM17+AS17+AV17+AY17</f>
    </oc>
    <nc r="BE17">
      <f>I17+L17+O17+U17+X17+AA17+AG17+AJ17+AM17+AS17+AV17+AY17</f>
    </nc>
  </rcc>
  <rcc rId="2368" sId="5">
    <oc r="BE18">
      <f>I18+L18+O18+U18+X18+AA18+AG18+AJ18+AM18+AS18+AV18+AY18</f>
    </oc>
    <nc r="BE18">
      <f>I18+L18+O18+U18+X18+AA18+AG18+AJ18+AM18+AS18+AV18+AY18</f>
    </nc>
  </rcc>
  <rcc rId="2369" sId="5" odxf="1" dxf="1">
    <oc r="BE39">
      <f>R39+U39</f>
    </oc>
    <nc r="BE39">
      <f>I39+L39+O39+U39+X39+AA39+AG39+AJ39+AM39+AS39+AV39+AY39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370" sId="5">
    <oc r="BE45">
      <f>I45+L45+O45+U45+X45+AA45+AG45+AJ45+AM45+AS45+AV45+AY45</f>
    </oc>
    <nc r="BE45">
      <f>I45+L45+O45+U45+X45+AA45+AG45+AJ45+AM45+AS45+AV45+AY45</f>
    </nc>
  </rcc>
  <rcc rId="2371" sId="5" odxf="1" dxf="1">
    <oc r="BE46">
      <f>I46+L46+O46+U46+X46+AA46+AG46+AJ46+AM46+AS46+AV46+AY46</f>
    </oc>
    <nc r="BE46">
      <f>BE5-BE45</f>
    </nc>
    <odxf>
      <border outline="0">
        <right style="thin">
          <color indexed="64"/>
        </right>
      </border>
    </odxf>
    <ndxf>
      <border outline="0">
        <right style="medium">
          <color indexed="64"/>
        </right>
      </border>
    </ndxf>
  </rcc>
  <rcc rId="2372" sId="5">
    <oc r="BE48">
      <f>I48+L48+O48+U48+X48+AA48+AG48+AJ48+AM48+AS48+AV48+AY48</f>
    </oc>
    <nc r="BE48">
      <f>I48+L48+O48+U48+X48+AA48+AG48+AJ48+AM48+AS48+AV48+AY48</f>
    </nc>
  </rcc>
  <rcc rId="2373" sId="5">
    <oc r="BE49">
      <f>I49+L49+O49+U49+X49+AA49+AG49+AJ49+AM49+AS49+AV49+AY49</f>
    </oc>
    <nc r="BE49">
      <f>I49+L49+O49+U49+X49+AA49+AG49+AJ49+AM49+AS49+AV49+AY49</f>
    </nc>
  </rcc>
  <rcc rId="2374" sId="5">
    <oc r="BE50">
      <f>I50+L50+O50+U50+X50+AA50+AG50+AJ50+AM50+AS50+AV50+AY50</f>
    </oc>
    <nc r="BE50">
      <f>I50+L50+O50+U50+X50+AA50+AG50+AJ50+AM50+AS50+AV50+AY50</f>
    </nc>
  </rcc>
  <rcc rId="2375" sId="5">
    <oc r="BE51">
      <f>BE46-BE48-BE49-BE50</f>
    </oc>
    <nc r="BE51">
      <f>BE46-SUM(BE48:BE50)</f>
    </nc>
  </rcc>
  <rcc rId="2376" sId="5">
    <oc r="BE53">
      <f>I53+L53+O53+U53+X53+AA53+AG53+AJ53+AM53+AS53+AV53+AY53</f>
    </oc>
    <nc r="BE53">
      <f>I53+L53+O53+U53+X53+AA53+AG53+AJ53+AM53+AS53+AV53+AY53</f>
    </nc>
  </rcc>
  <rcc rId="2377" sId="5">
    <oc r="BE54">
      <f>I54+L54+O54+U54+X54+AA54+AG54+AJ54+AM54+AS54+AV54+AY54</f>
    </oc>
    <nc r="BE54">
      <f>I54+L54+O54+U54+X54+AA54+AG54+AJ54+AM54+AS54+AV54+AY54</f>
    </nc>
  </rcc>
  <rcc rId="2378" sId="5">
    <oc r="BE55">
      <f>I55+L55+O55+U55+X55+AA55+AG55+AJ55+AM55+AS55+AV55+AY55</f>
    </oc>
    <nc r="BE55">
      <f>I55+L55+O55+U55+X55+AA55+AG55+AJ55+AM55+AS55+AV55+AY55</f>
    </nc>
  </rcc>
  <rcc rId="2379" sId="5">
    <oc r="BE56">
      <f>I56+L56+O56+U56+X56+AA56+AG56+AJ56+AM56+AS56+AV56+AY56</f>
    </oc>
    <nc r="BE56">
      <f>I56+L56+O56+U56+X56+AA56+AG56+AJ56+AM56+AS56+AV56+AY56</f>
    </nc>
  </rcc>
  <rcc rId="2380" sId="5">
    <oc r="BE57">
      <f>I57+L57+O57+U57+X57+AA57+AG57+AJ57+AM57+AS57+AV57+AY57</f>
    </oc>
    <nc r="BE57">
      <f>I57+L57+O57+U57+X57+AA57+AG57+AJ57+AM57+AS57+AV57+AY57</f>
    </nc>
  </rcc>
  <rcc rId="2381" sId="5">
    <oc r="BE58">
      <f>I58+L58+O58+U58+X58+AA58+AG58+AJ58+AM58+AS58+AV58+AY58</f>
    </oc>
    <nc r="BE58">
      <f>I58+L58+O58+U58+X58+AA58+AG58+AJ58+AM58+AS58+AV58+AY58</f>
    </nc>
  </rcc>
  <rcc rId="2382" sId="5">
    <oc r="BE61">
      <f>BE51-SUM(BE53:BE59)</f>
    </oc>
    <nc r="BE61">
      <f>BE51-SUM(BE53:BE58)</f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</formula>
    <oldFormula>'TSF Prasadam Overall'!$D:$G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</formula>
    <oldFormula>'HT Express BSC '!$D:$H</oldFormula>
  </rdn>
  <rdn rId="0" localSheetId="4" customView="1" name="Z_DD1F7198_8B36_4512_8BBD_8050BD05AADA_.wvu.FilterData" hidden="1" oldHidden="1">
    <formula>'HT Express BSC '!$BJ$41:$BJ$48</formula>
    <oldFormula>'HT Express BSC '!$BJ$41:$BJ$48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</formula>
    <oldFormula>'TSF Prasadam Overall'!$D:$G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</oldFormula>
  </rdn>
  <rdn rId="0" localSheetId="4" customView="1" name="Z_DD1F7198_8B36_4512_8BBD_8050BD05AADA_.wvu.FilterData" hidden="1" oldHidden="1">
    <formula>'HT Express BSC '!$BJ$41:$BJ$48</formula>
    <oldFormula>'HT Express BSC '!$BJ$41:$BJ$48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Overall'!$AA:$BD</formula>
    <oldFormula>'TSF Prasadam Overall'!$D:$G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'!$BJ$41:$BJ$48</formula>
    <oldFormula>'HT Express BSC '!$BJ$41:$BJ$48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Overall'!$AA:$BD</formula>
    <oldFormula>'TSF Prasadam Overall'!$D:$G,'TSF Prasadam Overall'!$AA:$BD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'!$BJ$41:$BJ$48</formula>
    <oldFormula>'HT Express BSC '!$BJ$41:$BJ$48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27" sId="6">
    <oc r="BE6">
      <f>I6+L6+O6+U6+X6+AA6+AG6+AJ6+AM6+AS6+AV6+AY6</f>
    </oc>
    <nc r="BE6">
      <f>I6+L6+O6+U6+X6+AA6+AG6+AJ6+AM6+AS6+AV6+AY6</f>
    </nc>
  </rcc>
  <rcc rId="2428" sId="6">
    <oc r="BE9">
      <f>I9+L9+O9+U9+X9+AA9+AG9+AJ9+AM9+AS9+AV9+AY9</f>
    </oc>
    <nc r="BE9">
      <f>I9+L9+O9+U9+X9+AA9+AG9+AJ9+AM9+AS9+AV9+AY9</f>
    </nc>
  </rcc>
  <rcc rId="2429" sId="6">
    <oc r="BE10">
      <f>I10+L10+O10+U10+X10+AA10+AG10+AJ10+AM10+AS10+AV10+AY10</f>
    </oc>
    <nc r="BE10">
      <f>I10+L10+O10+U10+X10+AA10+AG10+AJ10+AM10+AS10+AV10+AY10</f>
    </nc>
  </rcc>
  <rcc rId="2430" sId="6">
    <oc r="BE11">
      <f>I11+L11+O11+U11+X11+AA11+AG11+AJ11+AM11+AS11+AV11+AY11</f>
    </oc>
    <nc r="BE11">
      <f>I11+L11+O11+U11+X11+AA11+AG11+AJ11+AM11+AS11+AV11+AY11</f>
    </nc>
  </rcc>
  <rcc rId="2431" sId="6">
    <oc r="BE14">
      <f>I14+L14+O14+U14+X14+AA14+AG14+AJ14+AM14+AS14+AV14+AY14</f>
    </oc>
    <nc r="BE14">
      <f>I14+L14+O14+U14+X14+AA14+AG14+AJ14+AM14+AS14+AV14+AY14</f>
    </nc>
  </rcc>
  <rcc rId="2432" sId="6">
    <oc r="BE23">
      <f>I23+L23+O23+U23+X23+AA23+AG23+AJ23+AM23+AS23+AV23+AY23</f>
    </oc>
    <nc r="BE23">
      <f>I23+L23+O23+U23+X23+AA23+AG23+AJ23+AM23+AS23+AV23+AY23</f>
    </nc>
  </rcc>
  <rcc rId="2433" sId="6">
    <oc r="BE26">
      <f>I26+L26+O26+U26+X26+AA26+AG26+AJ26+AM26+AS26+AV26+AY26</f>
    </oc>
    <nc r="BE26">
      <f>I26+L26+O26+U26+X26+AA26+AG26+AJ26+AM26+AS26+AV26+AY26</f>
    </nc>
  </rcc>
  <rcc rId="2434" sId="6">
    <oc r="BE27">
      <f>I27+L27+O27+U27+X27+AA27+AG27+AJ27+AM27+AS27+AV27+AY27</f>
    </oc>
    <nc r="BE27">
      <f>I27+L27+O27+U27+X27+AA27+AG27+AJ27+AM27+AS27+AV27+AY27</f>
    </nc>
  </rcc>
  <rcc rId="2435" sId="6">
    <oc r="BE28">
      <f>I28+L28+O28+U28+X28+AA28+AG28+AJ28+AM28+AS28+AV28+AY28</f>
    </oc>
    <nc r="BE28">
      <f>I28+L28+O28+U28+X28+AA28+AG28+AJ28+AM28+AS28+AV28+AY28</f>
    </nc>
  </rcc>
  <rcc rId="2436" sId="6" odxf="1" dxf="1">
    <oc r="BE24">
      <f>I24+L24+O24+U24+X24+AA24+AG24+AJ24+AM24+AS24+AV24+AY24</f>
    </oc>
    <nc r="BE24">
      <f>BE5-BE23+200</f>
    </nc>
    <ndxf>
      <border outline="0">
        <left style="medium">
          <color indexed="64"/>
        </left>
      </border>
    </ndxf>
  </rcc>
  <rcc rId="2437" sId="6" odxf="1" dxf="1">
    <oc r="BE29">
      <f>BE24-BE26-BE27-BE28</f>
    </oc>
    <nc r="BE29">
      <f>BE24-SUM(BE26:BE28)</f>
    </nc>
    <odxf>
      <font>
        <b/>
        <sz val="9"/>
      </font>
    </odxf>
    <ndxf>
      <font>
        <b val="0"/>
        <sz val="9"/>
      </font>
    </ndxf>
  </rcc>
  <rfmt sheetId="6" sqref="BE29" start="0" length="2147483647">
    <dxf>
      <font>
        <b/>
      </font>
    </dxf>
  </rfmt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Overall'!$AA:$BD</formula>
    <oldFormula>'TSF Prasadam Overall'!$D:$G,'TSF Prasadam Overall'!$AA:$BD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'!$BJ$41:$BJ$48</formula>
    <oldFormula>'HT Express BSC '!$BJ$41:$BJ$48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9" sId="6">
    <oc r="BE31">
      <f>I31+L31+O31+U31+X31+AA31+AG31+AJ31+AM31+AS31+AV31+AY31</f>
    </oc>
    <nc r="BE31">
      <f>I31+L31+O31+U31+X31+AA31+AG31+AJ31+AM31+AS31+AV31+AY31</f>
    </nc>
  </rcc>
  <rcc rId="2450" sId="6">
    <oc r="BE32">
      <f>I32+L32+O32+U32+X32+AA32+AG32+AJ32+AM32+AS32+AV32+AY32</f>
    </oc>
    <nc r="BE32">
      <f>I32+L32+O32+U32+X32+AA32+AG32+AJ32+AM32+AS32+AV32+AY32</f>
    </nc>
  </rcc>
  <rcc rId="2451" sId="6">
    <oc r="BE33">
      <f>I33+L33+O33+U33+X33+AA33+AG33+AJ33+AM33+AS33+AV33+AY33</f>
    </oc>
    <nc r="BE33">
      <f>I33+L33+O33+U33+X33+AA33+AG33+AJ33+AM33+AS33+AV33+AY33</f>
    </nc>
  </rcc>
  <rcc rId="2452" sId="6">
    <oc r="BE34">
      <f>I34+L34+O34+U34+X34+AA34+AG34+AJ34+AM34+AS34+AV34+AY34</f>
    </oc>
    <nc r="BE34">
      <f>I34+L34+O34+U34+X34+AA34+AG34+AJ34+AM34+AS34+AV34+AY34</f>
    </nc>
  </rcc>
  <rcc rId="2453" sId="6">
    <oc r="BE38">
      <f>BE29-SUM(BE31:BE36)</f>
    </oc>
    <nc r="BE38">
      <f>BE29-SUM(BE31:BE35)</f>
    </nc>
  </rcc>
  <rcc rId="2454" sId="6">
    <oc r="BE50">
      <f>I50+L50+O50+U50+X50+AA50+AG50+AJ50+AM50+AS50+AV50+AY50</f>
    </oc>
    <nc r="BE50">
      <f>I50+L50+O50+U50+X50+AA50+AG50+AJ50+AM50+AS50+AV50+AY50</f>
    </nc>
  </rcc>
  <rcc rId="2455" sId="6">
    <oc r="BE60">
      <f>I60+L60+O60+U60+X60+AA60+AG60+AJ60+AM60+AS60+AV60+AY60</f>
    </oc>
    <nc r="BE60">
      <f>I60+L60+O60+U60+X60+AA60+AG60+AJ60+AM60+AS60+AV60+AY60</f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Overall'!$AA:$BD</formula>
    <oldFormula>'TSF Prasadam Overall'!$D:$G,'TSF Prasadam Overall'!$AA:$BD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'!$BJ$41:$BJ$48</formula>
    <oldFormula>'HT Express BSC '!$BJ$41:$BJ$48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Overall'!$AA:$BD</formula>
    <oldFormula>'TSF Prasadam Overall'!$D:$G,'TSF Prasadam Overall'!$AA:$BD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'!$BJ$41:$BJ$48</formula>
    <oldFormula>'HT Express BSC '!$BJ$41:$BJ$48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3" sId="6" numFmtId="34">
    <nc r="AA6">
      <v>1650000</v>
    </nc>
  </rcc>
  <rcc rId="2584" sId="6">
    <nc r="AA7">
      <f>AA5/AA6</f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3" odxf="1" dxf="1">
    <nc r="BE102">
      <f>BE100/BE85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v guid="{40DAEB26-20D3-4AB4-B94D-0ED6F1AA8B5C}" action="delete"/>
  <rdn rId="0" localSheetId="3" customView="1" name="Z_40DAEB26_20D3_4AB4_B94D_0ED6F1AA8B5C_.wvu.Rows" hidden="1" oldHidden="1">
    <formula>'TSF Prasadam Overall'!$15:$27,'TSF Prasadam Overall'!$157:$159</formula>
    <oldFormula>'TSF Prasadam Overall'!$15:$27,'TSF Prasadam Overall'!$157:$159</oldFormula>
  </rdn>
  <rdn rId="0" localSheetId="3" customView="1" name="Z_40DAEB26_20D3_4AB4_B94D_0ED6F1AA8B5C_.wvu.Cols" hidden="1" oldHidden="1">
    <formula>'TSF Prasadam Overall'!$D:$G,'TSF Prasadam Overall'!$L:$Q,'TSF Prasadam Overall'!$S:$T,'TSF Prasadam Overall'!$AA:$BD</formula>
    <oldFormula>'TSF Prasadam Overall'!$D:$G,'TSF Prasadam Overall'!$L:$Q,'TSF Prasadam Overall'!$S:$T,'TSF Prasadam Overall'!$AA:$BD</oldFormula>
  </rdn>
  <rdn rId="0" localSheetId="3" customView="1" name="Z_40DAEB26_20D3_4AB4_B94D_0ED6F1AA8B5C_.wvu.FilterData" hidden="1" oldHidden="1">
    <formula>'TSF Prasadam Overall'!$A$1:$AG$7</formula>
    <oldFormula>'TSF Prasadam Overall'!$A$1:$AG$7</oldFormula>
  </rdn>
  <rdn rId="0" localSheetId="4" customView="1" name="Z_40DAEB26_20D3_4AB4_B94D_0ED6F1AA8B5C_.wvu.Cols" hidden="1" oldHidden="1">
    <formula>'HT Express BSC '!$D:$H,'HT Express BSC '!$J:$T,'HT Express BSC '!$AA:$BD</formula>
    <oldFormula>'HT Express BSC '!$D:$H,'HT Express BSC '!$J:$T,'HT Express BSC '!$AA:$BD</oldFormula>
  </rdn>
  <rdn rId="0" localSheetId="4" customView="1" name="Z_40DAEB26_20D3_4AB4_B94D_0ED6F1AA8B5C_.wvu.FilterData" hidden="1" oldHidden="1">
    <formula>'HT Express BSC '!$A$1:$Q$3</formula>
    <oldFormula>'HT Express BSC '!$A$1:$Q$3</oldFormula>
  </rdn>
  <rdn rId="0" localSheetId="5" customView="1" name="Z_40DAEB26_20D3_4AB4_B94D_0ED6F1AA8B5C_.wvu.Rows" hidden="1" oldHidden="1">
    <formula>'HT Stores BSC'!$83:$84</formula>
    <oldFormula>'HT Stores BSC'!$83:$84</oldFormula>
  </rdn>
  <rdn rId="0" localSheetId="5" customView="1" name="Z_40DAEB26_20D3_4AB4_B94D_0ED6F1AA8B5C_.wvu.Cols" hidden="1" oldHidden="1">
    <formula>'HT Stores BSC'!$D:$G,'HT Stores BSC'!$J:$T,'HT Stores BSC'!$AA:$BD</formula>
    <oldFormula>'HT Stores BSC'!$D:$G,'HT Stores BSC'!$J:$T,'HT Stores BSC'!$AA:$BD</oldFormula>
  </rdn>
  <rdn rId="0" localSheetId="5" customView="1" name="Z_40DAEB26_20D3_4AB4_B94D_0ED6F1AA8B5C_.wvu.FilterData" hidden="1" oldHidden="1">
    <formula>'HT Stores BSC'!$A$1:$Q$3</formula>
    <oldFormula>'HT Stores BSC'!$A$1:$Q$3</oldFormula>
  </rdn>
  <rdn rId="0" localSheetId="6" customView="1" name="Z_40DAEB26_20D3_4AB4_B94D_0ED6F1AA8B5C_.wvu.Rows" hidden="1" oldHidden="1">
    <formula>'HT Fine Dining'!$53:$54</formula>
    <oldFormula>'HT Fine Dining'!$53:$54</oldFormula>
  </rdn>
  <rdn rId="0" localSheetId="6" customView="1" name="Z_40DAEB26_20D3_4AB4_B94D_0ED6F1AA8B5C_.wvu.Cols" hidden="1" oldHidden="1">
    <formula>'HT Fine Dining'!$D:$G,'HT Fine Dining'!$J:$T,'HT Fine Dining'!$AA:$BD</formula>
    <oldFormula>'HT Fine Dining'!$D:$G,'HT Fine Dining'!$J:$T,'HT Fine Dining'!$AA:$BD</oldFormula>
  </rdn>
  <rdn rId="0" localSheetId="6" customView="1" name="Z_40DAEB26_20D3_4AB4_B94D_0ED6F1AA8B5C_.wvu.FilterData" hidden="1" oldHidden="1">
    <formula>'HT Fine Dining'!$A$1:$Q$3</formula>
    <oldFormula>'HT Fine Dining'!$A$1:$Q$3</oldFormula>
  </rdn>
  <rcv guid="{40DAEB26-20D3-4AB4-B94D-0ED6F1AA8B5C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3">
    <oc r="BE104">
      <f>(BB104+AY104+AV104)/3</f>
    </oc>
    <nc r="BE104"/>
  </rcc>
  <rcc rId="2491" sId="3">
    <oc r="BE105">
      <f>(BB105+AY105+AV105)/3</f>
    </oc>
    <nc r="BE105"/>
  </rcc>
  <rcc rId="2492" sId="3">
    <oc r="BE106">
      <f>(BB106+AY106+AV106)/3</f>
    </oc>
    <nc r="BE106"/>
  </rcc>
  <rcc rId="2493" sId="3">
    <oc r="BE79">
      <f>(L79+I79)/2</f>
    </oc>
    <nc r="BE79"/>
  </rcc>
  <rcc rId="2494" sId="3">
    <oc r="BE80">
      <f>(L80+I80)/2</f>
    </oc>
    <nc r="BE80"/>
  </rcc>
  <rfmt sheetId="3" sqref="BE79:BE80">
    <dxf>
      <fill>
        <patternFill patternType="none">
          <bgColor auto="1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E49:BE50">
    <dxf>
      <fill>
        <patternFill patternType="none">
          <bgColor auto="1"/>
        </patternFill>
      </fill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X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X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DAEB26-20D3-4AB4-B94D-0ED6F1AA8B5C}" action="delete"/>
  <rdn rId="0" localSheetId="3" customView="1" name="Z_40DAEB26_20D3_4AB4_B94D_0ED6F1AA8B5C_.wvu.Rows" hidden="1" oldHidden="1">
    <formula>'TSF Prasadam Overall'!$15:$27,'TSF Prasadam Overall'!$157:$159</formula>
    <oldFormula>'TSF Prasadam Overall'!$15:$27,'TSF Prasadam Overall'!$157:$159</oldFormula>
  </rdn>
  <rdn rId="0" localSheetId="3" customView="1" name="Z_40DAEB26_20D3_4AB4_B94D_0ED6F1AA8B5C_.wvu.Cols" hidden="1" oldHidden="1">
    <formula>'TSF Prasadam Overall'!$D:$G,'TSF Prasadam Overall'!$L:$Q,'TSF Prasadam Overall'!$S:$T,'TSF Prasadam Overall'!$AA:$BD</formula>
    <oldFormula>'TSF Prasadam Overall'!$D:$G,'TSF Prasadam Overall'!$L:$Q,'TSF Prasadam Overall'!$S:$T,'TSF Prasadam Overall'!$AA:$BD</oldFormula>
  </rdn>
  <rdn rId="0" localSheetId="3" customView="1" name="Z_40DAEB26_20D3_4AB4_B94D_0ED6F1AA8B5C_.wvu.FilterData" hidden="1" oldHidden="1">
    <formula>'TSF Prasadam Overall'!$A$1:$AG$7</formula>
    <oldFormula>'TSF Prasadam Overall'!$A$1:$AG$7</oldFormula>
  </rdn>
  <rdn rId="0" localSheetId="4" customView="1" name="Z_40DAEB26_20D3_4AB4_B94D_0ED6F1AA8B5C_.wvu.Cols" hidden="1" oldHidden="1">
    <formula>'HT Express BSC '!$D:$H,'HT Express BSC '!$J:$T,'HT Express BSC '!$AA:$BD</formula>
    <oldFormula>'HT Express BSC '!$D:$H,'HT Express BSC '!$J:$T,'HT Express BSC '!$AA:$BD</oldFormula>
  </rdn>
  <rdn rId="0" localSheetId="4" customView="1" name="Z_40DAEB26_20D3_4AB4_B94D_0ED6F1AA8B5C_.wvu.FilterData" hidden="1" oldHidden="1">
    <formula>'HT Express BSC '!$A$1:$Q$3</formula>
    <oldFormula>'HT Express BSC '!$A$1:$Q$3</oldFormula>
  </rdn>
  <rdn rId="0" localSheetId="5" customView="1" name="Z_40DAEB26_20D3_4AB4_B94D_0ED6F1AA8B5C_.wvu.Rows" hidden="1" oldHidden="1">
    <formula>'HT Stores BSC'!$83:$84</formula>
    <oldFormula>'HT Stores BSC'!$83:$84</oldFormula>
  </rdn>
  <rdn rId="0" localSheetId="5" customView="1" name="Z_40DAEB26_20D3_4AB4_B94D_0ED6F1AA8B5C_.wvu.Cols" hidden="1" oldHidden="1">
    <formula>'HT Stores BSC'!$D:$G,'HT Stores BSC'!$J:$T,'HT Stores BSC'!$AA:$BD</formula>
    <oldFormula>'HT Stores BSC'!$D:$G,'HT Stores BSC'!$J:$T,'HT Stores BSC'!$AA:$BD</oldFormula>
  </rdn>
  <rdn rId="0" localSheetId="5" customView="1" name="Z_40DAEB26_20D3_4AB4_B94D_0ED6F1AA8B5C_.wvu.FilterData" hidden="1" oldHidden="1">
    <formula>'HT Stores BSC'!$A$1:$Q$3</formula>
    <oldFormula>'HT Stores BSC'!$A$1:$Q$3</oldFormula>
  </rdn>
  <rdn rId="0" localSheetId="6" customView="1" name="Z_40DAEB26_20D3_4AB4_B94D_0ED6F1AA8B5C_.wvu.Rows" hidden="1" oldHidden="1">
    <formula>'HT Fine Dining'!$53:$54</formula>
    <oldFormula>'HT Fine Dining'!$53:$54</oldFormula>
  </rdn>
  <rdn rId="0" localSheetId="6" customView="1" name="Z_40DAEB26_20D3_4AB4_B94D_0ED6F1AA8B5C_.wvu.Cols" hidden="1" oldHidden="1">
    <formula>'HT Fine Dining'!$D:$G,'HT Fine Dining'!$J:$T,'HT Fine Dining'!$AA:$BD</formula>
    <oldFormula>'HT Fine Dining'!$D:$G,'HT Fine Dining'!$J:$T,'HT Fine Dining'!$AA:$BD</oldFormula>
  </rdn>
  <rdn rId="0" localSheetId="6" customView="1" name="Z_40DAEB26_20D3_4AB4_B94D_0ED6F1AA8B5C_.wvu.FilterData" hidden="1" oldHidden="1">
    <formula>'HT Fine Dining'!$A$1:$Q$3</formula>
    <oldFormula>'HT Fine Dining'!$A$1:$Q$3</oldFormula>
  </rdn>
  <rcv guid="{40DAEB26-20D3-4AB4-B94D-0ED6F1AA8B5C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6" numFmtId="34">
    <nc r="AB5">
      <v>1498792</v>
    </nc>
  </rcc>
  <rcc rId="2507" sId="6" numFmtId="34">
    <nc r="AB23">
      <v>59952</v>
    </nc>
  </rcc>
  <rcc rId="2508" sId="6" odxf="1" dxf="1">
    <nc r="AB24">
      <f>AB5-AB23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509" sId="6" numFmtId="34">
    <nc r="AB27">
      <v>8392</v>
    </nc>
  </rcc>
  <rcc rId="2510" sId="6" numFmtId="34">
    <nc r="AB28">
      <v>97386</v>
    </nc>
  </rcc>
  <rcc rId="2511" sId="6" numFmtId="34">
    <nc r="AB26">
      <f>552376+21371</f>
    </nc>
  </rcc>
  <rcc rId="2512" sId="6">
    <nc r="AB29">
      <f>AB24-SUM(AB26:AB28)</f>
    </nc>
  </rcc>
  <rcc rId="2513" sId="6" numFmtId="34">
    <nc r="AB31">
      <v>519977</v>
    </nc>
  </rcc>
  <rcc rId="2514" sId="6" numFmtId="34">
    <nc r="AB32">
      <v>103913</v>
    </nc>
  </rcc>
  <rcc rId="2515" sId="6" numFmtId="34">
    <nc r="AB33">
      <v>47220</v>
    </nc>
  </rcc>
  <rcc rId="2516" sId="6" numFmtId="34">
    <nc r="AB34">
      <v>190082.1</v>
    </nc>
  </rcc>
  <rcc rId="2517" sId="6" numFmtId="34">
    <nc r="AB35">
      <v>0</v>
    </nc>
  </rcc>
  <rcc rId="2518" sId="6">
    <nc r="AB38">
      <f>AB29-SUM(AB31:AB35)</f>
    </nc>
  </rcc>
  <rfmt sheetId="6" sqref="AB40" start="0" length="0">
    <dxf>
      <font>
        <b/>
        <sz val="9"/>
      </font>
      <border outline="0">
        <left style="medium">
          <color indexed="64"/>
        </left>
      </border>
    </dxf>
  </rfmt>
  <rcc rId="2519" sId="6">
    <nc r="AB40">
      <f>AB38/AB24</f>
    </nc>
  </rcc>
  <rcc rId="2520" sId="6" odxf="1" dxf="1">
    <nc r="AB42">
      <f>SUM(AB26:AB28)/AB24</f>
    </nc>
    <odxf>
      <font>
        <b val="0"/>
        <sz val="9"/>
      </font>
      <border outline="0">
        <left style="thin">
          <color indexed="64"/>
        </left>
      </border>
    </odxf>
    <ndxf>
      <font>
        <b/>
        <sz val="9"/>
        <color auto="1"/>
      </font>
      <border outline="0">
        <left style="medium">
          <color indexed="64"/>
        </left>
      </border>
    </ndxf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Overall'!$AA:$BD</formula>
    <oldFormula>'TSF Prasadam Overall'!$D:$G,'TSF Prasadam Overall'!$AA:$BD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'!$A$1:$Q$3</formula>
    <oldFormula>'HT Express BSC '!$BJ$41:$BJ$48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Dining'!$AG:$BG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2" sId="4" numFmtId="34">
    <oc r="V9">
      <v>1068775</v>
    </oc>
    <nc r="V9">
      <f>1068775+837888</f>
    </nc>
  </rcc>
  <rcc rId="2533" sId="4">
    <nc r="Y5">
      <f>Y9+Y17+Y21</f>
    </nc>
  </rcc>
  <rcc rId="2534" sId="4" numFmtId="34">
    <nc r="Y9">
      <v>1257967</v>
    </nc>
  </rcc>
  <rcc rId="2535" sId="4" numFmtId="34">
    <nc r="Y13">
      <v>0</v>
    </nc>
  </rcc>
  <rcc rId="2536" sId="4" numFmtId="34">
    <nc r="Y17">
      <v>834178</v>
    </nc>
  </rcc>
  <rcc rId="2537" sId="4">
    <nc r="AB5">
      <f>AB9+AB17+AB21</f>
    </nc>
  </rcc>
  <rcc rId="2538" sId="4" numFmtId="34">
    <nc r="AB9">
      <v>930637</v>
    </nc>
  </rcc>
  <rcc rId="2539" sId="4" numFmtId="34">
    <nc r="AB17">
      <v>866285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DAEB26-20D3-4AB4-B94D-0ED6F1AA8B5C}" action="delete"/>
  <rdn rId="0" localSheetId="3" customView="1" name="Z_40DAEB26_20D3_4AB4_B94D_0ED6F1AA8B5C_.wvu.Rows" hidden="1" oldHidden="1">
    <formula>'TSF Prasadam Overall'!$15:$27,'TSF Prasadam Overall'!$157:$159</formula>
    <oldFormula>'TSF Prasadam Overall'!$15:$27,'TSF Prasadam Overall'!$157:$159</oldFormula>
  </rdn>
  <rdn rId="0" localSheetId="3" customView="1" name="Z_40DAEB26_20D3_4AB4_B94D_0ED6F1AA8B5C_.wvu.Cols" hidden="1" oldHidden="1">
    <formula>'TSF Prasadam Overall'!$D:$G,'TSF Prasadam Overall'!$L:$Q,'TSF Prasadam Overall'!$S:$T,'TSF Prasadam Overall'!$AA:$BD</formula>
    <oldFormula>'TSF Prasadam Overall'!$D:$G,'TSF Prasadam Overall'!$L:$Q,'TSF Prasadam Overall'!$S:$T,'TSF Prasadam Overall'!$AA:$BD</oldFormula>
  </rdn>
  <rdn rId="0" localSheetId="3" customView="1" name="Z_40DAEB26_20D3_4AB4_B94D_0ED6F1AA8B5C_.wvu.FilterData" hidden="1" oldHidden="1">
    <formula>'TSF Prasadam Overall'!$A$1:$AG$7</formula>
    <oldFormula>'TSF Prasadam Overall'!$A$1:$AG$7</oldFormula>
  </rdn>
  <rdn rId="0" localSheetId="4" customView="1" name="Z_40DAEB26_20D3_4AB4_B94D_0ED6F1AA8B5C_.wvu.Cols" hidden="1" oldHidden="1">
    <formula>'HT Express BSC '!$D:$H,'HT Express BSC '!$J:$T,'HT Express BSC '!$AA:$BD</formula>
    <oldFormula>'HT Express BSC '!$D:$H,'HT Express BSC '!$J:$T,'HT Express BSC '!$AA:$BD</oldFormula>
  </rdn>
  <rdn rId="0" localSheetId="4" customView="1" name="Z_40DAEB26_20D3_4AB4_B94D_0ED6F1AA8B5C_.wvu.FilterData" hidden="1" oldHidden="1">
    <formula>'HT Express BSC '!$A$1:$Q$3</formula>
    <oldFormula>'HT Express BSC '!$A$1:$Q$3</oldFormula>
  </rdn>
  <rdn rId="0" localSheetId="5" customView="1" name="Z_40DAEB26_20D3_4AB4_B94D_0ED6F1AA8B5C_.wvu.Rows" hidden="1" oldHidden="1">
    <formula>'HT Stores BSC'!$83:$84</formula>
    <oldFormula>'HT Stores BSC'!$83:$84</oldFormula>
  </rdn>
  <rdn rId="0" localSheetId="5" customView="1" name="Z_40DAEB26_20D3_4AB4_B94D_0ED6F1AA8B5C_.wvu.Cols" hidden="1" oldHidden="1">
    <formula>'HT Stores BSC'!$D:$G,'HT Stores BSC'!$J:$T,'HT Stores BSC'!$AA:$BD</formula>
    <oldFormula>'HT Stores BSC'!$D:$G,'HT Stores BSC'!$J:$T,'HT Stores BSC'!$AA:$BD</oldFormula>
  </rdn>
  <rdn rId="0" localSheetId="5" customView="1" name="Z_40DAEB26_20D3_4AB4_B94D_0ED6F1AA8B5C_.wvu.FilterData" hidden="1" oldHidden="1">
    <formula>'HT Stores BSC'!$A$1:$Q$3</formula>
    <oldFormula>'HT Stores BSC'!$A$1:$Q$3</oldFormula>
  </rdn>
  <rdn rId="0" localSheetId="6" customView="1" name="Z_40DAEB26_20D3_4AB4_B94D_0ED6F1AA8B5C_.wvu.Rows" hidden="1" oldHidden="1">
    <formula>'HT Fine Dining'!$53:$54</formula>
    <oldFormula>'HT Fine Dining'!$53:$54</oldFormula>
  </rdn>
  <rdn rId="0" localSheetId="6" customView="1" name="Z_40DAEB26_20D3_4AB4_B94D_0ED6F1AA8B5C_.wvu.Cols" hidden="1" oldHidden="1">
    <formula>'HT Fine Dining'!$D:$G,'HT Fine Dining'!$J:$T,'HT Fine Dining'!$AA:$BD</formula>
    <oldFormula>'HT Fine Dining'!$D:$G,'HT Fine Dining'!$J:$T,'HT Fine Dining'!$AA:$BD</oldFormula>
  </rdn>
  <rdn rId="0" localSheetId="6" customView="1" name="Z_40DAEB26_20D3_4AB4_B94D_0ED6F1AA8B5C_.wvu.FilterData" hidden="1" oldHidden="1">
    <formula>'HT Fine Dining'!$A$1:$Q$3</formula>
    <oldFormula>'HT Fine Dining'!$A$1:$Q$3</oldFormula>
  </rdn>
  <rcv guid="{40DAEB26-20D3-4AB4-B94D-0ED6F1AA8B5C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1" sId="5" odxf="1" dxf="1">
    <nc r="AB5">
      <f>AB9+AB13+AB17</f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552" sId="5" numFmtId="34">
    <nc r="AB13">
      <v>5822410</v>
    </nc>
  </rcc>
  <rcc rId="2553" sId="5">
    <nc r="Y17">
      <f>239421+274870+18525+525243</f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4" sId="6" xfDxf="1" s="1" dxf="1" numFmtId="34">
    <nc r="AA9">
      <v>1415021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5" sId="6">
    <nc r="AA5">
      <f>SUM(AA9:AA11)</f>
    </nc>
  </rcc>
  <rcc rId="2556" sId="6" numFmtId="34">
    <nc r="AA10">
      <f>70265.5+240</f>
    </nc>
  </rcc>
  <rcc rId="2557" sId="6" numFmtId="34">
    <nc r="AA23">
      <v>74397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5" sId="6">
    <nc r="AD7">
      <f>AD5/AD6</f>
    </nc>
  </rcc>
  <rfmt sheetId="6" sqref="AD14" start="0" length="0">
    <dxf/>
  </rfmt>
  <rfmt sheetId="6" sqref="AD15" start="0" length="0">
    <dxf/>
  </rfmt>
  <rcc rId="2586" sId="6">
    <nc r="AD9">
      <f>AA9+X9+U9</f>
    </nc>
  </rcc>
  <rcc rId="2587" sId="6">
    <nc r="AD10">
      <f>AA10+X10+U10</f>
    </nc>
  </rcc>
  <rcc rId="2588" sId="6">
    <nc r="AD11">
      <f>AA11+X11+U11</f>
    </nc>
  </rcc>
  <rcc rId="2589" sId="6">
    <nc r="AD23">
      <f>AA23+X23+U23</f>
    </nc>
  </rcc>
  <rcc rId="2590" sId="6" odxf="1" dxf="1">
    <nc r="AD24">
      <f>AA24+X24+U24</f>
    </nc>
    <odxf>
      <font>
        <b val="0"/>
        <sz val="9"/>
      </font>
    </odxf>
    <ndxf>
      <font>
        <b/>
        <sz val="9"/>
        <color auto="1"/>
      </font>
    </ndxf>
  </rcc>
  <rcc rId="2591" sId="6" odxf="1" dxf="1">
    <nc r="AD26">
      <f>AA26+X26+U26</f>
    </nc>
    <odxf/>
    <ndxf/>
  </rcc>
  <rcc rId="2592" sId="6" odxf="1" dxf="1">
    <nc r="AD27">
      <f>AA27+X27+U27</f>
    </nc>
    <odxf/>
    <ndxf/>
  </rcc>
  <rcc rId="2593" sId="6" odxf="1" dxf="1">
    <nc r="AD28">
      <f>AA28+X28+U28</f>
    </nc>
    <odxf/>
    <ndxf/>
  </rcc>
  <rfmt sheetId="6" sqref="AD29" start="0" length="0">
    <dxf>
      <font>
        <b/>
        <sz val="9"/>
      </font>
    </dxf>
  </rfmt>
  <rcc rId="2594" sId="6" odxf="1" dxf="1">
    <nc r="AD29">
      <f>AD24-SUM(AD26:AD28)</f>
    </nc>
    <ndxf>
      <font>
        <b val="0"/>
        <sz val="9"/>
      </font>
      <border outline="0">
        <left style="thin">
          <color indexed="64"/>
        </left>
      </border>
    </ndxf>
  </rcc>
  <rfmt sheetId="6" sqref="AD29" start="0" length="2147483647">
    <dxf>
      <font>
        <b/>
      </font>
    </dxf>
  </rfmt>
  <rcc rId="2595" sId="6">
    <nc r="AD31">
      <f>AA31+X31+U31</f>
    </nc>
  </rcc>
  <rcc rId="2596" sId="6">
    <nc r="AD32">
      <f>AA32+X32+U32</f>
    </nc>
  </rcc>
  <rcc rId="2597" sId="6">
    <nc r="AD33">
      <f>AA33+X33+U33</f>
    </nc>
  </rcc>
  <rcc rId="2598" sId="6">
    <nc r="AD34">
      <f>AA34+X34+U34</f>
    </nc>
  </rcc>
  <rcc rId="2599" sId="6">
    <nc r="AD35">
      <f>AA35+X35+U35</f>
    </nc>
  </rcc>
  <rcc rId="2600" sId="6" odxf="1" dxf="1">
    <nc r="AD38">
      <f>AD29-SUM(AD31:AD36)</f>
    </nc>
    <odxf>
      <font>
        <b val="0"/>
        <sz val="9"/>
      </font>
    </odxf>
    <ndxf>
      <font>
        <b/>
        <sz val="9"/>
      </font>
    </ndxf>
  </rcc>
  <rcc rId="2601" sId="6">
    <oc r="AA40">
      <f>AA38/AA24</f>
    </oc>
    <nc r="AA40">
      <f>AA38/AA24</f>
    </nc>
  </rcc>
  <rcc rId="2602" sId="6" odxf="1" dxf="1">
    <nc r="AD40">
      <f>AD38/AD24</f>
    </nc>
    <odxf>
      <font>
        <b val="0"/>
        <sz val="9"/>
      </font>
    </odxf>
    <ndxf>
      <font>
        <b/>
        <sz val="9"/>
      </font>
    </ndxf>
  </rcc>
  <rfmt sheetId="6" sqref="AD42" start="0" length="0">
    <dxf>
      <font>
        <b/>
        <sz val="9"/>
        <color auto="1"/>
      </font>
    </dxf>
  </rfmt>
  <rcc rId="2603" sId="6">
    <nc r="AD42">
      <f>SUM(AD26:AD28)/AD24</f>
    </nc>
  </rcc>
  <rcc rId="2604" sId="6">
    <nc r="AD5">
      <f>AA5+X5+U5</f>
    </nc>
  </rcc>
  <rcc rId="2605" sId="6" odxf="1" s="1" dxf="1">
    <nc r="AD6">
      <f>AA6+X6+U6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wrapText="1" readingOrder="0"/>
    </ndxf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8" sId="6">
    <nc r="AA24">
      <f>AA5-AA23</f>
    </nc>
  </rcc>
  <rcc rId="2559" sId="6" numFmtId="34">
    <nc r="AA26">
      <v>464327</v>
    </nc>
  </rcc>
  <rcc rId="2560" sId="6" numFmtId="34">
    <nc r="AA28">
      <v>32426</v>
    </nc>
  </rcc>
  <rcc rId="2561" sId="6" numFmtId="34">
    <nc r="AA27">
      <v>131293</v>
    </nc>
  </rcc>
  <rcc rId="2562" sId="6" numFmtId="34">
    <nc r="AA29">
      <v>905404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6" sId="6">
    <oc r="BE6">
      <f>I6+L6+O6+U6+X6+AA6+AG6+AJ6+AM6+AS6+AV6+AY6</f>
    </oc>
    <nc r="BE6">
      <f>I6+L6+O6+U6+X6+AA6+AG6+AJ6+AM6+AS6+AV6+AY6</f>
    </nc>
  </rcc>
  <rfmt sheetId="6" s="1" sqref="BG6" start="0" length="0">
    <dxf>
      <numFmt numFmtId="13" formatCode="0%"/>
      <alignment wrapText="1" readingOrder="0"/>
    </dxf>
  </rfmt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Overall'!$AA:$BD</formula>
    <oldFormula>'TSF Prasadam Overall'!$D:$G,'TSF Prasadam Overall'!$AA:$BD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</formula>
    <oldFormula>'HT Fine Dining'!$D:$G,'HT Fine Dining'!$AG:$BG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8" sId="5">
    <nc r="AA5">
      <f>AA9+AA13+AA17</f>
    </nc>
  </rcc>
  <rcc rId="2619" sId="5" numFmtId="34">
    <nc r="AA9">
      <v>786880</v>
    </nc>
  </rcc>
  <rcc rId="2620" sId="5" numFmtId="34">
    <nc r="AA10">
      <v>1000000</v>
    </nc>
  </rcc>
  <rcc rId="2621" sId="5">
    <nc r="AA11">
      <f>AA9/AA10</f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Overall'!$AA:$BD</formula>
    <oldFormula>'TSF Prasadam Overall'!$D:$G,'TSF Prasadam Overall'!$AA:$BD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</formula>
    <oldFormula>'HT Fine Dining'!$D:$G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3" sId="5" numFmtId="34">
    <nc r="AA13">
      <v>5790135</v>
    </nc>
  </rcc>
  <rcc rId="2634" sId="5" numFmtId="34">
    <nc r="AA14">
      <v>6700000</v>
    </nc>
  </rcc>
  <rcc rId="2635" sId="5">
    <nc r="AA15">
      <f>AA13/AA14</f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6" sId="5" odxf="1" s="1" dxf="1">
    <nc r="AA6">
      <f>AA10+AA14+AA18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" formatCode="0"/>
      <border outline="0">
        <left style="thin">
          <color indexed="64"/>
        </left>
      </border>
    </ndxf>
  </rcc>
  <rcc rId="2637" sId="5" numFmtId="34">
    <nc r="AA17">
      <v>4650122</v>
    </nc>
  </rcc>
  <rcc rId="2638" sId="5" numFmtId="34">
    <nc r="AA18">
      <v>6700000</v>
    </nc>
  </rcc>
  <rcc rId="2639" sId="5">
    <nc r="AA19">
      <f>AA17/AA18</f>
    </nc>
  </rcc>
  <rcc rId="2640" sId="5">
    <nc r="AA21">
      <f>AA9/AA5</f>
    </nc>
  </rcc>
  <rcc rId="2641" sId="5">
    <nc r="AA22">
      <f>AA13/AA5</f>
    </nc>
  </rcc>
  <rcc rId="2642" sId="5">
    <nc r="AA23">
      <f>AA17/AA5</f>
    </nc>
  </rcc>
  <rcc rId="2643" sId="5" numFmtId="34">
    <nc r="AA45">
      <v>459545.48</v>
    </nc>
  </rcc>
  <rcc rId="2644" sId="5" odxf="1" dxf="1">
    <nc r="AA46">
      <f>AA5-AA45</f>
    </nc>
    <odxf>
      <fill>
        <patternFill patternType="none">
          <bgColor indexed="65"/>
        </patternFill>
      </fill>
      <border outline="0">
        <left style="medium">
          <color indexed="64"/>
        </left>
        <right style="thin">
          <color indexed="64"/>
        </right>
      </border>
    </odxf>
    <ndxf>
      <fill>
        <patternFill patternType="solid">
          <bgColor theme="5" tint="0.39997558519241921"/>
        </patternFill>
      </fill>
      <border outline="0">
        <left style="thin">
          <color indexed="64"/>
        </left>
        <right style="medium">
          <color indexed="64"/>
        </right>
      </border>
    </ndxf>
  </rcc>
  <rcc rId="2645" sId="5" numFmtId="34">
    <nc r="AA48">
      <v>4463527</v>
    </nc>
  </rcc>
  <rcc rId="2646" sId="5" numFmtId="34">
    <nc r="AA49">
      <v>101456</v>
    </nc>
  </rcc>
  <rcc rId="2647" sId="5" numFmtId="34">
    <nc r="AA50">
      <v>338140</v>
    </nc>
  </rcc>
  <rcc rId="2648" sId="5">
    <nc r="AA51">
      <f>AA46-SUM(AA48:AA50)</f>
    </nc>
  </rcc>
  <rcc rId="2649" sId="5" numFmtId="34">
    <nc r="AA61">
      <f>AA51-SUM(AA53:AA58)</f>
    </nc>
  </rcc>
  <rcc rId="2650" sId="5" numFmtId="34">
    <nc r="AA53">
      <v>1385012</v>
    </nc>
  </rcc>
  <rcc rId="2651" sId="5" numFmtId="34">
    <nc r="AA54">
      <v>46208</v>
    </nc>
  </rcc>
  <rcc rId="2652" sId="5" numFmtId="34">
    <nc r="AA55">
      <v>214815</v>
    </nc>
  </rcc>
  <rcc rId="2653" sId="5" numFmtId="34">
    <nc r="AA56">
      <v>287656</v>
    </nc>
  </rcc>
  <rcc rId="2654" sId="5" numFmtId="34">
    <nc r="AA57">
      <v>-1000</v>
    </nc>
  </rcc>
  <rcc rId="2655" sId="5" numFmtId="34">
    <nc r="AA58">
      <v>0</v>
    </nc>
  </rcc>
  <rfmt sheetId="5" sqref="AA61" start="0" length="2147483647">
    <dxf>
      <font>
        <b/>
      </font>
    </dxf>
  </rfmt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 numFmtId="34">
    <oc r="AA56">
      <v>287656</v>
    </oc>
    <nc r="AA56">
      <f>287656-1050</f>
    </nc>
  </rcc>
  <rcc rId="2657" sId="5" odxf="1" dxf="1">
    <nc r="AA63">
      <f>AA61/AA5</f>
    </nc>
    <odxf>
      <font>
        <sz val="9"/>
      </font>
    </odxf>
    <ndxf>
      <font>
        <sz val="9"/>
        <color auto="1"/>
      </font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DAEB26-20D3-4AB4-B94D-0ED6F1AA8B5C}" action="delete"/>
  <rdn rId="0" localSheetId="3" customView="1" name="Z_40DAEB26_20D3_4AB4_B94D_0ED6F1AA8B5C_.wvu.Rows" hidden="1" oldHidden="1">
    <formula>'TSF Prasadam Overall'!$15:$27,'TSF Prasadam Overall'!$157:$159</formula>
    <oldFormula>'TSF Prasadam Overall'!$15:$27,'TSF Prasadam Overall'!$157:$159</oldFormula>
  </rdn>
  <rdn rId="0" localSheetId="3" customView="1" name="Z_40DAEB26_20D3_4AB4_B94D_0ED6F1AA8B5C_.wvu.Cols" hidden="1" oldHidden="1">
    <formula>'TSF Prasadam Overall'!$D:$G,'TSF Prasadam Overall'!$L:$Q,'TSF Prasadam Overall'!$S:$T,'TSF Prasadam Overall'!$AG:$BD</formula>
    <oldFormula>'TSF Prasadam Overall'!$D:$G,'TSF Prasadam Overall'!$L:$Q,'TSF Prasadam Overall'!$S:$T,'TSF Prasadam Overall'!$AA:$BD</oldFormula>
  </rdn>
  <rdn rId="0" localSheetId="3" customView="1" name="Z_40DAEB26_20D3_4AB4_B94D_0ED6F1AA8B5C_.wvu.FilterData" hidden="1" oldHidden="1">
    <formula>'TSF Prasadam Overall'!$A$1:$AG$7</formula>
    <oldFormula>'TSF Prasadam Overall'!$A$1:$AG$7</oldFormula>
  </rdn>
  <rdn rId="0" localSheetId="4" customView="1" name="Z_40DAEB26_20D3_4AB4_B94D_0ED6F1AA8B5C_.wvu.Cols" hidden="1" oldHidden="1">
    <formula>'HT Express BSC '!$D:$H,'HT Express BSC '!$J:$T,'HT Express BSC '!$AG:$BD</formula>
    <oldFormula>'HT Express BSC '!$D:$H,'HT Express BSC '!$J:$T,'HT Express BSC '!$AA:$BD</oldFormula>
  </rdn>
  <rdn rId="0" localSheetId="4" customView="1" name="Z_40DAEB26_20D3_4AB4_B94D_0ED6F1AA8B5C_.wvu.FilterData" hidden="1" oldHidden="1">
    <formula>'HT Express BSC '!$A$1:$Q$3</formula>
    <oldFormula>'HT Express BSC '!$A$1:$Q$3</oldFormula>
  </rdn>
  <rdn rId="0" localSheetId="5" customView="1" name="Z_40DAEB26_20D3_4AB4_B94D_0ED6F1AA8B5C_.wvu.Rows" hidden="1" oldHidden="1">
    <formula>'HT Stores BSC'!$83:$84</formula>
    <oldFormula>'HT Stores BSC'!$83:$84</oldFormula>
  </rdn>
  <rdn rId="0" localSheetId="5" customView="1" name="Z_40DAEB26_20D3_4AB4_B94D_0ED6F1AA8B5C_.wvu.Cols" hidden="1" oldHidden="1">
    <formula>'HT Stores BSC'!$D:$G,'HT Stores BSC'!$J:$T,'HT Stores BSC'!$AG:$BD</formula>
    <oldFormula>'HT Stores BSC'!$D:$G,'HT Stores BSC'!$J:$T,'HT Stores BSC'!$AA:$BD</oldFormula>
  </rdn>
  <rdn rId="0" localSheetId="5" customView="1" name="Z_40DAEB26_20D3_4AB4_B94D_0ED6F1AA8B5C_.wvu.FilterData" hidden="1" oldHidden="1">
    <formula>'HT Stores BSC'!$A$1:$Q$3</formula>
    <oldFormula>'HT Stores BSC'!$A$1:$Q$3</oldFormula>
  </rdn>
  <rdn rId="0" localSheetId="6" customView="1" name="Z_40DAEB26_20D3_4AB4_B94D_0ED6F1AA8B5C_.wvu.Rows" hidden="1" oldHidden="1">
    <formula>'HT Fine Dining'!$53:$54</formula>
    <oldFormula>'HT Fine Dining'!$53:$54</oldFormula>
  </rdn>
  <rdn rId="0" localSheetId="6" customView="1" name="Z_40DAEB26_20D3_4AB4_B94D_0ED6F1AA8B5C_.wvu.Cols" hidden="1" oldHidden="1">
    <formula>'HT Fine Dining'!$D:$G,'HT Fine Dining'!$J:$T,'HT Fine Dining'!$AA:$BD</formula>
    <oldFormula>'HT Fine Dining'!$D:$G,'HT Fine Dining'!$J:$T,'HT Fine Dining'!$AA:$BD</oldFormula>
  </rdn>
  <rdn rId="0" localSheetId="6" customView="1" name="Z_40DAEB26_20D3_4AB4_B94D_0ED6F1AA8B5C_.wvu.FilterData" hidden="1" oldHidden="1">
    <formula>'HT Fine Dining'!$A$1:$Q$3</formula>
    <oldFormula>'HT Fine Dining'!$A$1:$Q$3</oldFormula>
  </rdn>
  <rcv guid="{40DAEB26-20D3-4AB4-B94D-0ED6F1AA8B5C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DAEB26-20D3-4AB4-B94D-0ED6F1AA8B5C}" action="delete"/>
  <rdn rId="0" localSheetId="3" customView="1" name="Z_40DAEB26_20D3_4AB4_B94D_0ED6F1AA8B5C_.wvu.Rows" hidden="1" oldHidden="1">
    <formula>'TSF Prasadam Overall'!$15:$27,'TSF Prasadam Overall'!$157:$159</formula>
    <oldFormula>'TSF Prasadam Overall'!$15:$27,'TSF Prasadam Overall'!$157:$159</oldFormula>
  </rdn>
  <rdn rId="0" localSheetId="3" customView="1" name="Z_40DAEB26_20D3_4AB4_B94D_0ED6F1AA8B5C_.wvu.Cols" hidden="1" oldHidden="1">
    <formula>'TSF Prasadam Overall'!$D:$G,'TSF Prasadam Overall'!$L:$Q,'TSF Prasadam Overall'!$S:$T,'TSF Prasadam Overall'!$AG:$BD</formula>
    <oldFormula>'TSF Prasadam Overall'!$D:$G,'TSF Prasadam Overall'!$L:$Q,'TSF Prasadam Overall'!$S:$T,'TSF Prasadam Overall'!$AG:$BD</oldFormula>
  </rdn>
  <rdn rId="0" localSheetId="3" customView="1" name="Z_40DAEB26_20D3_4AB4_B94D_0ED6F1AA8B5C_.wvu.FilterData" hidden="1" oldHidden="1">
    <formula>'TSF Prasadam Overall'!$A$1:$AG$7</formula>
    <oldFormula>'TSF Prasadam Overall'!$A$1:$AG$7</oldFormula>
  </rdn>
  <rdn rId="0" localSheetId="4" customView="1" name="Z_40DAEB26_20D3_4AB4_B94D_0ED6F1AA8B5C_.wvu.Cols" hidden="1" oldHidden="1">
    <formula>'HT Express BSC '!$D:$H,'HT Express BSC '!$J:$T,'HT Express BSC '!$AG:$BD</formula>
    <oldFormula>'HT Express BSC '!$D:$H,'HT Express BSC '!$J:$T,'HT Express BSC '!$AG:$BD</oldFormula>
  </rdn>
  <rdn rId="0" localSheetId="4" customView="1" name="Z_40DAEB26_20D3_4AB4_B94D_0ED6F1AA8B5C_.wvu.FilterData" hidden="1" oldHidden="1">
    <formula>'HT Express BSC '!$A$1:$Q$3</formula>
    <oldFormula>'HT Express BSC '!$A$1:$Q$3</oldFormula>
  </rdn>
  <rdn rId="0" localSheetId="5" customView="1" name="Z_40DAEB26_20D3_4AB4_B94D_0ED6F1AA8B5C_.wvu.Rows" hidden="1" oldHidden="1">
    <formula>'HT Stores BSC'!$83:$84</formula>
    <oldFormula>'HT Stores BSC'!$83:$84</oldFormula>
  </rdn>
  <rdn rId="0" localSheetId="5" customView="1" name="Z_40DAEB26_20D3_4AB4_B94D_0ED6F1AA8B5C_.wvu.Cols" hidden="1" oldHidden="1">
    <formula>'HT Stores BSC'!$D:$G,'HT Stores BSC'!$J:$T,'HT Stores BSC'!$AG:$BD</formula>
    <oldFormula>'HT Stores BSC'!$D:$G,'HT Stores BSC'!$J:$T,'HT Stores BSC'!$AG:$BD</oldFormula>
  </rdn>
  <rdn rId="0" localSheetId="5" customView="1" name="Z_40DAEB26_20D3_4AB4_B94D_0ED6F1AA8B5C_.wvu.FilterData" hidden="1" oldHidden="1">
    <formula>'HT Stores BSC'!$A$1:$Q$3</formula>
    <oldFormula>'HT Stores BSC'!$A$1:$Q$3</oldFormula>
  </rdn>
  <rdn rId="0" localSheetId="6" customView="1" name="Z_40DAEB26_20D3_4AB4_B94D_0ED6F1AA8B5C_.wvu.Rows" hidden="1" oldHidden="1">
    <formula>'HT Fine Dining'!$53:$54</formula>
    <oldFormula>'HT Fine Dining'!$53:$54</oldFormula>
  </rdn>
  <rdn rId="0" localSheetId="6" customView="1" name="Z_40DAEB26_20D3_4AB4_B94D_0ED6F1AA8B5C_.wvu.Cols" hidden="1" oldHidden="1">
    <formula>'HT Fine Dining'!$D:$G,'HT Fine Dining'!$J:$T,'HT Fine Dining'!$AG:$BD</formula>
    <oldFormula>'HT Fine Dining'!$D:$G,'HT Fine Dining'!$J:$T,'HT Fine Dining'!$AA:$BD</oldFormula>
  </rdn>
  <rdn rId="0" localSheetId="6" customView="1" name="Z_40DAEB26_20D3_4AB4_B94D_0ED6F1AA8B5C_.wvu.FilterData" hidden="1" oldHidden="1">
    <formula>'HT Fine Dining'!$A$1:$Q$3</formula>
    <oldFormula>'HT Fine Dining'!$A$1:$Q$3</oldFormula>
  </rdn>
  <rcv guid="{40DAEB26-20D3-4AB4-B94D-0ED6F1AA8B5C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0" sId="5" numFmtId="13">
    <nc r="AA65">
      <v>6.6488918259455118E-2</v>
    </nc>
  </rcc>
  <rcc rId="2681" sId="5" numFmtId="13">
    <nc r="AA66">
      <v>0.52</v>
    </nc>
  </rcc>
  <rcc rId="2682" sId="5" numFmtId="13">
    <nc r="AA67">
      <v>0.39739906178805634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X8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X8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4" sId="3">
    <nc r="AB178">
      <v>6505305</v>
    </nc>
  </rcc>
  <rfmt sheetId="3" sqref="AA178:AB178">
    <dxf>
      <numFmt numFmtId="35" formatCode="_(* #,##0.00_);_(* \(#,##0.00\);_(* &quot;-&quot;??_);_(@_)"/>
    </dxf>
  </rfmt>
  <rfmt sheetId="3" sqref="AA178:AB178">
    <dxf>
      <numFmt numFmtId="167" formatCode="_(* #,##0.0_);_(* \(#,##0.0\);_(* &quot;-&quot;??_);_(@_)"/>
    </dxf>
  </rfmt>
  <rfmt sheetId="3" sqref="AA178:AB178">
    <dxf>
      <numFmt numFmtId="165" formatCode="_(* #,##0_);_(* \(#,##0\);_(* &quot;-&quot;??_);_(@_)"/>
    </dxf>
  </rfmt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Overall'!$D:$F,'TSF Prasadam Overall'!$AG:$BD</formula>
    <oldFormula>'TSF Prasadam Overall'!$D:$F,'TSF Prasadam Overall'!$AG:$BD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'!$AG:$BD</formula>
    <oldFormula>'HT Express BSC '!$D:$H,'HT Express BSC '!$AG:$BD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BSC'!$AG:$BD</formula>
    <oldFormula>'HT Stores BSC'!$D:$G,'HT Stores BSC'!$AG:$BD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Dining'!$AG:$BD</formula>
    <oldFormula>'HT Fine Dining'!$D:$G,'HT Fine Dining'!$AG:$BD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X8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X8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X86:X87" start="0" length="0">
    <dxf>
      <border>
        <left style="thin">
          <color indexed="64"/>
        </left>
      </border>
    </dxf>
  </rfmt>
  <rfmt sheetId="5" sqref="X86:X8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X92:X93" start="0" length="0">
    <dxf>
      <border>
        <left style="thin">
          <color indexed="64"/>
        </left>
      </border>
    </dxf>
  </rfmt>
  <rfmt sheetId="5" sqref="X93" start="0" length="0">
    <dxf>
      <border>
        <bottom style="thin">
          <color indexed="64"/>
        </bottom>
      </border>
    </dxf>
  </rfmt>
  <rfmt sheetId="5" sqref="X92:X9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5" sqref="X96:X97" start="0" length="0">
    <dxf>
      <border>
        <left style="thin">
          <color indexed="64"/>
        </left>
      </border>
    </dxf>
  </rfmt>
  <rfmt sheetId="5" sqref="X97" start="0" length="0">
    <dxf>
      <border>
        <bottom style="thin">
          <color indexed="64"/>
        </bottom>
      </border>
    </dxf>
  </rfmt>
  <rfmt sheetId="5" sqref="X96:X9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X101:X102" start="0" length="0">
    <dxf>
      <border>
        <left style="thin">
          <color indexed="64"/>
        </left>
      </border>
    </dxf>
  </rfmt>
  <rfmt sheetId="5" sqref="X101" start="0" length="0">
    <dxf>
      <border>
        <top style="thin">
          <color indexed="64"/>
        </top>
      </border>
    </dxf>
  </rfmt>
  <rfmt sheetId="5" sqref="X102" start="0" length="0">
    <dxf>
      <border>
        <bottom style="thin">
          <color indexed="64"/>
        </bottom>
      </border>
    </dxf>
  </rfmt>
  <rfmt sheetId="5" sqref="X101:X10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3" sId="5">
    <nc r="AA3">
      <f>AA5/'TSF Prasadam Overall'!AA4</f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84" sId="3">
    <nc r="AB75">
      <v>233855</v>
    </nc>
  </rcc>
  <rcc rId="2685" sId="3">
    <nc r="AA75">
      <v>237968</v>
    </nc>
  </rcc>
  <rcc rId="2686" sId="3" odxf="1" dxf="1">
    <nc r="AA76">
      <f>AA20/AA75</f>
    </nc>
    <odxf>
      <numFmt numFmtId="0" formatCode="General"/>
      <border outline="0">
        <left style="thin">
          <color indexed="64"/>
        </left>
      </border>
    </odxf>
    <ndxf>
      <numFmt numFmtId="2" formatCode="0.00"/>
      <border outline="0">
        <left style="medium">
          <color indexed="64"/>
        </left>
      </border>
    </ndxf>
  </rcc>
  <rcc rId="2687" sId="3" odxf="1" dxf="1">
    <nc r="AB76">
      <f>AB20/AB75</f>
    </nc>
    <odxf>
      <numFmt numFmtId="0" formatCode="General"/>
    </odxf>
    <ndxf>
      <numFmt numFmtId="2" formatCode="0.00"/>
    </ndxf>
  </rcc>
  <rcc rId="2688" sId="3" odxf="1" dxf="1">
    <nc r="AA77">
      <f>AA36/AA75</f>
    </nc>
    <odxf>
      <numFmt numFmtId="0" formatCode="General"/>
      <border outline="0">
        <left style="thin">
          <color indexed="64"/>
        </left>
      </border>
    </odxf>
    <ndxf>
      <numFmt numFmtId="2" formatCode="0.00"/>
      <border outline="0">
        <left style="medium">
          <color indexed="64"/>
        </left>
      </border>
    </ndxf>
  </rcc>
  <rcc rId="2689" sId="3" odxf="1" dxf="1">
    <nc r="AB77">
      <f>AB36/AB75</f>
    </nc>
    <odxf>
      <numFmt numFmtId="0" formatCode="General"/>
    </odxf>
    <ndxf>
      <numFmt numFmtId="2" formatCode="0.00"/>
    </ndxf>
  </rcc>
  <rcc rId="2690" sId="3" odxf="1" s="1" dxf="1">
    <nc r="AA79">
      <f>AA36/7335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2691" sId="3" odxf="1" s="1" dxf="1">
    <nc r="AA80">
      <f>AA20/2799.94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</ndxf>
  </rcc>
  <rcc rId="2692" sId="3" odxf="1" dxf="1">
    <nc r="AA85">
      <f>AA4-AA84</f>
    </nc>
    <odxf>
      <numFmt numFmtId="0" formatCode="General"/>
    </odxf>
    <ndxf>
      <numFmt numFmtId="165" formatCode="_(* #,##0_);_(* \(#,##0\);_(* &quot;-&quot;??_);_(@_)"/>
    </ndxf>
  </rcc>
  <rcc rId="2693" sId="3" odxf="1" dxf="1">
    <nc r="AA90">
      <f>AA85-SUM(AA87:AA89)</f>
    </nc>
    <odxf>
      <numFmt numFmtId="0" formatCode="General"/>
    </odxf>
    <ndxf>
      <numFmt numFmtId="165" formatCode="_(* #,##0_);_(* \(#,##0\);_(* &quot;-&quot;??_);_(@_)"/>
    </ndxf>
  </rcc>
  <rfmt sheetId="3" sqref="AA92" start="0" length="0">
    <dxf>
      <numFmt numFmtId="165" formatCode="_(* #,##0_);_(* \(#,##0\);_(* &quot;-&quot;??_);_(@_)"/>
    </dxf>
  </rfmt>
  <rfmt sheetId="3" sqref="AA93" start="0" length="0">
    <dxf>
      <numFmt numFmtId="165" formatCode="_(* #,##0_);_(* \(#,##0\);_(* &quot;-&quot;??_);_(@_)"/>
    </dxf>
  </rfmt>
  <rfmt sheetId="3" sqref="AA94" start="0" length="0">
    <dxf>
      <numFmt numFmtId="165" formatCode="_(* #,##0_);_(* \(#,##0\);_(* &quot;-&quot;??_);_(@_)"/>
    </dxf>
  </rfmt>
  <rfmt sheetId="3" sqref="AA95" start="0" length="0">
    <dxf>
      <numFmt numFmtId="165" formatCode="_(* #,##0_);_(* \(#,##0\);_(* &quot;-&quot;??_);_(@_)"/>
    </dxf>
  </rfmt>
  <rfmt sheetId="3" sqref="AA96" start="0" length="0">
    <dxf>
      <numFmt numFmtId="165" formatCode="_(* #,##0_);_(* \(#,##0\);_(* &quot;-&quot;??_);_(@_)"/>
    </dxf>
  </rfmt>
  <rcc rId="2694" sId="3" odxf="1" dxf="1">
    <nc r="AA100">
      <f>AA90-SUM(AA92:AA98)</f>
    </nc>
    <odxf>
      <numFmt numFmtId="0" formatCode="General"/>
    </odxf>
    <ndxf>
      <numFmt numFmtId="165" formatCode="_(* #,##0_);_(* \(#,##0\);_(* &quot;-&quot;??_);_(@_)"/>
    </ndxf>
  </rcc>
  <rcc rId="2695" sId="3" odxf="1" s="1" dxf="1">
    <nc r="AA102">
      <f>AA100/AA85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696" sId="3" odxf="1" dxf="1">
    <nc r="AB85">
      <f>AB4-AB84</f>
    </nc>
    <odxf>
      <numFmt numFmtId="0" formatCode="General"/>
    </odxf>
    <ndxf>
      <numFmt numFmtId="165" formatCode="_(* #,##0_);_(* \(#,##0\);_(* &quot;-&quot;??_);_(@_)"/>
    </ndxf>
  </rcc>
  <rfmt sheetId="3" sqref="AB87" start="0" length="0">
    <dxf>
      <numFmt numFmtId="165" formatCode="_(* #,##0_);_(* \(#,##0\);_(* &quot;-&quot;??_);_(@_)"/>
    </dxf>
  </rfmt>
  <rfmt sheetId="3" sqref="AB88" start="0" length="0">
    <dxf>
      <numFmt numFmtId="165" formatCode="_(* #,##0_);_(* \(#,##0\);_(* &quot;-&quot;??_);_(@_)"/>
    </dxf>
  </rfmt>
  <rfmt sheetId="3" sqref="AB89" start="0" length="0">
    <dxf>
      <numFmt numFmtId="165" formatCode="_(* #,##0_);_(* \(#,##0\);_(* &quot;-&quot;??_);_(@_)"/>
    </dxf>
  </rfmt>
  <rcc rId="2697" sId="3" odxf="1" dxf="1">
    <nc r="AB90">
      <f>AB85-SUM(AB87:AB89)</f>
    </nc>
    <odxf>
      <numFmt numFmtId="0" formatCode="General"/>
    </odxf>
    <ndxf>
      <numFmt numFmtId="165" formatCode="_(* #,##0_);_(* \(#,##0\);_(* &quot;-&quot;??_);_(@_)"/>
    </ndxf>
  </rcc>
  <rfmt sheetId="3" sqref="AB92" start="0" length="0">
    <dxf>
      <numFmt numFmtId="165" formatCode="_(* #,##0_);_(* \(#,##0\);_(* &quot;-&quot;??_);_(@_)"/>
    </dxf>
  </rfmt>
  <rfmt sheetId="3" sqref="AB93" start="0" length="0">
    <dxf>
      <numFmt numFmtId="165" formatCode="_(* #,##0_);_(* \(#,##0\);_(* &quot;-&quot;??_);_(@_)"/>
    </dxf>
  </rfmt>
  <rfmt sheetId="3" sqref="AB94" start="0" length="0">
    <dxf>
      <numFmt numFmtId="165" formatCode="_(* #,##0_);_(* \(#,##0\);_(* &quot;-&quot;??_);_(@_)"/>
    </dxf>
  </rfmt>
  <rfmt sheetId="3" sqref="AB95" start="0" length="0">
    <dxf>
      <numFmt numFmtId="165" formatCode="_(* #,##0_);_(* \(#,##0\);_(* &quot;-&quot;??_);_(@_)"/>
    </dxf>
  </rfmt>
  <rfmt sheetId="3" sqref="AB96" start="0" length="0">
    <dxf>
      <numFmt numFmtId="165" formatCode="_(* #,##0_);_(* \(#,##0\);_(* &quot;-&quot;??_);_(@_)"/>
    </dxf>
  </rfmt>
  <rcc rId="2698" sId="3" odxf="1" dxf="1" numFmtId="34">
    <nc r="AB97">
      <v>0</v>
    </nc>
    <odxf>
      <numFmt numFmtId="0" formatCode="General"/>
    </odxf>
    <ndxf>
      <numFmt numFmtId="165" formatCode="_(* #,##0_);_(* \(#,##0\);_(* &quot;-&quot;??_);_(@_)"/>
    </ndxf>
  </rcc>
  <rcc rId="2699" sId="3" odxf="1" dxf="1" numFmtId="34">
    <nc r="AB98">
      <v>0</v>
    </nc>
    <odxf>
      <numFmt numFmtId="0" formatCode="General"/>
    </odxf>
    <ndxf>
      <numFmt numFmtId="165" formatCode="_(* #,##0_);_(* \(#,##0\);_(* &quot;-&quot;??_);_(@_)"/>
    </ndxf>
  </rcc>
  <rcc rId="2700" sId="3" odxf="1" dxf="1">
    <nc r="AB100">
      <f>AB90-SUM(AB92:AB98)</f>
    </nc>
    <odxf>
      <numFmt numFmtId="0" formatCode="General"/>
    </odxf>
    <ndxf>
      <numFmt numFmtId="165" formatCode="_(* #,##0_);_(* \(#,##0\);_(* &quot;-&quot;??_);_(@_)"/>
    </ndxf>
  </rcc>
  <rcc rId="2701" sId="3" odxf="1" s="1" dxf="1">
    <nc r="AB102">
      <f>AB100/AB85</f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702" sId="3" odxf="1" dxf="1">
    <oc r="AD4">
      <f>U4+X4+AA4</f>
    </oc>
    <nc r="AD4">
      <f>U4+X4+AA4</f>
    </nc>
    <odxf>
      <numFmt numFmtId="0" formatCode="General"/>
    </odxf>
    <ndxf>
      <numFmt numFmtId="165" formatCode="_(* #,##0_);_(* \(#,##0\);_(* &quot;-&quot;??_);_(@_)"/>
    </ndxf>
  </rcc>
  <rcc rId="2703" sId="3" odxf="1" dxf="1">
    <oc r="AE4">
      <f>V4+Y4+AB4</f>
    </oc>
    <nc r="AE4">
      <f>V4+Y4+AB4</f>
    </nc>
    <odxf>
      <numFmt numFmtId="0" formatCode="General"/>
    </odxf>
    <ndxf>
      <numFmt numFmtId="165" formatCode="_(* #,##0_);_(* \(#,##0\);_(* &quot;-&quot;??_);_(@_)"/>
    </ndxf>
  </rcc>
  <rcc rId="2704" sId="3" odxf="1" dxf="1">
    <nc r="AD5">
      <f>U5+X5+AA5</f>
    </nc>
    <odxf>
      <numFmt numFmtId="0" formatCode="General"/>
    </odxf>
    <ndxf>
      <numFmt numFmtId="165" formatCode="_(* #,##0_);_(* \(#,##0\);_(* &quot;-&quot;??_);_(@_)"/>
    </ndxf>
  </rcc>
  <rcc rId="2705" sId="3" odxf="1" dxf="1">
    <nc r="AE5">
      <f>V5+Y5+AB5</f>
    </nc>
    <odxf>
      <numFmt numFmtId="0" formatCode="General"/>
    </odxf>
    <ndxf>
      <numFmt numFmtId="165" formatCode="_(* #,##0_);_(* \(#,##0\);_(* &quot;-&quot;??_);_(@_)"/>
    </ndxf>
  </rcc>
  <rcc rId="2706" sId="3" odxf="1" s="1" dxf="1">
    <nc r="AD6">
      <f>AD4/AD5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2707" sId="3" odxf="1" s="1" dxf="1">
    <nc r="AA8">
      <f>'HT Stores BSC'!AA5/'TSF Prasadam Overall'!AA4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708" sId="3" odxf="1" s="1" dxf="1">
    <nc r="AB8">
      <f>'HT Stores BSC'!AB5/'TSF Prasadam Overall'!AB4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2709" sId="3" odxf="1" s="1" dxf="1">
    <nc r="AA9">
      <f>'HT Express BSC '!AA5/'TSF Prasadam Overall'!AA4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710" sId="3" odxf="1" s="1" dxf="1">
    <nc r="AB9">
      <f>'HT Express BSC '!AB5/'TSF Prasadam Overall'!AB4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2711" sId="3" odxf="1" s="1" dxf="1">
    <nc r="AA10">
      <f>'HT Fine Dining'!AA5/'TSF Prasadam Overall'!AA4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712" sId="3" odxf="1" s="1" dxf="1">
    <nc r="AB10">
      <f>'HT Fine Dining'!AB5/'TSF Prasadam Overall'!AB4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2713" sId="3" odxf="1" s="1" dxf="1">
    <nc r="AF4">
      <f>(AD4-AE4)/AE4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right style="medium">
          <color indexed="64"/>
        </right>
      </border>
    </ndxf>
  </rcc>
  <rcc rId="2714" sId="3">
    <nc r="AA166">
      <v>9</v>
    </nc>
  </rcc>
  <rcc rId="2715" sId="4">
    <nc r="AA112">
      <v>2</v>
    </nc>
  </rcc>
  <rcc rId="2716" sId="5">
    <nc r="AA109">
      <v>7</v>
    </nc>
  </rcc>
  <rcc rId="2717" sId="6">
    <nc r="AA88">
      <v>0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18" sId="5" odxf="1" dxf="1">
    <nc r="AD5">
      <f>AA5+X5+U5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19" sId="5" odxf="1" dxf="1">
    <nc r="AD6">
      <f>AA6+X6+U6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20" sId="5">
    <nc r="AA7">
      <f>AA5/AA6</f>
    </nc>
  </rcc>
  <rcc rId="2721" sId="5">
    <nc r="AD7">
      <f>AD5/AD6</f>
    </nc>
  </rcc>
  <rcc rId="2722" sId="5" odxf="1" dxf="1">
    <nc r="AD9">
      <f>AA9+X9+U9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23" sId="5" odxf="1" dxf="1">
    <nc r="AD10">
      <f>AA10+X10+U10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24" sId="5">
    <nc r="AD11">
      <f>AD9/AD10</f>
    </nc>
  </rcc>
  <rcc rId="2725" sId="5" odxf="1" dxf="1">
    <nc r="AD13">
      <f>AA13+X13+U13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26" sId="5" odxf="1" dxf="1">
    <nc r="AD14">
      <f>AA14+X14+U14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27" sId="5">
    <nc r="AD15">
      <f>AD13/AD14</f>
    </nc>
  </rcc>
  <rcc rId="2728" sId="5" odxf="1" dxf="1">
    <nc r="AD17">
      <f>AA17+X17+U17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29" sId="5" odxf="1" dxf="1">
    <nc r="AD18">
      <f>AA18+X18+U18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30" sId="5">
    <nc r="AD19">
      <f>AD17/AD18</f>
    </nc>
  </rcc>
  <rcc rId="2731" sId="5">
    <nc r="AD21">
      <f>AD9/AD5</f>
    </nc>
  </rcc>
  <rcc rId="2732" sId="5">
    <nc r="AD22">
      <f>AD13/AD5</f>
    </nc>
  </rcc>
  <rcc rId="2733" sId="5">
    <nc r="AD23">
      <f>AD17/AD5</f>
    </nc>
  </rcc>
  <rcc rId="2734" sId="5" odxf="1" dxf="1">
    <nc r="AD45">
      <f>AA45+X45+U45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35" sId="5" odxf="1" dxf="1">
    <nc r="AD46">
      <f>AA46+X46+U46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36" sId="5" odxf="1" dxf="1">
    <nc r="AD48">
      <f>AA48+X48+U48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37" sId="5" odxf="1" dxf="1">
    <nc r="AD49">
      <f>AA49+X49+U49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38" sId="5" odxf="1" dxf="1">
    <nc r="AD50">
      <f>AA50+X50+U50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39" sId="5">
    <nc r="AD51">
      <f>AD46-SUM(AD48:AD50)</f>
    </nc>
  </rcc>
  <rcc rId="2740" sId="5" odxf="1" dxf="1">
    <nc r="AD53">
      <f>AA53+X53+U53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41" sId="5" odxf="1" dxf="1">
    <nc r="AD54">
      <f>AA54+X54+U54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42" sId="5" odxf="1" dxf="1">
    <nc r="AD55">
      <f>AA55+X55+U55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43" sId="5" odxf="1" dxf="1">
    <nc r="AD56">
      <f>AA56+X56+U56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44" sId="5" odxf="1" dxf="1">
    <nc r="AD57">
      <f>AA57+X57+U57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45" sId="5" odxf="1" dxf="1">
    <nc r="AD58">
      <f>AA58+X58+U58</f>
    </nc>
    <odxf>
      <border outline="0">
        <left style="medium">
          <color indexed="64"/>
        </left>
      </border>
    </odxf>
    <ndxf>
      <border outline="0">
        <left style="thin">
          <color indexed="64"/>
        </left>
      </border>
    </ndxf>
  </rcc>
  <rcc rId="2746" sId="5" odxf="1" dxf="1">
    <nc r="AD61">
      <f>AD51-SUM(AD53:AD58)</f>
    </nc>
    <odxf>
      <font>
        <b val="0"/>
        <sz val="9"/>
      </font>
    </odxf>
    <ndxf>
      <font>
        <b/>
        <sz val="9"/>
      </font>
    </ndxf>
  </rcc>
  <rcc rId="2747" sId="5" odxf="1" dxf="1">
    <nc r="AD63">
      <f>AD61/AD5</f>
    </nc>
    <odxf>
      <font>
        <sz val="9"/>
      </font>
    </odxf>
    <ndxf>
      <font>
        <sz val="9"/>
        <color auto="1"/>
      </font>
    </ndxf>
  </rcc>
  <rcc rId="2748" sId="5">
    <nc r="AD65">
      <f>SUM(AA65+X65+U65)/3</f>
    </nc>
  </rcc>
  <rcc rId="2749" sId="5">
    <nc r="AD66">
      <f>SUM(AA66+X66+U66)/3</f>
    </nc>
  </rcc>
  <rcc rId="2750" sId="5">
    <nc r="AD67">
      <f>SUM(AA67+X67+U67)/3</f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Overall'!$AA:$BD</formula>
    <oldFormula>'TSF Prasadam Overall'!$D:$G,'TSF Prasadam Overall'!$AA:$BD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</formula>
    <oldFormula>'HT Express BSC '!$D:$H,'HT Express BSC '!$AA:$BD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</formula>
    <oldFormula>'HT Stores BSC'!$D:$G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</formula>
    <oldFormula>'HT Fine Dining'!$D:$G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2" sId="3">
    <nc r="AA132">
      <v>3709629</v>
    </nc>
  </rcc>
  <rcc rId="2763" sId="3" odxf="1" s="1" dxf="1">
    <nc r="AA133">
      <f>AA132/AA85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764" sId="3">
    <nc r="AA134">
      <v>2802919</v>
    </nc>
  </rcc>
  <rcc rId="2765" sId="3">
    <nc r="AA135">
      <v>792364</v>
    </nc>
  </rcc>
  <rcc rId="2766" sId="3">
    <nc r="AA136">
      <v>114346</v>
    </nc>
  </rcc>
  <rcc rId="2767" sId="3">
    <nc r="AA143">
      <v>300</v>
    </nc>
  </rcc>
  <rcc rId="2768" sId="3">
    <nc r="AA144">
      <v>264</v>
    </nc>
  </rcc>
  <rcc rId="2769" sId="3">
    <nc r="AA145">
      <v>29</v>
    </nc>
  </rcc>
  <rcc rId="2770" sId="3">
    <nc r="AA146">
      <v>7</v>
    </nc>
  </rcc>
  <rcc rId="2771" sId="3">
    <nc r="AA149">
      <v>1618</v>
    </nc>
  </rcc>
  <rcc rId="2772" sId="3">
    <nc r="AA150">
      <v>108078</v>
    </nc>
  </rcc>
  <rcc rId="2773" sId="3">
    <nc r="AA151" t="inlineStr">
      <is>
        <t>In Insert</t>
      </is>
    </nc>
  </rcc>
  <rcc rId="2774" sId="3" odxf="1" dxf="1">
    <nc r="AA155">
      <v>144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775" sId="3">
    <nc r="AA156">
      <v>342207</v>
    </nc>
  </rcc>
  <rcc rId="2776" sId="3" odxf="1" dxf="1">
    <nc r="AA157" t="inlineStr">
      <is>
        <t>Sheets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7" sId="3" odxf="1" dxf="1">
    <nc r="X185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778" sId="3" odxf="1" dxf="1">
    <nc r="X186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fmt sheetId="3" sqref="X189" start="0" length="0">
    <dxf/>
  </rfmt>
  <rcc rId="2779" sId="3" odxf="1" dxf="1">
    <nc r="X190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780" sId="3" odxf="1" dxf="1">
    <nc r="X191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781" sId="3" odxf="1" dxf="1">
    <nc r="X192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782" sId="3" odxf="1" dxf="1">
    <nc r="X193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783" sId="3" odxf="1" dxf="1">
    <nc r="X194" t="inlineStr">
      <is>
        <t>NA</t>
      </is>
    </nc>
    <odxf>
      <border outline="0">
        <left style="thin">
          <color indexed="64"/>
        </left>
        <bottom style="thin">
          <color indexed="64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2784" sId="3" odxf="1" dxf="1">
    <nc r="AA185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785" sId="3" odxf="1" dxf="1">
    <nc r="AA186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786" sId="3" odxf="1" dxf="1">
    <nc r="AA190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787" sId="3" odxf="1" dxf="1">
    <nc r="AA191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788" sId="3" odxf="1" dxf="1">
    <nc r="AA192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789" sId="3" odxf="1" dxf="1">
    <nc r="AA193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790" sId="3" odxf="1" dxf="1">
    <nc r="AA194" t="inlineStr">
      <is>
        <t>NA</t>
      </is>
    </nc>
    <odxf>
      <border outline="0">
        <left style="thin">
          <color indexed="64"/>
        </left>
        <bottom style="thin">
          <color indexed="64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mt sheetId="3" cell="AA151" guid="{120F092B-9588-4BDC-A14D-B812A052F419}" author="Ganesh Mavathur" newLength="323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91" sId="5" odxf="1" s="1" dxf="1">
    <nc r="AA80">
      <v>1526131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numFmt numFmtId="0" formatCode="General"/>
      <alignment vertical="bottom" wrapText="0" readingOrder="0"/>
      <border outline="0">
        <left/>
        <right/>
        <top/>
        <bottom/>
      </border>
    </ndxf>
  </rcc>
  <rcc rId="2792" sId="5" odxf="1" dxf="1">
    <nc r="AA85">
      <v>137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793" sId="5" odxf="1" dxf="1">
    <nc r="AA86">
      <v>5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794" sId="5" odxf="1" dxf="1">
    <nc r="AA87">
      <v>3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795" sId="5" odxf="1" dxf="1">
    <nc r="AA90">
      <v>13419673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796" sId="5" odxf="1" dxf="1">
    <nc r="AA91">
      <v>118100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797" sId="5" odxf="1" dxf="1">
    <nc r="AA92">
      <v>37221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fmt sheetId="5" sqref="AA93" start="0" length="0">
    <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dxf>
  </rfmt>
  <rcc rId="2798" sId="5" odxf="1" dxf="1">
    <nc r="AA95">
      <v>792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799" sId="5" odxf="1" dxf="1">
    <nc r="AA96">
      <v>52251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fmt sheetId="5" sqref="AA97" start="0" length="0">
    <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dxf>
  </rfmt>
  <rcc rId="2800" sId="5" odxf="1" dxf="1">
    <nc r="AA101">
      <v>86512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01" sId="5" odxf="1" dxf="1">
    <nc r="AA102">
      <v>72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02" sId="4" odxf="1" s="1" dxf="1">
    <nc r="AA85">
      <v>706364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numFmt numFmtId="0" formatCode="General"/>
      <alignment vertical="bottom" wrapText="0" readingOrder="0"/>
      <border outline="0">
        <left/>
        <right/>
        <top/>
        <bottom/>
      </border>
    </ndxf>
  </rcc>
  <rcc rId="2803" sId="4" odxf="1" dxf="1">
    <nc r="AA88">
      <v>58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04" sId="4" odxf="1" dxf="1">
    <nc r="AA89">
      <v>5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05" sId="4" odxf="1" dxf="1">
    <nc r="AA90">
      <v>1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06" sId="4" odxf="1" dxf="1">
    <nc r="AA93">
      <v>581354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07" sId="4" odxf="1" dxf="1">
    <nc r="AA94">
      <v>114535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08" sId="4" odxf="1" dxf="1">
    <nc r="AA95">
      <v>10475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fmt sheetId="4" sqref="AA96" start="0" length="0">
    <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dxf>
  </rfmt>
  <rcc rId="2809" sId="4" odxf="1" dxf="1">
    <nc r="AA98">
      <v>8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10" sId="4" odxf="1" dxf="1">
    <nc r="AA99">
      <v>405</v>
    </nc>
    <odxf>
      <font>
        <sz val="9"/>
      </font>
      <fill>
        <patternFill patternType="none">
          <bgColor indexed="65"/>
        </patternFill>
      </fill>
      <alignment horizontal="general" wrapText="1" readingOrder="0"/>
      <border outline="0">
        <left style="medium">
          <color indexed="64"/>
        </left>
      </border>
    </odxf>
    <ndxf>
      <font>
        <sz val="9"/>
        <color rgb="FF000000"/>
      </font>
      <fill>
        <patternFill patternType="solid">
          <bgColor rgb="FFFFFFFF"/>
        </patternFill>
      </fill>
      <alignment horizontal="right" wrapText="0" readingOrder="0"/>
      <border outline="0">
        <left style="thin">
          <color indexed="64"/>
        </left>
      </border>
    </ndxf>
  </rcc>
  <rcc rId="2811" sId="4" odxf="1" dxf="1">
    <nc r="AA100" t="inlineStr">
      <is>
        <t>ANANDA KUMAR G</t>
      </is>
    </nc>
    <odxf>
      <font>
        <sz val="9"/>
      </font>
      <fill>
        <patternFill patternType="none">
          <bgColor indexed="65"/>
        </patternFill>
      </fill>
      <alignment horizontal="general" wrapText="1" readingOrder="0"/>
      <border outline="0">
        <left style="medium">
          <color indexed="64"/>
        </left>
      </border>
    </odxf>
    <ndxf>
      <font>
        <sz val="8"/>
        <color rgb="FF000000"/>
      </font>
      <fill>
        <patternFill patternType="solid">
          <bgColor rgb="FFFFFFFF"/>
        </patternFill>
      </fill>
      <alignment horizontal="left" wrapText="0" readingOrder="0"/>
      <border outline="0">
        <left style="thin">
          <color indexed="64"/>
        </left>
      </border>
    </ndxf>
  </rcc>
  <rcc rId="2812" sId="4" odxf="1" dxf="1">
    <nc r="AA104">
      <v>55089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13" sId="4" odxf="1" dxf="1">
    <nc r="AA105">
      <v>22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14" sId="6" odxf="1" dxf="1">
    <nc r="AA50">
      <v>695915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fmt sheetId="6" sqref="AA55" start="0" length="0">
    <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dxf>
  </rfmt>
  <rfmt sheetId="6" sqref="AA56" start="0" length="0">
    <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dxf>
  </rfmt>
  <rcc rId="2815" sId="6" odxf="1" dxf="1">
    <nc r="AA60">
      <v>521416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16" sId="6" odxf="1" dxf="1">
    <nc r="AA61">
      <v>174499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17" sId="6">
    <nc r="AA55">
      <v>40</v>
    </nc>
  </rcc>
  <rcc rId="2818" sId="6">
    <nc r="AA56">
      <v>6</v>
    </nc>
  </rcc>
  <rcc rId="2819" sId="6" odxf="1" dxf="1">
    <nc r="AA65">
      <v>57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20" sId="6" odxf="1" dxf="1">
    <nc r="AA66">
      <v>3058</v>
    </nc>
    <odxf>
      <font>
        <sz val="9"/>
      </font>
      <fill>
        <patternFill patternType="none">
          <bgColor indexed="65"/>
        </patternFill>
      </fill>
      <alignment horizontal="general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9"/>
        <color rgb="FF000000"/>
      </font>
      <fill>
        <patternFill patternType="solid">
          <bgColor rgb="FFFFFFFF"/>
        </patternFill>
      </fill>
      <alignment horizontal="right" wrapText="0" readingOrder="0"/>
      <border outline="0">
        <left/>
        <right/>
        <top/>
        <bottom/>
      </border>
    </ndxf>
  </rcc>
  <rcc rId="2821" sId="6" odxf="1" dxf="1">
    <nc r="AA67" t="inlineStr">
      <is>
        <t>BYLAPPA G</t>
      </is>
    </nc>
    <odxf>
      <font>
        <sz val="9"/>
      </font>
      <fill>
        <patternFill patternType="none">
          <bgColor indexed="65"/>
        </patternFill>
      </fill>
      <alignment horizontal="general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9"/>
        <color rgb="FF000000"/>
      </font>
      <fill>
        <patternFill patternType="solid">
          <bgColor rgb="FFFFFFFF"/>
        </patternFill>
      </fill>
      <alignment horizontal="left" wrapText="0" readingOrder="0"/>
      <border outline="0">
        <left/>
        <right/>
        <top/>
        <bottom/>
      </border>
    </ndxf>
  </rcc>
  <rcc rId="2822" sId="6" odxf="1" dxf="1">
    <nc r="AA71">
      <v>195134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c rId="2823" sId="6" odxf="1" dxf="1">
    <nc r="AA72">
      <v>45</v>
    </nc>
    <odxf>
      <font>
        <sz val="9"/>
      </font>
      <alignment vertical="center" wrapText="1" readingOrder="0"/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ndxf>
  </rcc>
  <rcmt sheetId="5" cell="AA97" guid="{EC3A85A3-1346-44DD-BB15-962584BA3D51}" author="Ganesh Mavathur" newLength="342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24" sId="3">
    <nc r="AA125">
      <v>90122</v>
    </nc>
  </rcc>
  <rcc rId="2825" sId="3" odxf="1" dxf="1">
    <nc r="AA123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826" sId="3" odxf="1" dxf="1">
    <nc r="AA126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827" sId="3" odxf="1" dxf="1">
    <nc r="AA127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828" sId="3" odxf="1" dxf="1">
    <nc r="AA128" t="inlineStr">
      <is>
        <t>NA</t>
      </is>
    </nc>
    <odxf>
      <border outline="0">
        <left style="thin">
          <color indexed="64"/>
        </left>
      </border>
    </odxf>
    <ndxf>
      <border outline="0">
        <left style="medium">
          <color indexed="64"/>
        </left>
      </border>
    </ndxf>
  </rcc>
  <rcc rId="2829" sId="3">
    <nc r="AA181">
      <v>5</v>
    </nc>
  </rcc>
  <rcc rId="2830" sId="3">
    <nc r="AA182">
      <v>0</v>
    </nc>
  </rcc>
  <rcc rId="2831" sId="4">
    <nc r="AA79">
      <v>7015</v>
    </nc>
  </rcc>
  <rcc rId="2832" sId="6">
    <nc r="AA44">
      <v>31740</v>
    </nc>
  </rcc>
  <rcc rId="2833" sId="5">
    <nc r="AA71">
      <f>40453+10824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X60" start="0" length="0">
    <dxf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X65" start="0" length="0">
    <dxf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X66" start="0" length="0">
    <dxf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X71" start="0" length="0">
    <dxf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24" sId="5" odxf="1" dxf="1" numFmtId="14">
    <nc r="X25">
      <v>0.24911400607364034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cc rId="2225" sId="5" odxf="1" dxf="1" numFmtId="14">
    <nc r="X26">
      <v>8.1007455412764606E-2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cc rId="2226" sId="5" odxf="1" dxf="1" numFmtId="14">
    <nc r="X27">
      <v>0.16582514318653521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cc rId="2227" sId="5" odxf="1" dxf="1" numFmtId="14">
    <nc r="X28">
      <v>0.14854981818247681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cc rId="2228" sId="5" odxf="1" dxf="1" numFmtId="14">
    <nc r="X29">
      <v>6.396838790877811E-2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cc rId="2229" sId="5" odxf="1" dxf="1" numFmtId="14">
    <nc r="X30">
      <v>0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cc rId="2230" sId="5" odxf="1" dxf="1" numFmtId="14">
    <nc r="X31">
      <v>4.8279395606448214E-2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cc rId="2231" sId="5" odxf="1" dxf="1" numFmtId="14">
    <nc r="X32">
      <v>9.6677768995635072E-2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cc rId="2232" sId="5" odxf="1" dxf="1" numFmtId="14">
    <nc r="X33">
      <v>2.818675368610378E-2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cc rId="2233" sId="5" odxf="1" dxf="1" numFmtId="14">
    <nc r="X34">
      <v>4.6125116628792262E-2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cc rId="2234" sId="5" odxf="1" dxf="1" numFmtId="14">
    <nc r="X35">
      <v>3.3802708799216444E-2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cc rId="2235" sId="5" odxf="1" dxf="1" numFmtId="14">
    <nc r="X36">
      <v>3.8463445519609146E-2</v>
    </nc>
    <odxf>
      <numFmt numFmtId="0" formatCode="General"/>
      <border outline="0">
        <left style="medium">
          <color indexed="64"/>
        </left>
      </border>
    </odxf>
    <ndxf>
      <numFmt numFmtId="14" formatCode="0.00%"/>
      <border outline="0">
        <left style="thin">
          <color indexed="64"/>
        </left>
      </border>
    </ndxf>
  </rcc>
  <rfmt sheetId="5" sqref="U2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</formula>
    <oldFormula>'TSF Prasadam Overall'!$D:$G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34" sId="4">
    <nc r="AA5">
      <f>AA9+AA13+AA17+AA21</f>
    </nc>
  </rcc>
  <rcc rId="2835" sId="4" numFmtId="34">
    <nc r="AA9">
      <v>821117</v>
    </nc>
  </rcc>
  <rcc rId="2836" sId="4" numFmtId="34">
    <nc r="AA10">
      <v>1020000</v>
    </nc>
  </rcc>
  <rcc rId="2837" sId="4">
    <nc r="AA11">
      <f>AA9/AA10</f>
    </nc>
  </rcc>
  <rcc rId="2838" sId="4">
    <nc r="AA6">
      <f>AA10+AA14+AA18+AA22</f>
    </nc>
  </rcc>
  <rcc rId="2839" sId="4" numFmtId="34">
    <nc r="AA13">
      <v>354420</v>
    </nc>
  </rcc>
  <rcc rId="2840" sId="4" numFmtId="34">
    <nc r="AA14">
      <v>780000</v>
    </nc>
  </rcc>
  <rcc rId="2841" sId="4">
    <nc r="AA15">
      <f>AA13/AA14</f>
    </nc>
  </rcc>
  <rcc rId="2842" sId="4" numFmtId="34">
    <nc r="AA17">
      <v>544861</v>
    </nc>
  </rcc>
  <rcc rId="2843" sId="4" numFmtId="34">
    <nc r="AA18">
      <v>960000</v>
    </nc>
  </rcc>
  <rcc rId="2844" sId="4">
    <nc r="AA19">
      <f>AA17/AA18</f>
    </nc>
  </rcc>
  <rcc rId="2845" sId="4">
    <nc r="AA7">
      <f>AA5/AA6</f>
    </nc>
  </rcc>
  <rcc rId="2846" sId="4" numFmtId="34">
    <nc r="AA21">
      <v>130171</v>
    </nc>
  </rcc>
  <rcc rId="2847" sId="4" numFmtId="34">
    <nc r="AA22">
      <v>300000</v>
    </nc>
  </rcc>
  <rcc rId="2848" sId="4">
    <nc r="AA23">
      <f>AA21/AA22</f>
    </nc>
  </rcc>
  <rcc rId="2849" sId="4">
    <nc r="AA25">
      <f>AA9/AA5</f>
    </nc>
  </rcc>
  <rcc rId="2850" sId="4">
    <nc r="AA26">
      <f>AA13/AA5</f>
    </nc>
  </rcc>
  <rcc rId="2851" sId="4">
    <nc r="AA27">
      <f>AA17/AA5</f>
    </nc>
  </rcc>
  <rcc rId="2852" sId="4">
    <nc r="AA28">
      <f>AA21/AA5</f>
    </nc>
  </rcc>
  <rcc rId="2853" sId="4" numFmtId="34">
    <nc r="AA53">
      <v>75622.320000000007</v>
    </nc>
  </rcc>
  <rcc rId="2854" sId="4">
    <nc r="AA54">
      <f>AA5-AA53</f>
    </nc>
  </rcc>
  <rcc rId="2855" sId="4" numFmtId="34">
    <nc r="AA58">
      <v>15667</v>
    </nc>
  </rcc>
  <rcc rId="2856" sId="4" odxf="1" dxf="1">
    <nc r="Y59">
      <f>Y54-SUM(Y56:Y58)</f>
    </nc>
    <odxf>
      <font>
        <b val="0"/>
        <sz val="9"/>
      </font>
      <numFmt numFmtId="165" formatCode="_(* #,##0_);_(* \(#,##0\);_(* &quot;-&quot;??_);_(@_)"/>
      <fill>
        <patternFill patternType="none">
          <bgColor indexed="65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b/>
        <sz val="9"/>
      </font>
      <numFmt numFmtId="0" formatCode="General"/>
      <fill>
        <patternFill patternType="solid">
          <bgColor theme="5" tint="0.39997558519241921"/>
        </patternFill>
      </fill>
      <border outline="0">
        <left/>
        <top style="medium">
          <color indexed="64"/>
        </top>
        <bottom style="medium">
          <color indexed="64"/>
        </bottom>
      </border>
    </ndxf>
  </rcc>
  <rcc rId="2857" sId="4" odxf="1" dxf="1">
    <nc r="Z59">
      <f>Z54-SUM(Z56:Z58)</f>
    </nc>
    <odxf>
      <font>
        <b val="0"/>
        <sz val="9"/>
      </font>
      <numFmt numFmtId="165" formatCode="_(* #,##0_);_(* \(#,##0\);_(* &quot;-&quot;??_);_(@_)"/>
      <fill>
        <patternFill patternType="none">
          <bgColor indexed="65"/>
        </patternFill>
      </fill>
      <border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9"/>
      </font>
      <numFmt numFmtId="0" formatCode="General"/>
      <fill>
        <patternFill patternType="solid">
          <bgColor theme="5" tint="0.39997558519241921"/>
        </patternFill>
      </fill>
      <border outline="0">
        <left/>
        <right style="thin">
          <color indexed="64"/>
        </right>
        <top style="medium">
          <color indexed="64"/>
        </top>
        <bottom style="medium">
          <color indexed="64"/>
        </bottom>
      </border>
    </ndxf>
  </rcc>
  <rfmt sheetId="4" sqref="AA59" start="0" length="0">
    <dxf>
      <font>
        <b/>
        <sz val="9"/>
      </font>
      <numFmt numFmtId="0" formatCode="General"/>
      <fill>
        <patternFill patternType="solid">
          <bgColor theme="5" tint="0.39997558519241921"/>
        </patternFill>
      </fill>
      <border outline="0">
        <left/>
        <top style="medium">
          <color indexed="64"/>
        </top>
        <bottom style="medium">
          <color indexed="64"/>
        </bottom>
      </border>
    </dxf>
  </rfmt>
  <rcc rId="2858" sId="4" numFmtId="34">
    <nc r="AA65">
      <v>600</v>
    </nc>
  </rcc>
  <rcc rId="2859" sId="4">
    <nc r="AA68">
      <f>AA59-SUM(AA61:AA66)</f>
    </nc>
  </rcc>
  <rcc rId="2860" sId="4">
    <nc r="AA70">
      <f>AA68/AA54</f>
    </nc>
  </rcc>
  <rcc rId="2861" sId="4" odxf="1" dxf="1">
    <nc r="AA59">
      <f>AA54-SUM(AA56:AA58)</f>
    </nc>
    <ndxf>
      <numFmt numFmtId="165" formatCode="_(* #,##0_);_(* \(#,##0\);_(* &quot;-&quot;??_);_(@_)"/>
    </ndxf>
  </rcc>
  <rcc rId="2862" sId="4" numFmtId="34">
    <nc r="AA56">
      <v>794470</v>
    </nc>
  </rcc>
  <rcc rId="2863" sId="4" numFmtId="34">
    <nc r="AA57">
      <v>239744</v>
    </nc>
  </rcc>
  <rcc rId="2864" sId="4" numFmtId="34">
    <nc r="AA62">
      <v>86986</v>
    </nc>
  </rcc>
  <rcc rId="2865" sId="4" numFmtId="34">
    <nc r="AA63">
      <v>57791</v>
    </nc>
  </rcc>
  <rcc rId="2866" sId="4" numFmtId="34">
    <nc r="AA64">
      <v>154658</v>
    </nc>
  </rcc>
  <rcc rId="2867" sId="4" numFmtId="34">
    <nc r="AA61">
      <f>807365+34473</f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8" sId="4" numFmtId="34">
    <oc r="AA9">
      <v>821117</v>
    </oc>
    <nc r="AA9">
      <v>1081617</v>
    </nc>
  </rcc>
  <rcmt sheetId="4" cell="AA9" guid="{275C589A-16A5-46E1-8D62-439F2622B6CF}" author="Sanjeevi Sreekanth" newLength="2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9" sId="4" numFmtId="34">
    <oc r="AA64">
      <v>154658</v>
    </oc>
    <nc r="AA64">
      <f>154658-2647</f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0" sId="4">
    <nc r="AD5">
      <f>U5+X5+AA5</f>
    </nc>
  </rcc>
  <rcc rId="2871" sId="4">
    <nc r="AD6">
      <f>U6+X6+AA6</f>
    </nc>
  </rcc>
  <rcc rId="2872" sId="4">
    <nc r="AD7">
      <f>AD5/AD6</f>
    </nc>
  </rcc>
  <rcc rId="2873" sId="4" odxf="1" dxf="1">
    <nc r="AD9">
      <f>U9+X9+AA9</f>
    </nc>
    <odxf>
      <alignment wrapText="1" readingOrder="0"/>
    </odxf>
    <ndxf>
      <alignment wrapText="0" readingOrder="0"/>
    </ndxf>
  </rcc>
  <rcc rId="2874" sId="4" odxf="1" dxf="1">
    <nc r="AD10">
      <f>U10+X10+AA10</f>
    </nc>
    <odxf>
      <alignment wrapText="1" readingOrder="0"/>
    </odxf>
    <ndxf>
      <alignment wrapText="0" readingOrder="0"/>
    </ndxf>
  </rcc>
  <rcc rId="2875" sId="4">
    <nc r="AD11">
      <f>AD9/AD10</f>
    </nc>
  </rcc>
  <rcc rId="2876" sId="4" odxf="1" dxf="1">
    <nc r="AD13">
      <f>U13+X13+AA13</f>
    </nc>
    <odxf>
      <alignment wrapText="1" readingOrder="0"/>
    </odxf>
    <ndxf>
      <alignment wrapText="0" readingOrder="0"/>
    </ndxf>
  </rcc>
  <rcc rId="2877" sId="4" odxf="1" dxf="1">
    <nc r="AD14">
      <f>U14+X14+AA14</f>
    </nc>
    <odxf>
      <alignment wrapText="1" readingOrder="0"/>
    </odxf>
    <ndxf>
      <alignment wrapText="0" readingOrder="0"/>
    </ndxf>
  </rcc>
  <rcc rId="2878" sId="4">
    <nc r="AD15">
      <f>AD13/AD14</f>
    </nc>
  </rcc>
  <rcc rId="2879" sId="4" odxf="1" dxf="1">
    <nc r="AD17">
      <f>U17+X17+AA17</f>
    </nc>
    <odxf>
      <alignment wrapText="1" readingOrder="0"/>
    </odxf>
    <ndxf>
      <alignment wrapText="0" readingOrder="0"/>
    </ndxf>
  </rcc>
  <rcc rId="2880" sId="4" odxf="1" dxf="1">
    <nc r="AD18">
      <f>U18+X18+AA18</f>
    </nc>
    <odxf>
      <alignment wrapText="1" readingOrder="0"/>
    </odxf>
    <ndxf>
      <alignment wrapText="0" readingOrder="0"/>
    </ndxf>
  </rcc>
  <rcc rId="2881" sId="4">
    <nc r="AD19">
      <f>AD17/AD18</f>
    </nc>
  </rcc>
  <rcc rId="2882" sId="4" odxf="1" dxf="1">
    <nc r="AD21">
      <f>U21+X21+AA21</f>
    </nc>
    <odxf>
      <alignment wrapText="1" readingOrder="0"/>
    </odxf>
    <ndxf>
      <alignment wrapText="0" readingOrder="0"/>
    </ndxf>
  </rcc>
  <rcc rId="2883" sId="4" odxf="1" dxf="1">
    <nc r="AD22">
      <f>U22+X22+AA22</f>
    </nc>
    <odxf>
      <alignment wrapText="1" readingOrder="0"/>
    </odxf>
    <ndxf>
      <alignment wrapText="0" readingOrder="0"/>
    </ndxf>
  </rcc>
  <rcc rId="2884" sId="4">
    <nc r="AD23">
      <f>AD21/AD22</f>
    </nc>
  </rcc>
  <rcc rId="2885" sId="4">
    <nc r="AD25">
      <f>AD9/AD5</f>
    </nc>
  </rcc>
  <rcc rId="2886" sId="4">
    <nc r="AD26">
      <f>AD13/AD5</f>
    </nc>
  </rcc>
  <rcc rId="2887" sId="4">
    <nc r="AD27">
      <f>AD17/AD5</f>
    </nc>
  </rcc>
  <rcc rId="2888" sId="4">
    <nc r="AD28">
      <f>AD21/AD5</f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4" odxf="1" s="1" dxf="1">
    <nc r="AD53">
      <f>U53+X53+AA53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wrapText="0" readingOrder="0"/>
    </ndxf>
  </rcc>
  <rcc rId="2890" sId="4">
    <nc r="AD54">
      <f>AD5-AD53</f>
    </nc>
  </rcc>
  <rcc rId="2891" sId="4" odxf="1" dxf="1">
    <nc r="AD56">
      <f>U56+X56+AA56</f>
    </nc>
    <odxf>
      <alignment wrapText="1" readingOrder="0"/>
    </odxf>
    <ndxf>
      <alignment wrapText="0" readingOrder="0"/>
    </ndxf>
  </rcc>
  <rcc rId="2892" sId="4" odxf="1" dxf="1">
    <nc r="AD57">
      <f>U57+X57+AA57</f>
    </nc>
    <odxf>
      <alignment wrapText="1" readingOrder="0"/>
    </odxf>
    <ndxf>
      <alignment wrapText="0" readingOrder="0"/>
    </ndxf>
  </rcc>
  <rcc rId="2893" sId="4" odxf="1" dxf="1">
    <nc r="AD58">
      <f>U58+X58+AA58</f>
    </nc>
    <odxf>
      <alignment wrapText="1" readingOrder="0"/>
    </odxf>
    <ndxf>
      <alignment wrapText="0" readingOrder="0"/>
    </ndxf>
  </rcc>
  <rfmt sheetId="4" sqref="AB59" start="0" length="0">
    <dxf>
      <font>
        <b/>
        <sz val="9"/>
      </font>
      <fill>
        <patternFill patternType="solid">
          <bgColor theme="5" tint="0.39997558519241921"/>
        </patternFill>
      </fill>
      <border outline="0">
        <left/>
        <top style="medium">
          <color indexed="64"/>
        </top>
        <bottom style="medium">
          <color indexed="64"/>
        </bottom>
      </border>
    </dxf>
  </rfmt>
  <rfmt sheetId="4" sqref="AC59" start="0" length="0">
    <dxf>
      <font>
        <b/>
        <sz val="9"/>
      </font>
      <fill>
        <patternFill patternType="solid">
          <bgColor theme="5" tint="0.39997558519241921"/>
        </patternFill>
      </fill>
      <border outline="0">
        <left/>
        <right style="thin">
          <color indexed="64"/>
        </right>
        <top style="medium">
          <color indexed="64"/>
        </top>
        <bottom style="medium">
          <color indexed="64"/>
        </bottom>
      </border>
    </dxf>
  </rfmt>
  <rcc rId="2894" sId="4" odxf="1" dxf="1">
    <nc r="AD59">
      <f>AD54-SUM(AD56:AD58)</f>
    </nc>
    <odxf>
      <font>
        <b val="0"/>
        <sz val="9"/>
      </font>
      <fill>
        <patternFill patternType="none">
          <bgColor indexed="65"/>
        </patternFill>
      </fill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odxf>
    <ndxf>
      <font>
        <b/>
        <sz val="9"/>
      </font>
      <fill>
        <patternFill patternType="solid">
          <bgColor theme="5" tint="0.39997558519241921"/>
        </patternFill>
      </fill>
      <border outline="0">
        <left/>
        <top style="medium">
          <color indexed="64"/>
        </top>
        <bottom style="medium">
          <color indexed="64"/>
        </bottom>
      </border>
    </ndxf>
  </rcc>
  <rcc rId="2895" sId="4" odxf="1" dxf="1">
    <nc r="AD61">
      <f>U61+X61+AA61</f>
    </nc>
    <odxf>
      <alignment wrapText="1" readingOrder="0"/>
    </odxf>
    <ndxf>
      <alignment wrapText="0" readingOrder="0"/>
    </ndxf>
  </rcc>
  <rcc rId="2896" sId="4" odxf="1" dxf="1">
    <nc r="AD62">
      <f>U62+X62+AA62</f>
    </nc>
    <odxf>
      <alignment wrapText="1" readingOrder="0"/>
    </odxf>
    <ndxf>
      <alignment wrapText="0" readingOrder="0"/>
    </ndxf>
  </rcc>
  <rcc rId="2897" sId="4" odxf="1" dxf="1">
    <nc r="AD63">
      <f>U63+X63+AA63</f>
    </nc>
    <odxf>
      <alignment wrapText="1" readingOrder="0"/>
    </odxf>
    <ndxf>
      <alignment wrapText="0" readingOrder="0"/>
    </ndxf>
  </rcc>
  <rcc rId="2898" sId="4" odxf="1" dxf="1">
    <nc r="AD64">
      <f>U64+X64+AA64</f>
    </nc>
    <odxf>
      <alignment wrapText="1" readingOrder="0"/>
    </odxf>
    <ndxf>
      <alignment wrapText="0" readingOrder="0"/>
    </ndxf>
  </rcc>
  <rcc rId="2899" sId="4" odxf="1" dxf="1">
    <nc r="AD65">
      <f>U65+X65+AA65</f>
    </nc>
    <odxf>
      <alignment wrapText="1" readingOrder="0"/>
    </odxf>
    <ndxf>
      <alignment wrapText="0" readingOrder="0"/>
    </ndxf>
  </rcc>
  <rcc rId="2900" sId="4">
    <nc r="AD68">
      <f>AD59-SUM(AD61:AD66)</f>
    </nc>
  </rcc>
  <rcc rId="2901" sId="4">
    <nc r="AD70">
      <f>AD68/AD54</f>
    </nc>
  </rcc>
  <rcc rId="2902" sId="4" numFmtId="13">
    <nc r="AD72">
      <v>-4.7756904708413574E-2</v>
    </nc>
  </rcc>
  <rcc rId="2903" sId="4" numFmtId="13">
    <nc r="AD73">
      <v>-0.3408520963828226</v>
    </nc>
  </rcc>
  <rcc rId="2904" sId="4" numFmtId="13">
    <nc r="AD74">
      <v>0.11822831878222152</v>
    </nc>
  </rcc>
  <rcc rId="2905" sId="4" numFmtId="13">
    <nc r="AD75">
      <v>-8.5624601485737958E-2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6" sId="4">
    <nc r="AD77">
      <f>SUM(AD56:AD58)/AD5</f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7" sId="5">
    <oc r="R69">
      <f>(O69+L69+I69)/3</f>
    </oc>
    <nc r="R69">
      <f>SUM(R48:R50)/R5</f>
    </nc>
  </rcc>
  <rcc rId="2908" sId="5">
    <oc r="U69">
      <f>(R69+O69+L69)/3</f>
    </oc>
    <nc r="U69">
      <f>SUM(U48:U50)/U5</f>
    </nc>
  </rcc>
  <rcc rId="2909" sId="5">
    <oc r="L69">
      <f>SUM(L48:L50)/L5</f>
    </oc>
    <nc r="L69">
      <f>SUM(L48:L50)/L5</f>
    </nc>
  </rcc>
  <rcc rId="2910" sId="5">
    <nc r="X69">
      <f>SUM(X48:X50)/X5</f>
    </nc>
  </rcc>
  <rcc rId="2911" sId="5">
    <nc r="AA69">
      <f>SUM(AA48:AA50)/AA5</f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nc r="AD69">
      <f>SUM(AD48:AD50)/AD5</f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3" sId="3">
    <nc r="AA4">
      <f>'HT Express BSC '!AA5+'HT Stores BSC'!AA5+'HT Fine Dining'!AA5</f>
    </nc>
  </rcc>
  <rcc rId="2914" sId="3">
    <nc r="AA5">
      <f>'HT Express BSC '!AA6+'HT Stores BSC'!AA6+'HT Fine Dining'!AA6</f>
    </nc>
  </rcc>
  <rcc rId="2915" sId="3" odxf="1" s="1" dxf="1">
    <nc r="AA6">
      <f>AA4/AA5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2916" sId="3" odxf="1" s="1" dxf="1">
    <nc r="AA12">
      <f>AA16+AA20+AA24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2917" sId="3">
    <nc r="AA16">
      <f>'HT Stores BSC'!AA9</f>
    </nc>
  </rcc>
  <rcc rId="2918" sId="3">
    <nc r="AA17">
      <v>1000000</v>
    </nc>
  </rcc>
  <rcc rId="2919" sId="3" odxf="1" dxf="1">
    <nc r="AA18">
      <f>AA16/AA17</f>
    </nc>
    <odxf>
      <numFmt numFmtId="0" formatCode="General"/>
    </odxf>
    <ndxf>
      <numFmt numFmtId="13" formatCode="0%"/>
    </ndxf>
  </rcc>
  <rcc rId="2920" sId="3">
    <nc r="AA20">
      <f>'HT Stores BSC'!AA13</f>
    </nc>
  </rcc>
  <rcc rId="2921" sId="3">
    <nc r="AA21">
      <f>'HT Stores BSC'!AA14</f>
    </nc>
  </rcc>
  <rcc rId="2922" sId="3" odxf="1" dxf="1">
    <nc r="AA22">
      <f>AA20/AA21</f>
    </nc>
    <odxf>
      <numFmt numFmtId="0" formatCode="General"/>
    </odxf>
    <ndxf>
      <numFmt numFmtId="13" formatCode="0%"/>
    </ndxf>
  </rcc>
  <rcc rId="2923" sId="3">
    <nc r="AA24">
      <f>'HT Stores BSC'!AA17</f>
    </nc>
  </rcc>
  <rcc rId="2924" sId="3">
    <nc r="AA25">
      <f>'HT Stores BSC'!AA18</f>
    </nc>
  </rcc>
  <rcc rId="2925" sId="3" odxf="1" dxf="1">
    <nc r="AA26">
      <f>AA24/AA25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2926" sId="3" odxf="1" s="1" dxf="1">
    <nc r="AA28">
      <f>AA16/AA12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927" sId="3" odxf="1" s="1" dxf="1">
    <nc r="AA29">
      <f>AA20/AA12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928" sId="3" odxf="1" s="1" dxf="1">
    <nc r="AA30">
      <f>AA24/AA12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929" sId="3">
    <nc r="AA32">
      <f>'HT Express BSC '!AA5</f>
    </nc>
  </rcc>
  <rcc rId="2930" sId="3">
    <nc r="AA33">
      <f>'HT Express BSC '!AA6</f>
    </nc>
  </rcc>
  <rcc rId="2931" sId="3" odxf="1" dxf="1">
    <nc r="AA34">
      <f>AA32/AA33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2932" sId="3">
    <nc r="AA37">
      <f>'HT Express BSC '!AA10</f>
    </nc>
  </rcc>
  <rcc rId="2933" sId="3">
    <nc r="AA36">
      <f>'HT Express BSC '!AA9</f>
    </nc>
  </rcc>
  <rcc rId="2934" sId="3" odxf="1" dxf="1">
    <nc r="AA38">
      <f>AA36/AA37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2935" sId="3">
    <nc r="AA40">
      <f>'HT Express BSC '!AA13</f>
    </nc>
  </rcc>
  <rcc rId="2936" sId="3">
    <nc r="AA41">
      <f>'HT Express BSC '!AA14</f>
    </nc>
  </rcc>
  <rcc rId="2937" sId="3" odxf="1" dxf="1">
    <nc r="AA42">
      <f>AA40/AA41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2938" sId="3">
    <nc r="AA44">
      <f>'HT Express BSC '!AA17</f>
    </nc>
  </rcc>
  <rcc rId="2939" sId="3">
    <nc r="AA45">
      <f>'HT Express BSC '!AA18</f>
    </nc>
  </rcc>
  <rcc rId="2940" sId="3" odxf="1" dxf="1">
    <nc r="AA46">
      <f>AA44/AA45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2941" sId="3">
    <nc r="AA48">
      <f>'HT Express BSC '!AA21</f>
    </nc>
  </rcc>
  <rcc rId="2942" sId="3">
    <nc r="AA49">
      <f>'HT Express BSC '!AA22</f>
    </nc>
  </rcc>
  <rcc rId="2943" sId="3" odxf="1" dxf="1">
    <nc r="AA50">
      <f>AA48/AA49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2944" sId="3" odxf="1" s="1" dxf="1">
    <nc r="AA52">
      <f>AA36/AA32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945" sId="3" odxf="1" s="1" dxf="1">
    <nc r="AA53">
      <f>AA40/AA32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946" sId="3" odxf="1" s="1" dxf="1">
    <nc r="AA54">
      <f>AA44/AA32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947" sId="3" odxf="1" s="1" dxf="1">
    <nc r="AA55">
      <f>AA48/AA32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2948" sId="3">
    <nc r="AA57">
      <f>'HT Fine Dining'!AA5</f>
    </nc>
  </rcc>
  <rcc rId="2949" sId="3">
    <nc r="AA58">
      <f>'HT Fine Dining'!AA6</f>
    </nc>
  </rcc>
  <rcc rId="2950" sId="3" odxf="1" dxf="1">
    <nc r="AA59">
      <f>AA57/AA58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2951" sId="3">
    <nc r="AA87">
      <f>'HT Express BSC '!AA56+'HT Stores BSC'!AA48+'HT Fine Dining'!AB26</f>
    </nc>
  </rcc>
  <rcc rId="2952" sId="3">
    <nc r="AA88">
      <f>'HT Express BSC '!AA57+'HT Stores BSC'!AA49+'HT Fine Dining'!AB27</f>
    </nc>
  </rcc>
  <rcc rId="2953" sId="3">
    <nc r="AA89">
      <f>'HT Express BSC '!AA58+'HT Stores BSC'!AA50+'HT Fine Dining'!AB28</f>
    </nc>
  </rcc>
  <rfmt sheetId="3" sqref="AB89" start="0" length="0">
    <dxf>
      <numFmt numFmtId="13" formatCode="0%"/>
    </dxf>
  </rfmt>
  <rcc rId="2954" sId="3">
    <nc r="AA92">
      <f>'HT Express BSC '!AA61+'HT Stores BSC'!AA53+'HT Fine Dining'!AA31</f>
    </nc>
  </rcc>
  <rcc rId="2955" sId="3">
    <nc r="AA93">
      <f>'HT Express BSC '!AA62+'HT Stores BSC'!AA54+'HT Fine Dining'!AA32</f>
    </nc>
  </rcc>
  <rcc rId="2956" sId="3">
    <nc r="AA94">
      <f>'HT Express BSC '!AA63+'HT Stores BSC'!AA55+'HT Fine Dining'!AA33</f>
    </nc>
  </rcc>
  <rcc rId="2957" sId="3">
    <nc r="AA95">
      <f>'HT Express BSC '!AA64+'HT Stores BSC'!AA56+'HT Fine Dining'!AA34</f>
    </nc>
  </rcc>
  <rcc rId="2958" sId="3">
    <nc r="AA96">
      <f>'HT Express BSC '!AA65+'HT Stores BSC'!AA57+'HT Fine Dining'!AA35</f>
    </nc>
  </rcc>
  <rcc rId="2959" sId="3" odxf="1" dxf="1">
    <nc r="AA97">
      <f>'HT Express BSC '!AA66+'HT Stores BSC'!AA58+'HT Fine Dining'!AA36</f>
    </nc>
    <odxf>
      <numFmt numFmtId="0" formatCode="General"/>
    </odxf>
    <ndxf>
      <numFmt numFmtId="165" formatCode="_(* #,##0_);_(* \(#,##0\);_(* &quot;-&quot;??_);_(@_)"/>
    </ndxf>
  </rcc>
  <rcc rId="2960" sId="3" odxf="1" dxf="1">
    <nc r="AA98">
      <f>'HT Express BSC '!AA67+'HT Stores BSC'!AA59+'HT Fine Dining'!AA37</f>
    </nc>
    <odxf>
      <numFmt numFmtId="0" formatCode="General"/>
    </odxf>
    <ndxf>
      <numFmt numFmtId="165" formatCode="_(* #,##0_);_(* \(#,##0\);_(* &quot;-&quot;??_);_(@_)"/>
    </ndxf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Overall'!$AG:$BD</formula>
    <oldFormula>'TSF Prasadam Overall'!$D:$G,'TSF Prasadam Overall'!$AA:$BD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</formula>
    <oldFormula>'HT Express BSC '!$D:$H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</formula>
    <oldFormula>'HT Stores BSC'!$D:$G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</formula>
    <oldFormula>'HT Fine Dining'!$D:$G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2" sId="3" xfDxf="1" dxf="1">
    <nc r="AA171">
      <v>4381392.5599999996</v>
    </nc>
    <ndxf>
      <font>
        <sz val="9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AA171">
    <dxf>
      <numFmt numFmtId="35" formatCode="_(* #,##0.00_);_(* \(#,##0.00\);_(* &quot;-&quot;??_);_(@_)"/>
    </dxf>
  </rfmt>
  <rfmt sheetId="3" sqref="AA171">
    <dxf>
      <numFmt numFmtId="167" formatCode="_(* #,##0.0_);_(* \(#,##0.0\);_(* &quot;-&quot;??_);_(@_)"/>
    </dxf>
  </rfmt>
  <rfmt sheetId="3" sqref="AA171">
    <dxf>
      <numFmt numFmtId="165" formatCode="_(* #,##0_);_(* \(#,##0\);_(* &quot;-&quot;??_);_(@_)"/>
    </dxf>
  </rfmt>
  <rcc rId="2973" sId="3" xfDxf="1" dxf="1">
    <nc r="AA172">
      <v>194150</v>
    </nc>
    <ndxf>
      <font>
        <sz val="9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4" sId="3" xfDxf="1" dxf="1">
    <nc r="AA173">
      <v>93907.44</v>
    </nc>
    <ndxf>
      <font>
        <sz val="9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5" sId="3" xfDxf="1" dxf="1">
    <nc r="AA174">
      <v>241612</v>
    </nc>
    <ndxf>
      <font>
        <sz val="9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AA171:AA174">
    <dxf>
      <numFmt numFmtId="35" formatCode="_(* #,##0.00_);_(* \(#,##0.00\);_(* &quot;-&quot;??_);_(@_)"/>
    </dxf>
  </rfmt>
  <rfmt sheetId="3" sqref="AA171:AA174">
    <dxf>
      <numFmt numFmtId="167" formatCode="_(* #,##0.0_);_(* \(#,##0.0\);_(* &quot;-&quot;??_);_(@_)"/>
    </dxf>
  </rfmt>
  <rfmt sheetId="3" sqref="AA171:AA174">
    <dxf>
      <numFmt numFmtId="165" formatCode="_(* #,##0_);_(* \(#,##0\);_(* &quot;-&quot;??_);_(@_)"/>
    </dxf>
  </rfmt>
  <rfmt sheetId="3" sqref="AA172:AA174">
    <dxf>
      <numFmt numFmtId="35" formatCode="_(* #,##0.00_);_(* \(#,##0.00\);_(* &quot;-&quot;??_);_(@_)"/>
    </dxf>
  </rfmt>
  <rfmt sheetId="3" sqref="AA172:AA174">
    <dxf>
      <numFmt numFmtId="167" formatCode="_(* #,##0.0_);_(* \(#,##0.0\);_(* &quot;-&quot;??_);_(@_)"/>
    </dxf>
  </rfmt>
  <rfmt sheetId="3" sqref="AA172:AA174">
    <dxf>
      <numFmt numFmtId="165" formatCode="_(* #,##0_);_(* \(#,##0\);_(* &quot;-&quot;??_);_(@_)"/>
    </dxf>
  </rfmt>
  <rfmt sheetId="3" sqref="AA156">
    <dxf>
      <numFmt numFmtId="35" formatCode="_(* #,##0.00_);_(* \(#,##0.00\);_(* &quot;-&quot;??_);_(@_)"/>
    </dxf>
  </rfmt>
  <rfmt sheetId="3" sqref="AA156">
    <dxf>
      <numFmt numFmtId="167" formatCode="_(* #,##0.0_);_(* \(#,##0.0\);_(* &quot;-&quot;??_);_(@_)"/>
    </dxf>
  </rfmt>
  <rfmt sheetId="3" sqref="AA156">
    <dxf>
      <numFmt numFmtId="165" formatCode="_(* #,##0_);_(* \(#,##0\);_(* &quot;-&quot;??_);_(@_)"/>
    </dxf>
  </rfmt>
  <rfmt sheetId="3" sqref="AA134:AA136">
    <dxf>
      <numFmt numFmtId="35" formatCode="_(* #,##0.00_);_(* \(#,##0.00\);_(* &quot;-&quot;??_);_(@_)"/>
    </dxf>
  </rfmt>
  <rfmt sheetId="3" sqref="AA134:AA136">
    <dxf>
      <numFmt numFmtId="167" formatCode="_(* #,##0.0_);_(* \(#,##0.0\);_(* &quot;-&quot;??_);_(@_)"/>
    </dxf>
  </rfmt>
  <rfmt sheetId="3" sqref="AA134:AA136">
    <dxf>
      <numFmt numFmtId="165" formatCode="_(* #,##0_);_(* \(#,##0\);_(* &quot;-&quot;??_);_(@_)"/>
    </dxf>
  </rfmt>
  <rfmt sheetId="3" sqref="AA132">
    <dxf>
      <numFmt numFmtId="35" formatCode="_(* #,##0.00_);_(* \(#,##0.00\);_(* &quot;-&quot;??_);_(@_)"/>
    </dxf>
  </rfmt>
  <rfmt sheetId="3" sqref="AA132">
    <dxf>
      <numFmt numFmtId="167" formatCode="_(* #,##0.0_);_(* \(#,##0.0\);_(* &quot;-&quot;??_);_(@_)"/>
    </dxf>
  </rfmt>
  <rfmt sheetId="3" sqref="AA132">
    <dxf>
      <numFmt numFmtId="165" formatCode="_(* #,##0_);_(* \(#,##0\);_(* &quot;-&quot;??_);_(@_)"/>
    </dxf>
  </rfmt>
  <rfmt sheetId="3" sqref="AA125">
    <dxf>
      <numFmt numFmtId="35" formatCode="_(* #,##0.00_);_(* \(#,##0.00\);_(* &quot;-&quot;??_);_(@_)"/>
    </dxf>
  </rfmt>
  <rfmt sheetId="3" sqref="AA125">
    <dxf>
      <numFmt numFmtId="167" formatCode="_(* #,##0.0_);_(* \(#,##0.0\);_(* &quot;-&quot;??_);_(@_)"/>
    </dxf>
  </rfmt>
  <rfmt sheetId="3" sqref="AA125">
    <dxf>
      <numFmt numFmtId="165" formatCode="_(* #,##0_);_(* \(#,##0\);_(* &quot;-&quot;??_);_(@_)"/>
    </dxf>
  </rfmt>
  <rfmt sheetId="3" sqref="AA92:AA97">
    <dxf>
      <numFmt numFmtId="35" formatCode="_(* #,##0.00_);_(* \(#,##0.00\);_(* &quot;-&quot;??_);_(@_)"/>
    </dxf>
  </rfmt>
  <rfmt sheetId="3" sqref="AA92:AA97">
    <dxf>
      <numFmt numFmtId="167" formatCode="_(* #,##0.0_);_(* \(#,##0.0\);_(* &quot;-&quot;??_);_(@_)"/>
    </dxf>
  </rfmt>
  <rfmt sheetId="3" sqref="AA92:AA97">
    <dxf>
      <numFmt numFmtId="165" formatCode="_(* #,##0_);_(* \(#,##0\);_(* &quot;-&quot;??_);_(@_)"/>
    </dxf>
  </rfmt>
  <rfmt sheetId="3" sqref="AA87:AA89">
    <dxf>
      <numFmt numFmtId="35" formatCode="_(* #,##0.00_);_(* \(#,##0.00\);_(* &quot;-&quot;??_);_(@_)"/>
    </dxf>
  </rfmt>
  <rfmt sheetId="3" sqref="AA87:AA89">
    <dxf>
      <numFmt numFmtId="167" formatCode="_(* #,##0.0_);_(* \(#,##0.0\);_(* &quot;-&quot;??_);_(@_)"/>
    </dxf>
  </rfmt>
  <rfmt sheetId="3" sqref="AA87:AA89">
    <dxf>
      <numFmt numFmtId="165" formatCode="_(* #,##0_);_(* \(#,##0\);_(* &quot;-&quot;??_);_(@_)"/>
    </dxf>
  </rfmt>
  <rfmt sheetId="3" sqref="AA57:AA58">
    <dxf>
      <numFmt numFmtId="35" formatCode="_(* #,##0.00_);_(* \(#,##0.00\);_(* &quot;-&quot;??_);_(@_)"/>
    </dxf>
  </rfmt>
  <rfmt sheetId="3" sqref="AA57:AA58">
    <dxf>
      <numFmt numFmtId="167" formatCode="_(* #,##0.0_);_(* \(#,##0.0\);_(* &quot;-&quot;??_);_(@_)"/>
    </dxf>
  </rfmt>
  <rfmt sheetId="3" sqref="AA57:AA58">
    <dxf>
      <numFmt numFmtId="165" formatCode="_(* #,##0_);_(* \(#,##0\);_(* &quot;-&quot;??_);_(@_)"/>
    </dxf>
  </rfmt>
  <rfmt sheetId="3" sqref="AA48:AA49">
    <dxf>
      <numFmt numFmtId="35" formatCode="_(* #,##0.00_);_(* \(#,##0.00\);_(* &quot;-&quot;??_);_(@_)"/>
    </dxf>
  </rfmt>
  <rfmt sheetId="3" sqref="AA48:AA49">
    <dxf>
      <numFmt numFmtId="167" formatCode="_(* #,##0.0_);_(* \(#,##0.0\);_(* &quot;-&quot;??_);_(@_)"/>
    </dxf>
  </rfmt>
  <rfmt sheetId="3" sqref="AA48:AA49">
    <dxf>
      <numFmt numFmtId="165" formatCode="_(* #,##0_);_(* \(#,##0\);_(* &quot;-&quot;??_);_(@_)"/>
    </dxf>
  </rfmt>
  <rfmt sheetId="3" sqref="AA44:AA45">
    <dxf>
      <numFmt numFmtId="35" formatCode="_(* #,##0.00_);_(* \(#,##0.00\);_(* &quot;-&quot;??_);_(@_)"/>
    </dxf>
  </rfmt>
  <rfmt sheetId="3" sqref="AA44:AA45">
    <dxf>
      <numFmt numFmtId="167" formatCode="_(* #,##0.0_);_(* \(#,##0.0\);_(* &quot;-&quot;??_);_(@_)"/>
    </dxf>
  </rfmt>
  <rfmt sheetId="3" sqref="AA44:AA45">
    <dxf>
      <numFmt numFmtId="165" formatCode="_(* #,##0_);_(* \(#,##0\);_(* &quot;-&quot;??_);_(@_)"/>
    </dxf>
  </rfmt>
  <rfmt sheetId="3" sqref="AA40:AA41">
    <dxf>
      <numFmt numFmtId="35" formatCode="_(* #,##0.00_);_(* \(#,##0.00\);_(* &quot;-&quot;??_);_(@_)"/>
    </dxf>
  </rfmt>
  <rfmt sheetId="3" sqref="AA40:AA41">
    <dxf>
      <numFmt numFmtId="167" formatCode="_(* #,##0.0_);_(* \(#,##0.0\);_(* &quot;-&quot;??_);_(@_)"/>
    </dxf>
  </rfmt>
  <rfmt sheetId="3" sqref="AA40:AA41">
    <dxf>
      <numFmt numFmtId="165" formatCode="_(* #,##0_);_(* \(#,##0\);_(* &quot;-&quot;??_);_(@_)"/>
    </dxf>
  </rfmt>
  <rfmt sheetId="3" sqref="AA36:AA37">
    <dxf>
      <numFmt numFmtId="35" formatCode="_(* #,##0.00_);_(* \(#,##0.00\);_(* &quot;-&quot;??_);_(@_)"/>
    </dxf>
  </rfmt>
  <rfmt sheetId="3" sqref="AA36:AA37">
    <dxf>
      <numFmt numFmtId="167" formatCode="_(* #,##0.0_);_(* \(#,##0.0\);_(* &quot;-&quot;??_);_(@_)"/>
    </dxf>
  </rfmt>
  <rfmt sheetId="3" sqref="AA36:AA37">
    <dxf>
      <numFmt numFmtId="165" formatCode="_(* #,##0_);_(* \(#,##0\);_(* &quot;-&quot;??_);_(@_)"/>
    </dxf>
  </rfmt>
  <rfmt sheetId="3" sqref="AA32:AA33">
    <dxf>
      <numFmt numFmtId="35" formatCode="_(* #,##0.00_);_(* \(#,##0.00\);_(* &quot;-&quot;??_);_(@_)"/>
    </dxf>
  </rfmt>
  <rfmt sheetId="3" sqref="AA32:AA33">
    <dxf>
      <numFmt numFmtId="167" formatCode="_(* #,##0.0_);_(* \(#,##0.0\);_(* &quot;-&quot;??_);_(@_)"/>
    </dxf>
  </rfmt>
  <rfmt sheetId="3" sqref="AA32:AA33">
    <dxf>
      <numFmt numFmtId="165" formatCode="_(* #,##0_);_(* \(#,##0\);_(* &quot;-&quot;??_);_(@_)"/>
    </dxf>
  </rfmt>
  <rfmt sheetId="3" sqref="AA24:AA25">
    <dxf>
      <numFmt numFmtId="35" formatCode="_(* #,##0.00_);_(* \(#,##0.00\);_(* &quot;-&quot;??_);_(@_)"/>
    </dxf>
  </rfmt>
  <rfmt sheetId="3" sqref="AA24:AA25">
    <dxf>
      <numFmt numFmtId="167" formatCode="_(* #,##0.0_);_(* \(#,##0.0\);_(* &quot;-&quot;??_);_(@_)"/>
    </dxf>
  </rfmt>
  <rfmt sheetId="3" sqref="AA24:AA25">
    <dxf>
      <numFmt numFmtId="165" formatCode="_(* #,##0_);_(* \(#,##0\);_(* &quot;-&quot;??_);_(@_)"/>
    </dxf>
  </rfmt>
  <rfmt sheetId="3" sqref="AA20:AA21">
    <dxf>
      <numFmt numFmtId="35" formatCode="_(* #,##0.00_);_(* \(#,##0.00\);_(* &quot;-&quot;??_);_(@_)"/>
    </dxf>
  </rfmt>
  <rfmt sheetId="3" sqref="AA20:AA21">
    <dxf>
      <numFmt numFmtId="167" formatCode="_(* #,##0.0_);_(* \(#,##0.0\);_(* &quot;-&quot;??_);_(@_)"/>
    </dxf>
  </rfmt>
  <rfmt sheetId="3" sqref="AA20:AA21">
    <dxf>
      <numFmt numFmtId="165" formatCode="_(* #,##0_);_(* \(#,##0\);_(* &quot;-&quot;??_);_(@_)"/>
    </dxf>
  </rfmt>
  <rfmt sheetId="3" sqref="AA16:AA17">
    <dxf>
      <numFmt numFmtId="35" formatCode="_(* #,##0.00_);_(* \(#,##0.00\);_(* &quot;-&quot;??_);_(@_)"/>
    </dxf>
  </rfmt>
  <rfmt sheetId="3" sqref="AA16:AA17">
    <dxf>
      <numFmt numFmtId="167" formatCode="_(* #,##0.0_);_(* \(#,##0.0\);_(* &quot;-&quot;??_);_(@_)"/>
    </dxf>
  </rfmt>
  <rfmt sheetId="3" sqref="AA16:AA17">
    <dxf>
      <numFmt numFmtId="165" formatCode="_(* #,##0_);_(* \(#,##0\);_(* &quot;-&quot;??_);_(@_)"/>
    </dxf>
  </rfmt>
  <rfmt sheetId="3" sqref="AA4:AA5">
    <dxf>
      <numFmt numFmtId="35" formatCode="_(* #,##0.00_);_(* \(#,##0.00\);_(* &quot;-&quot;??_);_(@_)"/>
    </dxf>
  </rfmt>
  <rfmt sheetId="3" sqref="AA4:AA5">
    <dxf>
      <numFmt numFmtId="167" formatCode="_(* #,##0.0_);_(* \(#,##0.0\);_(* &quot;-&quot;??_);_(@_)"/>
    </dxf>
  </rfmt>
  <rfmt sheetId="3" sqref="AA4:AA5">
    <dxf>
      <numFmt numFmtId="165" formatCode="_(* #,##0_);_(* \(#,##0\);_(* &quot;-&quot;??_);_(@_)"/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7" sId="3">
    <oc r="BE75">
      <f>I75+L75</f>
    </oc>
    <nc r="BE75">
      <f>I75+L75+O75+U75+X75+AA75+AG75+AJ75+AM75+AS75+AV75+AY75</f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</formula>
    <oldFormula>'TSF Prasadam Overall'!$D:$G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6" sId="4">
    <nc r="AA3">
      <f>AA5/'TSF Prasadam Overall'!AA4</f>
    </nc>
  </rcc>
  <rcc rId="2977" sId="4">
    <nc r="AD3">
      <f>AD5/'TSF Prasadam Overall'!AD4</f>
    </nc>
  </rcc>
  <rcc rId="2978" sId="6">
    <nc r="AA3">
      <f>AA5/'TSF Prasadam Overall'!AA4</f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9" sId="3">
    <oc r="AA5">
      <f>'HT Express BSC '!AA6+'HT Stores BSC'!AA6+'HT Fine Dining'!AA6</f>
    </oc>
    <nc r="AA5">
      <f>'HT Express BSC '!AA6+'HT Stores BSC'!AA6+'HT Fine Dining'!AA6</f>
    </nc>
  </rcc>
  <rcc rId="2980" sId="3" odxf="1" dxf="1">
    <nc r="AA13">
      <f>AA17+AA21+AA25</f>
    </nc>
    <odxf>
      <numFmt numFmtId="0" formatCode="General"/>
    </odxf>
    <ndxf>
      <numFmt numFmtId="165" formatCode="_(* #,##0_);_(* \(#,##0\);_(* &quot;-&quot;??_);_(@_)"/>
    </ndxf>
  </rcc>
  <rcc rId="2981" sId="3" odxf="1" dxf="1">
    <nc r="AA14">
      <f>AA12/AA13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2982" sId="3" odxf="1" dxf="1">
    <oc r="AA33">
      <f>'HT Express BSC '!AA6</f>
    </oc>
    <nc r="AA33">
      <f>'HT Express BSC '!AA6</f>
    </nc>
    <odxf>
      <numFmt numFmtId="165" formatCode="_(* #,##0_);_(* \(#,##0\);_(* &quot;-&quot;??_);_(@_)"/>
    </odxf>
    <ndxf>
      <numFmt numFmtId="1" formatCode="0"/>
    </ndxf>
  </rcc>
  <rfmt sheetId="3" sqref="X33 AA33">
    <dxf>
      <numFmt numFmtId="35" formatCode="_(* #,##0.00_);_(* \(#,##0.00\);_(* &quot;-&quot;??_);_(@_)"/>
    </dxf>
  </rfmt>
  <rfmt sheetId="3" sqref="X33 AA33">
    <dxf>
      <numFmt numFmtId="167" formatCode="_(* #,##0.0_);_(* \(#,##0.0\);_(* &quot;-&quot;??_);_(@_)"/>
    </dxf>
  </rfmt>
  <rfmt sheetId="3" sqref="X33 AA33">
    <dxf>
      <numFmt numFmtId="165" formatCode="_(* #,##0_);_(* \(#,##0\);_(* &quot;-&quot;??_);_(@_)"/>
    </dxf>
  </rfmt>
  <rcc rId="2983" sId="3" xfDxf="1" dxf="1">
    <nc r="AA61">
      <v>1268286</v>
    </nc>
    <ndxf>
      <font>
        <sz val="9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84" sId="5">
    <nc r="AA25">
      <v>0.19463155944983251</v>
    </nc>
  </rcc>
  <rcc rId="2985" sId="5">
    <nc r="AA26">
      <v>8.5024836783453545E-2</v>
    </nc>
  </rcc>
  <rcc rId="2986" sId="5">
    <nc r="AA27">
      <v>0.14432481531435654</v>
    </nc>
  </rcc>
  <rcc rId="2987" sId="5">
    <nc r="AA28">
      <v>0.18140757783928807</v>
    </nc>
  </rcc>
  <rcc rId="2988" sId="5">
    <nc r="AA29">
      <v>5.5035009667232064E-2</v>
    </nc>
  </rcc>
  <rcc rId="2989" sId="5">
    <nc r="AA30">
      <v>6.0264936943926983E-2</v>
    </nc>
  </rcc>
  <rcc rId="2990" sId="5">
    <nc r="AA31">
      <v>4.1459603952707827E-2</v>
    </nc>
  </rcc>
  <rcc rId="2991" sId="5">
    <nc r="AA32">
      <v>8.0437754734519043E-2</v>
    </nc>
  </rcc>
  <rcc rId="2992" sId="5">
    <nc r="AA33">
      <v>2.6249385583294187E-2</v>
    </nc>
  </rcc>
  <rcc rId="2993" sId="5">
    <nc r="AA34">
      <v>4.0252638634890765E-2</v>
    </nc>
  </rcc>
  <rcc rId="2994" sId="5">
    <nc r="AA35">
      <v>2.8248052627063983E-2</v>
    </nc>
  </rcc>
  <rcc rId="2995" sId="5">
    <nc r="AA36">
      <v>3.3942350793995955E-2</v>
    </nc>
  </rcc>
  <rcc rId="2996" sId="5">
    <nc r="AA37">
      <v>2.8721477675438509E-2</v>
    </nc>
  </rcc>
  <rfmt sheetId="5" sqref="AA25:AA37">
    <dxf>
      <numFmt numFmtId="14" formatCode="0.00%"/>
    </dxf>
  </rfmt>
  <rfmt sheetId="5" sqref="AA25:AA37">
    <dxf>
      <numFmt numFmtId="173" formatCode="0.0%"/>
    </dxf>
  </rfmt>
  <rfmt sheetId="5" sqref="AA25:AA37">
    <dxf>
      <numFmt numFmtId="13" formatCode="0%"/>
    </dxf>
  </rfmt>
  <rfmt sheetId="5" sqref="X25:X36">
    <dxf>
      <numFmt numFmtId="173" formatCode="0.0%"/>
    </dxf>
  </rfmt>
  <rfmt sheetId="5" sqref="X25:X36">
    <dxf>
      <numFmt numFmtId="13" formatCode="0%"/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D25" start="0" length="0">
    <dxf>
      <numFmt numFmtId="14" formatCode="0.00%"/>
    </dxf>
  </rfmt>
  <rcc rId="2997" sId="5">
    <nc r="AD25">
      <f>SUM(AA25+X25+U25)/3</f>
    </nc>
  </rcc>
  <rcc rId="2998" sId="5" odxf="1" dxf="1">
    <nc r="AD26">
      <f>SUM(AA26+X26+U26)/3</f>
    </nc>
    <odxf>
      <numFmt numFmtId="0" formatCode="General"/>
    </odxf>
    <ndxf>
      <numFmt numFmtId="174" formatCode="0.000000000000000%"/>
    </ndxf>
  </rcc>
  <rcc rId="2999" sId="5" odxf="1" dxf="1">
    <nc r="AD27">
      <f>SUM(AA27+X27+U27)/3</f>
    </nc>
    <odxf>
      <numFmt numFmtId="0" formatCode="General"/>
    </odxf>
    <ndxf>
      <numFmt numFmtId="174" formatCode="0.000000000000000%"/>
    </ndxf>
  </rcc>
  <rcc rId="3000" sId="5" odxf="1" dxf="1">
    <nc r="AD28">
      <f>SUM(AA28+X28+U28)/3</f>
    </nc>
    <odxf>
      <numFmt numFmtId="0" formatCode="General"/>
    </odxf>
    <ndxf>
      <numFmt numFmtId="174" formatCode="0.000000000000000%"/>
    </ndxf>
  </rcc>
  <rcc rId="3001" sId="5" odxf="1" dxf="1">
    <nc r="AD29">
      <f>SUM(AA29+X29+U29)/3</f>
    </nc>
    <odxf>
      <numFmt numFmtId="0" formatCode="General"/>
    </odxf>
    <ndxf>
      <numFmt numFmtId="174" formatCode="0.000000000000000%"/>
    </ndxf>
  </rcc>
  <rcc rId="3002" sId="5" odxf="1" dxf="1">
    <nc r="AD30">
      <f>SUM(AA30+X30+U30)/3</f>
    </nc>
    <odxf>
      <numFmt numFmtId="0" formatCode="General"/>
    </odxf>
    <ndxf>
      <numFmt numFmtId="174" formatCode="0.000000000000000%"/>
    </ndxf>
  </rcc>
  <rcc rId="3003" sId="5" odxf="1" dxf="1">
    <nc r="AD31">
      <f>SUM(AA31+X31+U31)/3</f>
    </nc>
    <odxf>
      <numFmt numFmtId="0" formatCode="General"/>
    </odxf>
    <ndxf>
      <numFmt numFmtId="174" formatCode="0.000000000000000%"/>
    </ndxf>
  </rcc>
  <rcc rId="3004" sId="5" odxf="1" dxf="1">
    <nc r="AD32">
      <f>SUM(AA32+X32+U32)/3</f>
    </nc>
    <odxf>
      <numFmt numFmtId="0" formatCode="General"/>
    </odxf>
    <ndxf>
      <numFmt numFmtId="174" formatCode="0.000000000000000%"/>
    </ndxf>
  </rcc>
  <rcc rId="3005" sId="5" odxf="1" dxf="1">
    <nc r="AD33">
      <f>SUM(AA33+X33+U33)/3</f>
    </nc>
    <odxf>
      <numFmt numFmtId="0" formatCode="General"/>
    </odxf>
    <ndxf>
      <numFmt numFmtId="174" formatCode="0.000000000000000%"/>
    </ndxf>
  </rcc>
  <rcc rId="3006" sId="5" odxf="1" dxf="1">
    <nc r="AD34">
      <f>SUM(AA34+X34+U34)/3</f>
    </nc>
    <odxf>
      <numFmt numFmtId="0" formatCode="General"/>
    </odxf>
    <ndxf>
      <numFmt numFmtId="174" formatCode="0.000000000000000%"/>
    </ndxf>
  </rcc>
  <rcc rId="3007" sId="5" odxf="1" dxf="1">
    <nc r="AD35">
      <f>SUM(AA35+X35+U35)/3</f>
    </nc>
    <odxf>
      <numFmt numFmtId="0" formatCode="General"/>
    </odxf>
    <ndxf>
      <numFmt numFmtId="174" formatCode="0.000000000000000%"/>
    </ndxf>
  </rcc>
  <rcc rId="3008" sId="5" odxf="1" dxf="1">
    <nc r="AD36">
      <f>SUM(AA36+X36+U36)/3</f>
    </nc>
    <odxf>
      <numFmt numFmtId="0" formatCode="General"/>
    </odxf>
    <ndxf>
      <numFmt numFmtId="174" formatCode="0.000000000000000%"/>
    </ndxf>
  </rcc>
  <rcc rId="3009" sId="5" odxf="1" dxf="1">
    <nc r="AD37">
      <f>SUM(AA37+X37+U37)/3</f>
    </nc>
    <odxf>
      <numFmt numFmtId="0" formatCode="General"/>
    </odxf>
    <ndxf>
      <numFmt numFmtId="174" formatCode="0.000000000000000%"/>
    </ndxf>
  </rcc>
  <rcc rId="3010" sId="5">
    <oc r="U37" t="inlineStr">
      <is>
        <t>NA</t>
      </is>
    </oc>
    <nc r="U37">
      <v>0</v>
    </nc>
  </rcc>
  <rfmt sheetId="5" sqref="AD25:AD37">
    <dxf>
      <numFmt numFmtId="175" formatCode="0.00000000000000%"/>
    </dxf>
  </rfmt>
  <rfmt sheetId="5" sqref="AD25:AD37">
    <dxf>
      <numFmt numFmtId="176" formatCode="0.0000000000000%"/>
    </dxf>
  </rfmt>
  <rfmt sheetId="5" sqref="AD25:AD37">
    <dxf>
      <numFmt numFmtId="177" formatCode="0.000000000000%"/>
    </dxf>
  </rfmt>
  <rfmt sheetId="5" sqref="AD25:AD37">
    <dxf>
      <numFmt numFmtId="178" formatCode="0.00000000000%"/>
    </dxf>
  </rfmt>
  <rfmt sheetId="5" sqref="AD25:AD37">
    <dxf>
      <numFmt numFmtId="179" formatCode="0.0000000000%"/>
    </dxf>
  </rfmt>
  <rfmt sheetId="5" sqref="AD25:AD37">
    <dxf>
      <numFmt numFmtId="180" formatCode="0.000000000%"/>
    </dxf>
  </rfmt>
  <rfmt sheetId="5" sqref="AD25:AD37">
    <dxf>
      <numFmt numFmtId="181" formatCode="0.00000000%"/>
    </dxf>
  </rfmt>
  <rfmt sheetId="5" sqref="AD25:AD37">
    <dxf>
      <numFmt numFmtId="182" formatCode="0.0000000%"/>
    </dxf>
  </rfmt>
  <rfmt sheetId="5" sqref="AD25:AD37">
    <dxf>
      <numFmt numFmtId="183" formatCode="0.000000%"/>
    </dxf>
  </rfmt>
  <rfmt sheetId="5" sqref="AD25:AD37">
    <dxf>
      <numFmt numFmtId="184" formatCode="0.00000%"/>
    </dxf>
  </rfmt>
  <rfmt sheetId="5" sqref="AD25:AD37">
    <dxf>
      <numFmt numFmtId="185" formatCode="0.0000%"/>
    </dxf>
  </rfmt>
  <rfmt sheetId="5" sqref="AD25:AD37">
    <dxf>
      <numFmt numFmtId="186" formatCode="0.000%"/>
    </dxf>
  </rfmt>
  <rfmt sheetId="5" sqref="AD25:AD37">
    <dxf>
      <numFmt numFmtId="14" formatCode="0.00%"/>
    </dxf>
  </rfmt>
  <rfmt sheetId="5" sqref="AD25:AD37">
    <dxf>
      <numFmt numFmtId="173" formatCode="0.0%"/>
    </dxf>
  </rfmt>
  <rfmt sheetId="5" sqref="AD25:AD37">
    <dxf>
      <numFmt numFmtId="13" formatCode="0%"/>
    </dxf>
  </rfmt>
  <rcc rId="3011" sId="3">
    <oc r="AA61">
      <v>1268286</v>
    </oc>
    <nc r="AA61">
      <v>0.21746004258214033</v>
    </nc>
  </rcc>
  <rcc rId="3012" sId="3">
    <nc r="AA62">
      <v>7.9448638123268842E-2</v>
    </nc>
  </rcc>
  <rcc rId="3013" sId="3">
    <nc r="AA63">
      <v>0.15214584811493936</v>
    </nc>
  </rcc>
  <rcc rId="3014" sId="3">
    <nc r="AA64">
      <v>0.17748579867392164</v>
    </nc>
  </rcc>
  <rcc rId="3015" sId="3">
    <nc r="AA65">
      <v>5.9676963646030291E-2</v>
    </nc>
  </rcc>
  <rcc rId="3016" sId="3">
    <nc r="AA66">
      <v>3.9059681359835952E-2</v>
    </nc>
  </rcc>
  <rcc rId="3017" sId="3">
    <nc r="AA67">
      <v>4.511071454325951E-2</v>
    </nc>
  </rcc>
  <rcc rId="3018" sId="3">
    <nc r="AA68">
      <v>8.988711968082036E-2</v>
    </nc>
  </rcc>
  <rcc rId="3019" sId="3">
    <nc r="AA69">
      <v>2.5870003160003707E-2</v>
    </nc>
  </rcc>
  <rcc rId="3020" sId="3">
    <nc r="AA70">
      <v>3.8720295215716585E-2</v>
    </nc>
  </rcc>
  <rcc rId="3021" sId="3">
    <nc r="AA71">
      <v>2.9912831234967751E-2</v>
    </nc>
  </rcc>
  <rcc rId="3022" sId="3">
    <nc r="AA72">
      <v>3.5634026629056036E-2</v>
    </nc>
  </rcc>
  <rcc rId="3023" sId="3">
    <nc r="AA73">
      <v>9.5738258918128365E-3</v>
    </nc>
  </rcc>
  <rfmt sheetId="3" sqref="AA61:AA73">
    <dxf>
      <numFmt numFmtId="14" formatCode="0.00%"/>
    </dxf>
  </rfmt>
  <rfmt sheetId="3" sqref="AA61:AA73">
    <dxf>
      <numFmt numFmtId="173" formatCode="0.0%"/>
    </dxf>
  </rfmt>
  <rfmt sheetId="3" sqref="AA61:AA73">
    <dxf>
      <numFmt numFmtId="13" formatCode="0%"/>
    </dxf>
  </rfmt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Overall'!$AG:$BD</formula>
    <oldFormula>'TSF Prasadam Overall'!$D:$G,'TSF Prasadam Overall'!$AG:$BD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</formula>
    <oldFormula>'HT Express BSC '!$D:$H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</formula>
    <oldFormula>'HT Stores BSC'!$D:$G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</formula>
    <oldFormula>'HT Fine Dining'!$D:$G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5" sId="3">
    <nc r="AA84">
      <v>609564.80000000005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6" sId="3">
    <oc r="AA87">
      <f>'HT Express BSC '!AA56+'HT Stores BSC'!AA48+'HT Fine Dining'!AB26</f>
    </oc>
    <nc r="AA87">
      <f>'HT Express BSC '!AA56+'HT Stores BSC'!AA48+'HT Fine Dining'!AA26</f>
    </nc>
  </rcc>
  <rcc rId="3037" sId="3">
    <oc r="AA88">
      <f>'HT Express BSC '!AA57+'HT Stores BSC'!AA49+'HT Fine Dining'!AB27</f>
    </oc>
    <nc r="AA88">
      <f>'HT Express BSC '!AA57+'HT Stores BSC'!AA49+'HT Fine Dining'!AA27</f>
    </nc>
  </rcc>
  <rcc rId="3038" sId="3">
    <oc r="AA89">
      <f>'HT Express BSC '!AA58+'HT Stores BSC'!AA50+'HT Fine Dining'!AB28</f>
    </oc>
    <nc r="AA89">
      <f>'HT Express BSC '!AA58+'HT Stores BSC'!AA50+'HT Fine Dining'!AA28</f>
    </nc>
  </rcc>
  <rcc rId="3039" sId="3" numFmtId="34">
    <oc r="AA93">
      <f>'HT Express BSC '!AA62+'HT Stores BSC'!AA54+'HT Fine Dining'!AA32</f>
    </oc>
    <nc r="AA93">
      <v>458636</v>
    </nc>
  </rcc>
  <rcc rId="3040" sId="3" numFmtId="34">
    <oc r="AA94">
      <f>'HT Express BSC '!AA63+'HT Stores BSC'!AA55+'HT Fine Dining'!AA33</f>
    </oc>
    <nc r="AA94">
      <v>320358</v>
    </nc>
  </rcc>
  <rcc rId="3041" sId="3">
    <oc r="AA97">
      <f>'HT Express BSC '!AA66+'HT Stores BSC'!AA58+'HT Fine Dining'!AA36</f>
    </oc>
    <nc r="AA97"/>
  </rcc>
  <rcc rId="3042" sId="3">
    <oc r="AA98">
      <f>'HT Express BSC '!AA67+'HT Stores BSC'!AA59+'HT Fine Dining'!AA37</f>
    </oc>
    <nc r="AA98"/>
  </rcc>
  <rcc rId="3043" sId="3">
    <oc r="AA90">
      <f>AA85-SUM(AA87:AA89)</f>
    </oc>
    <nc r="AA90">
      <f>AA85-SUM(AA87:AA89)</f>
    </nc>
  </rcc>
  <rcc rId="3044" sId="3">
    <oc r="AA100">
      <f>AA90-SUM(AA92:AA98)</f>
    </oc>
    <nc r="AA100">
      <f>AA90-SUM(AA92:AA98)</f>
    </nc>
  </rcc>
  <rcc rId="3045" sId="3">
    <oc r="AA92">
      <f>'HT Express BSC '!AA61+'HT Stores BSC'!AA53+'HT Fine Dining'!AA31</f>
    </oc>
    <nc r="AA92">
      <f>2767388+1528713</f>
    </nc>
  </rcc>
  <rcc rId="3046" sId="3">
    <oc r="AA95">
      <f>'HT Express BSC '!AA64+'HT Stores BSC'!AA56+'HT Fine Dining'!AA34</f>
    </oc>
    <nc r="AA95">
      <f>683089.64+710839</f>
    </nc>
  </rcc>
  <rcc rId="3047" sId="3">
    <oc r="AA96">
      <f>'HT Express BSC '!AA65+'HT Stores BSC'!AA57+'HT Fine Dining'!AA35</f>
    </oc>
    <nc r="AA96">
      <f>600+116308</f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A12" start="0" length="2147483647">
    <dxf>
      <font>
        <b/>
      </font>
    </dxf>
  </rfmt>
  <rcc rId="3048" sId="3">
    <oc r="AA100">
      <f>AA90-SUM(AA92:AA98)</f>
    </oc>
    <nc r="AA100">
      <f>AA90-SUM(AA92:AA98)</f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A58">
    <dxf>
      <fill>
        <patternFill patternType="none">
          <bgColor auto="1"/>
        </patternFill>
      </fill>
    </dxf>
  </rfmt>
  <rcc rId="3049" sId="3">
    <nc r="BI84">
      <f>+'HT Express BSC '!AA53+'HT Stores BSC'!AA45+'HT Fine Dining'!AA23</f>
    </nc>
  </rcc>
  <rcc rId="3050" sId="3" odxf="1" dxf="1">
    <nc r="BI85">
      <f>+AA85-'HT Express BSC '!AA54-'HT Stores BSC'!AA46-'HT Fine Dining'!AA24</f>
    </nc>
    <odxf>
      <numFmt numFmtId="0" formatCode="General"/>
    </odxf>
    <ndxf>
      <numFmt numFmtId="165" formatCode="_(* #,##0_);_(* \(#,##0\);_(* &quot;-&quot;??_);_(@_)"/>
    </ndxf>
  </rcc>
  <rcc rId="3051" sId="3" odxf="1" dxf="1">
    <nc r="BI86">
      <f>+AA86-'HT Express BSC '!AA55-'HT Stores BSC'!AA47-'HT Fine Dining'!AA25</f>
    </nc>
    <ndxf>
      <numFmt numFmtId="165" formatCode="_(* #,##0_);_(* \(#,##0\);_(* &quot;-&quot;??_);_(@_)"/>
    </ndxf>
  </rcc>
  <rcc rId="3052" sId="3" odxf="1" dxf="1">
    <nc r="BI87">
      <f>+AA87-'HT Express BSC '!AA56-'HT Stores BSC'!AA48-'HT Fine Dining'!AA26</f>
    </nc>
    <ndxf>
      <numFmt numFmtId="165" formatCode="_(* #,##0_);_(* \(#,##0\);_(* &quot;-&quot;??_);_(@_)"/>
    </ndxf>
  </rcc>
  <rcc rId="3053" sId="3" odxf="1" dxf="1">
    <nc r="BI88">
      <f>+AA88-'HT Express BSC '!AA57-'HT Stores BSC'!AA49-'HT Fine Dining'!AA27</f>
    </nc>
    <odxf>
      <numFmt numFmtId="0" formatCode="General"/>
    </odxf>
    <ndxf>
      <numFmt numFmtId="165" formatCode="_(* #,##0_);_(* \(#,##0\);_(* &quot;-&quot;??_);_(@_)"/>
    </ndxf>
  </rcc>
  <rcc rId="3054" sId="3" odxf="1" dxf="1">
    <nc r="BI89">
      <f>+AA89-'HT Express BSC '!AA58-'HT Stores BSC'!AA50-'HT Fine Dining'!AA28</f>
    </nc>
    <odxf>
      <numFmt numFmtId="0" formatCode="General"/>
    </odxf>
    <ndxf>
      <numFmt numFmtId="165" formatCode="_(* #,##0_);_(* \(#,##0\);_(* &quot;-&quot;??_);_(@_)"/>
    </ndxf>
  </rcc>
  <rcc rId="3055" sId="3" odxf="1" dxf="1">
    <nc r="BI90">
      <f>+AA90-'HT Express BSC '!AA59-'HT Stores BSC'!AA51-'HT Fine Dining'!AA29</f>
    </nc>
    <odxf>
      <numFmt numFmtId="0" formatCode="General"/>
    </odxf>
    <ndxf>
      <numFmt numFmtId="165" formatCode="_(* #,##0_);_(* \(#,##0\);_(* &quot;-&quot;??_);_(@_)"/>
    </ndxf>
  </rcc>
  <rcc rId="3056" sId="3" odxf="1" dxf="1">
    <nc r="BI91">
      <f>+AA91-'HT Express BSC '!AA60-'HT Stores BSC'!AA52-'HT Fine Dining'!AA30</f>
    </nc>
    <odxf>
      <numFmt numFmtId="0" formatCode="General"/>
    </odxf>
    <ndxf>
      <numFmt numFmtId="165" formatCode="_(* #,##0_);_(* \(#,##0\);_(* &quot;-&quot;??_);_(@_)"/>
    </ndxf>
  </rcc>
  <rcc rId="3057" sId="3" odxf="1" dxf="1">
    <nc r="BI92">
      <f>+AA92-'HT Express BSC '!AA61-'HT Stores BSC'!AA53-'HT Fine Dining'!AA31</f>
    </nc>
    <ndxf>
      <numFmt numFmtId="165" formatCode="_(* #,##0_);_(* \(#,##0\);_(* &quot;-&quot;??_);_(@_)"/>
    </ndxf>
  </rcc>
  <rcc rId="3058" sId="3" odxf="1" dxf="1">
    <nc r="BI93">
      <f>+AA93-'HT Express BSC '!AA62-'HT Stores BSC'!AA54-'HT Fine Dining'!AA32</f>
    </nc>
    <ndxf>
      <numFmt numFmtId="165" formatCode="_(* #,##0_);_(* \(#,##0\);_(* &quot;-&quot;??_);_(@_)"/>
    </ndxf>
  </rcc>
  <rcc rId="3059" sId="3" odxf="1" dxf="1">
    <nc r="BI94">
      <f>+AA94-'HT Express BSC '!AA63-'HT Stores BSC'!AA55-'HT Fine Dining'!AA33</f>
    </nc>
    <odxf>
      <numFmt numFmtId="0" formatCode="General"/>
    </odxf>
    <ndxf>
      <numFmt numFmtId="165" formatCode="_(* #,##0_);_(* \(#,##0\);_(* &quot;-&quot;??_);_(@_)"/>
    </ndxf>
  </rcc>
  <rcc rId="3060" sId="3" odxf="1" dxf="1">
    <nc r="BI95">
      <f>+AA95-'HT Express BSC '!AA64-'HT Stores BSC'!AA56-'HT Fine Dining'!AA34</f>
    </nc>
    <odxf>
      <numFmt numFmtId="0" formatCode="General"/>
    </odxf>
    <ndxf>
      <numFmt numFmtId="165" formatCode="_(* #,##0_);_(* \(#,##0\);_(* &quot;-&quot;??_);_(@_)"/>
    </ndxf>
  </rcc>
  <rcc rId="3061" sId="3" odxf="1" dxf="1">
    <nc r="BI96">
      <f>+AA96-'HT Express BSC '!AA65-'HT Stores BSC'!AA57-'HT Fine Dining'!AA35</f>
    </nc>
    <odxf>
      <numFmt numFmtId="0" formatCode="General"/>
    </odxf>
    <ndxf>
      <numFmt numFmtId="165" formatCode="_(* #,##0_);_(* \(#,##0\);_(* &quot;-&quot;??_);_(@_)"/>
    </ndxf>
  </rcc>
  <rcc rId="3062" sId="3" odxf="1" dxf="1">
    <nc r="BI97">
      <f>+AA97-'HT Express BSC '!AA66-'HT Stores BSC'!AA58-'HT Fine Dining'!AA36</f>
    </nc>
    <odxf>
      <numFmt numFmtId="0" formatCode="General"/>
    </odxf>
    <ndxf>
      <numFmt numFmtId="165" formatCode="_(* #,##0_);_(* \(#,##0\);_(* &quot;-&quot;??_);_(@_)"/>
    </ndxf>
  </rcc>
  <rcc rId="3063" sId="3" odxf="1" dxf="1">
    <nc r="BI98">
      <f>+AA98-'HT Express BSC '!AA67-'HT Stores BSC'!AA59-'HT Fine Dining'!AA37</f>
    </nc>
    <odxf>
      <numFmt numFmtId="0" formatCode="General"/>
    </odxf>
    <ndxf>
      <numFmt numFmtId="165" formatCode="_(* #,##0_);_(* \(#,##0\);_(* &quot;-&quot;??_);_(@_)"/>
    </ndxf>
  </rcc>
  <rcc rId="3064" sId="3" numFmtId="34">
    <oc r="AA93">
      <v>458636</v>
    </oc>
    <nc r="AA93">
      <f>+'HT Express BSC '!AA62+'HT Stores BSC'!AA54+'HT Fine Dining'!AA32</f>
    </nc>
  </rcc>
  <rcc rId="3065" sId="3" odxf="1" dxf="1">
    <nc r="BI100">
      <f>+AA100-'H:\BSC\2014-15\Back end files\[6.Sep''14.xlsx]Level 1 '!$G$16</f>
    </nc>
    <odxf>
      <numFmt numFmtId="0" formatCode="General"/>
    </odxf>
    <ndxf>
      <numFmt numFmtId="165" formatCode="_(* #,##0_);_(* \(#,##0\);_(* &quot;-&quot;??_);_(@_)"/>
    </ndxf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Overall'!$D:$G,'TSF Prasadam Overall'!$I:$Z,'TSF Prasadam Overall'!$AD:$BD</formula>
    <oldFormula>'TSF Prasadam Overall'!$D:$G,'TSF Prasadam Overall'!$AG:$BD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</formula>
    <oldFormula>'HT Express BSC '!$D:$H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</formula>
    <oldFormula>'HT Stores BSC'!$D:$G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</formula>
    <oldFormula>'HT Fine Dining'!$D:$G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7" sId="3" numFmtId="34">
    <nc r="AA97">
      <v>-1000</v>
    </nc>
  </rcc>
  <rcc rId="3078" sId="3">
    <oc r="BI84">
      <f>+'HT Express BSC '!AA53+'HT Stores BSC'!AA45+'HT Fine Dining'!AA23</f>
    </oc>
    <nc r="BI84"/>
  </rcc>
  <rcc rId="3079" sId="3">
    <oc r="BI85">
      <f>+AA85-'HT Express BSC '!AA54-'HT Stores BSC'!AA46-'HT Fine Dining'!AA24</f>
    </oc>
    <nc r="BI85"/>
  </rcc>
  <rcc rId="3080" sId="3">
    <oc r="BI86">
      <f>+AA86-'HT Express BSC '!AA55-'HT Stores BSC'!AA47-'HT Fine Dining'!AA25</f>
    </oc>
    <nc r="BI86"/>
  </rcc>
  <rcc rId="3081" sId="3">
    <oc r="BI87">
      <f>+AA87-'HT Express BSC '!AA56-'HT Stores BSC'!AA48-'HT Fine Dining'!AA26</f>
    </oc>
    <nc r="BI87"/>
  </rcc>
  <rcc rId="3082" sId="3">
    <oc r="BI88">
      <f>+AA88-'HT Express BSC '!AA57-'HT Stores BSC'!AA49-'HT Fine Dining'!AA27</f>
    </oc>
    <nc r="BI88"/>
  </rcc>
  <rcc rId="3083" sId="3">
    <oc r="BI89">
      <f>+AA89-'HT Express BSC '!AA58-'HT Stores BSC'!AA50-'HT Fine Dining'!AA28</f>
    </oc>
    <nc r="BI89"/>
  </rcc>
  <rcc rId="3084" sId="3">
    <oc r="BI90">
      <f>+AA90-'HT Express BSC '!AA59-'HT Stores BSC'!AA51-'HT Fine Dining'!AA29</f>
    </oc>
    <nc r="BI90"/>
  </rcc>
  <rcc rId="3085" sId="3">
    <oc r="BI91">
      <f>+AA91-'HT Express BSC '!AA60-'HT Stores BSC'!AA52-'HT Fine Dining'!AA30</f>
    </oc>
    <nc r="BI91"/>
  </rcc>
  <rcc rId="3086" sId="3">
    <oc r="BI92">
      <f>+AA92-'HT Express BSC '!AA61-'HT Stores BSC'!AA53-'HT Fine Dining'!AA31</f>
    </oc>
    <nc r="BI92"/>
  </rcc>
  <rcc rId="3087" sId="3">
    <oc r="BI93">
      <f>+AA93-'HT Express BSC '!AA62-'HT Stores BSC'!AA54-'HT Fine Dining'!AA32</f>
    </oc>
    <nc r="BI93"/>
  </rcc>
  <rcc rId="3088" sId="3">
    <oc r="BI94">
      <f>+AA94-'HT Express BSC '!AA63-'HT Stores BSC'!AA55-'HT Fine Dining'!AA33</f>
    </oc>
    <nc r="BI94"/>
  </rcc>
  <rcc rId="3089" sId="3">
    <oc r="BI95">
      <f>+AA95-'HT Express BSC '!AA64-'HT Stores BSC'!AA56-'HT Fine Dining'!AA34</f>
    </oc>
    <nc r="BI95"/>
  </rcc>
  <rcc rId="3090" sId="3">
    <oc r="BI96">
      <f>+AA96-'HT Express BSC '!AA65-'HT Stores BSC'!AA57-'HT Fine Dining'!AA35</f>
    </oc>
    <nc r="BI96"/>
  </rcc>
  <rcc rId="3091" sId="3">
    <oc r="BI97">
      <f>+AA97-'HT Express BSC '!AA66-'HT Stores BSC'!AA58-'HT Fine Dining'!AA36</f>
    </oc>
    <nc r="BI97"/>
  </rcc>
  <rcc rId="3092" sId="3">
    <oc r="BI98">
      <f>+AA98-'HT Express BSC '!AA67-'HT Stores BSC'!AA59-'HT Fine Dining'!AA37</f>
    </oc>
    <nc r="BI98"/>
  </rcc>
  <rcc rId="3093" sId="3">
    <oc r="BI100">
      <f>+AA100-'H:\BSC\2014-15\Back end files\[6.Sep''14.xlsx]Level 1 '!$G$16</f>
    </oc>
    <nc r="BI100"/>
  </rcc>
  <rcc rId="3094" sId="3" numFmtId="34">
    <oc r="AA93">
      <f>+'HT Express BSC '!AA62+'HT Stores BSC'!AA54+'HT Fine Dining'!AA32</f>
    </oc>
    <nc r="AA93">
      <v>229318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Overall'!$D:$F,'TSF Prasadam Overall'!$AD:$BD</formula>
    <oldFormula>'TSF Prasadam Overall'!$D:$G,'TSF Prasadam Overall'!$I:$Z,'TSF Prasadam Overall'!$AD:$BD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</formula>
    <oldFormula>'HT Express BSC '!$D:$H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</formula>
    <oldFormula>'HT Stores BSC'!$D:$G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</formula>
    <oldFormula>'HT Fine Dining'!$D:$G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</formula>
    <oldFormula>'TSF Prasadam Overall'!$D:$F,'TSF Prasadam Overall'!$AD:$BD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</formula>
    <oldFormula>'HT Express BSC '!$D:$H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</formula>
    <oldFormula>'HT Stores BSC'!$D:$G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</formula>
    <oldFormula>'HT Fine Dining'!$D:$G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9" sId="3">
    <oc r="BE5">
      <f>I5+L5+O5+U5+X5+AA5+AG5+AJ5+AM5+AS5+AV5+AY5</f>
    </oc>
    <nc r="BE5">
      <f>I5+L5+O5+U5+X5+AA5+AG5+AJ5+AM5+AS5+AV5+AY5</f>
    </nc>
  </rcc>
  <rcc rId="2260" sId="3">
    <oc r="BE13">
      <f>I13+L13+O13+U13+X13+AA13+AG13+AJ13+AM13+AS13+AV13+AY13</f>
    </oc>
    <nc r="BE13">
      <f>I13+L13+O13+U13+X13+AA13+AG13+AJ13+AM13+AS13+AV13+AY13</f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Overall'!$D:$G</formula>
    <oldFormula>'TSF Prasadam Overall'!$D:$G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'!$AA:$BD</formula>
    <oldFormula>'HT Express BSC '!$D:$H,'HT Express BSC '!$AA:$BD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BSC'!$AA:$BD</formula>
    <oldFormula>'HT Stores BSC'!$D:$G,'HT Stores BSC'!$AA:$BD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Dining'!$AA:$BD</formula>
    <oldFormula>'HT Fine Dining'!$D:$G,'HT Fine Dining'!$AA:$BD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D8" start="0" length="0">
    <dxf>
      <numFmt numFmtId="13" formatCode="0%"/>
      <border outline="0">
        <left style="medium">
          <color indexed="64"/>
        </left>
      </border>
    </dxf>
  </rfmt>
  <rcc rId="3117" sId="3">
    <nc r="AD8">
      <f>'HT Stores BSC'!AD5/'TSF Prasadam Overall'!AD4</f>
    </nc>
  </rcc>
  <rcc rId="3118" sId="3" odxf="1" dxf="1">
    <nc r="AD9">
      <f>'HT Express BSC '!AD5/'TSF Prasadam Overall'!AD4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119" sId="3" odxf="1" dxf="1">
    <nc r="AD10">
      <f>'HT Fine Dining'!AD5/'TSF Prasadam Overall'!AD4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120" sId="3" odxf="1" s="1" dxf="1">
    <nc r="AD12">
      <f>U12+X12+AA12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21" sId="3" odxf="1" s="1" dxf="1">
    <nc r="AD13">
      <f>U13+X13+AA13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22" sId="3" odxf="1" dxf="1">
    <nc r="AD14">
      <f>AD12/AD13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123" sId="3" odxf="1" s="1" dxf="1">
    <nc r="AD16">
      <f>U16+X16+AA16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24" sId="3" odxf="1" s="1" dxf="1">
    <nc r="AD17">
      <f>U17+X17+AA17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25" sId="3" odxf="1" dxf="1">
    <nc r="AD18">
      <f>AD16/AD17</f>
    </nc>
    <odxf>
      <numFmt numFmtId="0" formatCode="General"/>
    </odxf>
    <ndxf>
      <numFmt numFmtId="13" formatCode="0%"/>
    </ndxf>
  </rcc>
  <rcc rId="3126" sId="3" odxf="1" s="1" dxf="1">
    <nc r="AD20">
      <f>U20+X20+AA20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27" sId="3" odxf="1" s="1" dxf="1">
    <nc r="AD21">
      <f>U21+X21+AA21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28" sId="3" odxf="1" dxf="1">
    <nc r="AD22">
      <f>AD20/AD21</f>
    </nc>
    <odxf>
      <numFmt numFmtId="0" formatCode="General"/>
    </odxf>
    <ndxf>
      <numFmt numFmtId="13" formatCode="0%"/>
    </ndxf>
  </rcc>
  <rcc rId="3129" sId="3" odxf="1" s="1" dxf="1">
    <nc r="AD24">
      <f>U24+X24+AA24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30" sId="3" odxf="1" s="1" dxf="1">
    <nc r="AD25">
      <f>U25+X25+AA25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31" sId="3" odxf="1" dxf="1">
    <nc r="AD26">
      <f>AD24/AD25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132" sId="3" odxf="1" s="1" dxf="1">
    <nc r="AD28">
      <f>AD16/AD12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133" sId="3" odxf="1" s="1" dxf="1">
    <nc r="AD29">
      <f>AD20/AD12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134" sId="3" odxf="1" s="1" dxf="1">
    <nc r="AD30">
      <f>AD24/AD12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35" sId="3" odxf="1" s="1" dxf="1">
    <nc r="AD32">
      <f>U32+X32+AA32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36" sId="3" odxf="1" s="1" dxf="1">
    <nc r="AD33">
      <f>U33+X33+AA33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37" sId="3" odxf="1" dxf="1">
    <nc r="AD34">
      <f>AD32/AD33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138" sId="3" odxf="1" s="1" dxf="1">
    <nc r="AD36">
      <f>U36+X36+AA36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39" sId="3" odxf="1" s="1" dxf="1">
    <nc r="AD37">
      <f>U37+X37+AA37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40" sId="3" odxf="1" dxf="1">
    <nc r="AD38">
      <f>AD36/AD37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1" sId="3" odxf="1" s="1" dxf="1">
    <nc r="AD40">
      <f>U40+X40+AA40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42" sId="3" odxf="1" s="1" dxf="1">
    <nc r="AD41">
      <f>U41+X41+AA41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43" sId="3" odxf="1" dxf="1">
    <nc r="AD42">
      <f>AD40/AD41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4" sId="3" odxf="1" s="1" dxf="1">
    <nc r="AD44">
      <f>U44+X44+AA44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45" sId="3" odxf="1" s="1" dxf="1">
    <nc r="AD45">
      <f>U45+X45+AA45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46" sId="3" odxf="1" dxf="1">
    <nc r="AD46">
      <f>AD44/AD45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7" sId="3" odxf="1" s="1" dxf="1">
    <nc r="AD48">
      <f>U48+X48+AA48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48" sId="3" odxf="1" s="1" dxf="1">
    <nc r="AD49">
      <f>U49+X49+AA49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49" sId="3" odxf="1" dxf="1">
    <nc r="AD50">
      <f>AD48/AD49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150" sId="3" odxf="1" s="1" dxf="1">
    <nc r="AD52">
      <f>AD36/AD32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151" sId="3" odxf="1" s="1" dxf="1">
    <nc r="AD53">
      <f>AD40/AD32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152" sId="3" odxf="1" s="1" dxf="1">
    <nc r="AD54">
      <f>AD44/AD32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153" sId="3" odxf="1" s="1" dxf="1">
    <nc r="AD55">
      <f>AD48/AD32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border outline="0">
        <left style="medium">
          <color indexed="64"/>
        </left>
      </border>
    </ndxf>
  </rcc>
  <rcc rId="3154" sId="3" odxf="1" s="1" dxf="1">
    <nc r="AD57">
      <f>U57+X57+AA57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55" sId="3" odxf="1" s="1" dxf="1">
    <nc r="AD58">
      <f>U58+X58+AA58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56" sId="3" odxf="1" dxf="1">
    <nc r="AD59">
      <f>AD57/AD58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157" sId="3">
    <nc r="AD61">
      <f>(AA61+X61+U61)/3</f>
    </nc>
  </rcc>
  <rfmt sheetId="3" sqref="AD61">
    <dxf>
      <numFmt numFmtId="14" formatCode="0.00%"/>
    </dxf>
  </rfmt>
  <rcc rId="3158" sId="3" odxf="1" dxf="1">
    <nc r="AD62">
      <f>(AA62+X62+U62)/3</f>
    </nc>
    <odxf>
      <numFmt numFmtId="0" formatCode="General"/>
    </odxf>
    <ndxf>
      <numFmt numFmtId="14" formatCode="0.00%"/>
    </ndxf>
  </rcc>
  <rcc rId="3159" sId="3" odxf="1" dxf="1">
    <nc r="AD63">
      <f>(AA63+X63+U63)/3</f>
    </nc>
    <odxf>
      <numFmt numFmtId="0" formatCode="General"/>
    </odxf>
    <ndxf>
      <numFmt numFmtId="14" formatCode="0.00%"/>
    </ndxf>
  </rcc>
  <rcc rId="3160" sId="3" odxf="1" dxf="1">
    <nc r="AD64">
      <f>(AA64+X64+U64)/3</f>
    </nc>
    <odxf>
      <numFmt numFmtId="0" formatCode="General"/>
    </odxf>
    <ndxf>
      <numFmt numFmtId="14" formatCode="0.00%"/>
    </ndxf>
  </rcc>
  <rcc rId="3161" sId="3" odxf="1" dxf="1">
    <nc r="AD65">
      <f>(AA65+X65+U65)/3</f>
    </nc>
    <odxf>
      <numFmt numFmtId="0" formatCode="General"/>
    </odxf>
    <ndxf>
      <numFmt numFmtId="14" formatCode="0.00%"/>
    </ndxf>
  </rcc>
  <rcc rId="3162" sId="3" odxf="1" dxf="1">
    <nc r="AD66">
      <f>(AA66+X66+U66)/3</f>
    </nc>
    <odxf>
      <numFmt numFmtId="0" formatCode="General"/>
    </odxf>
    <ndxf>
      <numFmt numFmtId="14" formatCode="0.00%"/>
    </ndxf>
  </rcc>
  <rcc rId="3163" sId="3" odxf="1" dxf="1">
    <nc r="AD67">
      <f>(AA67+X67+U67)/3</f>
    </nc>
    <odxf>
      <numFmt numFmtId="0" formatCode="General"/>
    </odxf>
    <ndxf>
      <numFmt numFmtId="14" formatCode="0.00%"/>
    </ndxf>
  </rcc>
  <rcc rId="3164" sId="3" odxf="1" dxf="1">
    <nc r="AD68">
      <f>(AA68+X68+U68)/3</f>
    </nc>
    <odxf>
      <numFmt numFmtId="0" formatCode="General"/>
    </odxf>
    <ndxf>
      <numFmt numFmtId="14" formatCode="0.00%"/>
    </ndxf>
  </rcc>
  <rcc rId="3165" sId="3" odxf="1" dxf="1">
    <nc r="AD69">
      <f>(AA69+X69+U69)/3</f>
    </nc>
    <odxf>
      <numFmt numFmtId="0" formatCode="General"/>
    </odxf>
    <ndxf>
      <numFmt numFmtId="14" formatCode="0.00%"/>
    </ndxf>
  </rcc>
  <rcc rId="3166" sId="3" odxf="1" dxf="1">
    <nc r="AD70">
      <f>(AA70+X70+U70)/3</f>
    </nc>
    <odxf>
      <numFmt numFmtId="0" formatCode="General"/>
    </odxf>
    <ndxf>
      <numFmt numFmtId="14" formatCode="0.00%"/>
    </ndxf>
  </rcc>
  <rcc rId="3167" sId="3" odxf="1" dxf="1">
    <nc r="AD71">
      <f>(AA71+X71+U71)/3</f>
    </nc>
    <odxf>
      <numFmt numFmtId="0" formatCode="General"/>
    </odxf>
    <ndxf>
      <numFmt numFmtId="14" formatCode="0.00%"/>
    </ndxf>
  </rcc>
  <rcc rId="3168" sId="3" odxf="1" dxf="1">
    <nc r="AD72">
      <f>(AA72+X72+U72)/3</f>
    </nc>
    <odxf>
      <numFmt numFmtId="0" formatCode="General"/>
    </odxf>
    <ndxf>
      <numFmt numFmtId="14" formatCode="0.00%"/>
    </ndxf>
  </rcc>
  <rcc rId="3169" sId="3" odxf="1" dxf="1">
    <nc r="AD73">
      <f>(AA73+X73+U73)/3</f>
    </nc>
    <odxf>
      <numFmt numFmtId="0" formatCode="General"/>
    </odxf>
    <ndxf>
      <numFmt numFmtId="14" formatCode="0.00%"/>
    </ndxf>
  </rcc>
  <rfmt sheetId="3" sqref="AD62:AD73">
    <dxf>
      <numFmt numFmtId="168" formatCode="0.0%"/>
    </dxf>
  </rfmt>
  <rfmt sheetId="3" sqref="AD62:AD73">
    <dxf>
      <numFmt numFmtId="13" formatCode="0%"/>
    </dxf>
  </rfmt>
  <rcc rId="3170" sId="3" numFmtId="14">
    <oc r="U73">
      <f>'C:\Users\gowrir\Desktop\[2. TSF Prasadam BSCGaneshe_23-8-14.xlsx]HT Stores BSC'!U37</f>
    </oc>
    <nc r="U73">
      <v>0</v>
    </nc>
  </rcc>
  <rcc rId="3171" sId="3" odxf="1" s="1" dxf="1">
    <nc r="AD75">
      <f>U75+X75+AA75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72" sId="3" odxf="1" s="1" dxf="1">
    <nc r="AD76">
      <f>U76+X76+AA76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73" sId="3" odxf="1" s="1" dxf="1">
    <nc r="AD84">
      <f>U84+X84+AA84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74" sId="3" odxf="1" s="1" dxf="1">
    <nc r="AD87">
      <f>U87+X87+AA87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75" sId="3" odxf="1" s="1" dxf="1">
    <nc r="AD88">
      <f>U88+X88+AA88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76" sId="3" odxf="1" s="1" dxf="1">
    <nc r="AD89">
      <f>U89+X89+AA89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77" sId="3" odxf="1" dxf="1">
    <nc r="AC89">
      <f>(AA87+AA88+AA89)/AA4</f>
    </nc>
    <odxf>
      <numFmt numFmtId="0" formatCode="General"/>
    </odxf>
    <ndxf>
      <numFmt numFmtId="13" formatCode="0%"/>
    </ndxf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8" sId="3" odxf="1" dxf="1">
    <nc r="AD90">
      <f>AD85-SUM(AD87:AD89)</f>
    </nc>
    <odxf>
      <numFmt numFmtId="0" formatCode="General"/>
    </odxf>
    <ndxf>
      <numFmt numFmtId="165" formatCode="_(* #,##0_);_(* \(#,##0\);_(* &quot;-&quot;??_);_(@_)"/>
    </ndxf>
  </rcc>
  <rcc rId="3179" sId="3" odxf="1" s="1" dxf="1">
    <nc r="AD92">
      <f>U92+X92+AA92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80" sId="3" odxf="1" s="1" dxf="1">
    <nc r="AD93">
      <f>U93+X93+AA93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81" sId="3" odxf="1" s="1" dxf="1">
    <nc r="AD94">
      <f>U94+X94+AA94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82" sId="3" odxf="1" s="1" dxf="1">
    <nc r="AD95">
      <f>U95+X95+AA95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83" sId="3" odxf="1" s="1" dxf="1">
    <nc r="AD96">
      <f>U96+X96+AA96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84" sId="3" odxf="1" s="1" dxf="1">
    <nc r="AD97">
      <f>U97+X97+AA97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  <rcc rId="3185" sId="3" odxf="1" dxf="1">
    <nc r="AD100">
      <f>AD90-SUM(AD92:AD98)</f>
    </nc>
    <odxf>
      <numFmt numFmtId="0" formatCode="General"/>
    </odxf>
    <ndxf>
      <numFmt numFmtId="165" formatCode="_(* #,##0_);_(* \(#,##0\);_(* &quot;-&quot;??_);_(@_)"/>
    </ndxf>
  </rcc>
  <rcc rId="3186" sId="3" odxf="1" dxf="1">
    <nc r="AD102">
      <f>AD100/AD85</f>
    </nc>
    <odxf>
      <numFmt numFmtId="0" formatCode="General"/>
      <border outline="0">
        <left style="thin">
          <color indexed="64"/>
        </left>
      </border>
    </odxf>
    <ndxf>
      <numFmt numFmtId="13" formatCode="0%"/>
      <border outline="0">
        <left style="medium">
          <color indexed="64"/>
        </left>
      </border>
    </ndxf>
  </rcc>
  <rcc rId="3187" sId="3" odxf="1" dxf="1">
    <nc r="AD85">
      <f>AD4-AD84</f>
    </nc>
    <odxf>
      <numFmt numFmtId="0" formatCode="General"/>
    </odxf>
    <ndxf>
      <numFmt numFmtId="165" formatCode="_(* #,##0_);_(* \(#,##0\);_(* &quot;-&quot;??_);_(@_)"/>
    </ndxf>
  </rcc>
  <rcc rId="3188" sId="3" numFmtId="13">
    <oc r="AB102">
      <f>AB100/AB85</f>
    </oc>
    <nc r="AB102">
      <v>0</v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</formula>
    <oldFormula>'TSF Prasadam Overall'!$D:$F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</formula>
    <oldFormula>'HT Express BSC '!$D:$H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</formula>
    <oldFormula>'HT Stores BSC'!$D:$G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</formula>
    <oldFormula>'HT Fine Dining'!$D:$G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0" sId="3" odxf="1" s="1" dxf="1">
    <nc r="AD77">
      <f>U77+X77+AA77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numFmt numFmtId="165" formatCode="_(* #,##0_);_(* \(#,##0\);_(* &quot;-&quot;??_);_(@_)"/>
      <border outline="0">
        <left style="medium">
          <color indexed="64"/>
        </left>
      </border>
    </ndxf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1" sId="3" xfDxf="1" dxf="1">
    <nc r="AA178">
      <f>382332+105436+5055080+271051</f>
    </nc>
    <ndxf>
      <font>
        <sz val="9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2" sId="3">
    <oc r="AB8">
      <f>'HT Stores BSC'!AB5/'TSF Prasadam Overall'!AB4</f>
    </oc>
    <nc r="AB8"/>
  </rcc>
  <rcc rId="3203" sId="3">
    <oc r="AB9">
      <f>'HT Express BSC '!AB5/'TSF Prasadam Overall'!AB4</f>
    </oc>
    <nc r="AB9"/>
  </rcc>
  <rcc rId="3204" sId="3">
    <oc r="AB10">
      <f>'HT Fine Dining'!AB5/'TSF Prasadam Overall'!AB4</f>
    </oc>
    <nc r="AB10"/>
  </rcc>
  <rcc rId="3205" sId="5">
    <nc r="AD3">
      <f>AD5/'TSF Prasadam Overall'!AD4</f>
    </nc>
  </rcc>
  <rcc rId="3206" sId="6">
    <nc r="AD3">
      <f>AD5/'TSF Prasadam Overall'!AD4</f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Overall'!$D:$F,'TSF Prasadam Overall'!$AG:$BD</formula>
    <oldFormula>'TSF Prasadam Overall'!$D:$F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'!$AG:$BD</formula>
    <oldFormula>'HT Express BSC '!$D:$H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BSC'!$AG:$BD</formula>
    <oldFormula>'HT Stores BSC'!$D:$G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Dining'!$AG:$BD</formula>
    <oldFormula>'HT Fine Dining'!$D:$G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8" sId="3" odxf="1" dxf="1">
    <nc r="AB4">
      <f>'HT Express BSC '!AB5+'HT Stores BSC'!AB5+'HT Fine Dining'!AB5</f>
    </nc>
    <odxf>
      <numFmt numFmtId="0" formatCode="General"/>
    </odxf>
    <ndxf>
      <numFmt numFmtId="165" formatCode="_(* #,##0_);_(* \(#,##0\);_(* &quot;-&quot;??_);_(@_)"/>
    </ndxf>
  </rcc>
  <rfmt sheetId="3" sqref="Y12" start="0" length="2147483647">
    <dxf>
      <font>
        <b/>
      </font>
    </dxf>
  </rfmt>
  <rcc rId="3219" sId="3">
    <nc r="AB20">
      <v>5822410</v>
    </nc>
  </rcc>
  <rcc rId="3220" sId="3">
    <nc r="AB16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2" sId="3">
    <oc r="BE17">
      <f>I17+L17+O17+U17+X17+AA17+AG17+AJ17+AM17+AS17+AV17+AY17</f>
    </oc>
    <nc r="BE17">
      <f>I17+L17+O17+U17+X17+AA17+AG17+AJ17+AM17+AS17+AV17+AY17</f>
    </nc>
  </rcc>
  <rcc rId="2273" sId="3">
    <nc r="BE18">
      <f>BE16/BE17</f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1" sId="4" odxf="1" s="1" dxf="1">
    <nc r="AC5">
      <f>(AA5-AB5)/AB5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3222" sId="4" odxf="1" s="1" dxf="1">
    <nc r="Z5">
      <f>(X5-Y5)/Y5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3223" sId="4" odxf="1" s="1" dxf="1">
    <nc r="Z9">
      <f>(X9-Y9)/Y9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alignment wrapText="0" readingOrder="0"/>
    </ndxf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4" sId="4" odxf="1" s="1" dxf="1">
    <nc r="Z17">
      <f>(X17-Y17)/Y17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alignment wrapText="0" readingOrder="0"/>
    </ndxf>
  </rcc>
  <rcc rId="3225" sId="4" odxf="1" s="1" dxf="1">
    <nc r="AC9">
      <f>(AA9-AB9)/AB9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alignment wrapText="0" readingOrder="0"/>
    </ndxf>
  </rcc>
  <rcc rId="3226" sId="4" odxf="1" s="1" dxf="1">
    <nc r="AC17">
      <f>(AA17-AB17)/AB17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alignment wrapText="0" readingOrder="0"/>
    </ndxf>
  </rcc>
  <rcc rId="3227" sId="4">
    <nc r="AE5">
      <f>AB5+Y5+V5</f>
    </nc>
  </rcc>
  <rcc rId="3228" sId="4" odxf="1" s="1" dxf="1">
    <nc r="AF5">
      <f>(AD5-AE5)/AE5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9" sId="4" odxf="1" dxf="1">
    <nc r="AE9">
      <f>AB9+Y9+V9</f>
    </nc>
    <odxf>
      <alignment wrapText="1" readingOrder="0"/>
    </odxf>
    <ndxf>
      <alignment wrapText="0" readingOrder="0"/>
    </ndxf>
  </rcc>
  <rcc rId="3230" sId="4" odxf="1" s="1" dxf="1">
    <nc r="AF9">
      <f>(AD9-AE9)/AE9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alignment wrapText="0" readingOrder="0"/>
    </ndxf>
  </rcc>
  <rcc rId="3231" sId="4" odxf="1" dxf="1">
    <nc r="AE17">
      <f>AB17+Y17+V17</f>
    </nc>
    <odxf>
      <alignment wrapText="1" readingOrder="0"/>
    </odxf>
    <ndxf>
      <alignment wrapText="0" readingOrder="0"/>
    </ndxf>
  </rcc>
  <rcc rId="3232" sId="4" odxf="1" s="1" dxf="1">
    <nc r="AF17">
      <f>(AD17-AE17)/AE17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  <alignment wrapText="0" readingOrder="0"/>
    </ndxf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3" sId="6" odxf="1" s="1" dxf="1">
    <nc r="W5">
      <f>(U5-V5)/V5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3234" sId="6" odxf="1" s="1" dxf="1">
    <nc r="Z5">
      <f>(X5-Y5)/Y5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3235" sId="6" odxf="1" s="1" dxf="1">
    <nc r="AC5">
      <f>(AA5-AB5)/AB5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  <rcc rId="3236" sId="6">
    <nc r="AE5">
      <f>AB5+Y5+V5</f>
    </nc>
  </rcc>
  <rcc rId="3237" sId="6" odxf="1" s="1" dxf="1">
    <nc r="AF5">
      <f>(AD5-AE5)/AE5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_(* #,##0_);_(* \(#,##0\);_(* &quot;-&quot;??_);_(@_)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odxf>
    <ndxf>
      <numFmt numFmtId="13" formatCode="0%"/>
    </ndxf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DAEB26-20D3-4AB4-B94D-0ED6F1AA8B5C}" action="delete"/>
  <rdn rId="0" localSheetId="3" customView="1" name="Z_40DAEB26_20D3_4AB4_B94D_0ED6F1AA8B5C_.wvu.Rows" hidden="1" oldHidden="1">
    <formula>'TSF Prasadam Overall'!$15:$27,'TSF Prasadam Overall'!$157:$159</formula>
    <oldFormula>'TSF Prasadam Overall'!$15:$27,'TSF Prasadam Overall'!$157:$159</oldFormula>
  </rdn>
  <rdn rId="0" localSheetId="3" customView="1" name="Z_40DAEB26_20D3_4AB4_B94D_0ED6F1AA8B5C_.wvu.Cols" hidden="1" oldHidden="1">
    <formula>'TSF Prasadam Overall'!$D:$G,'TSF Prasadam Overall'!$L:$Q,'TSF Prasadam Overall'!$S:$T,'TSF Prasadam Overall'!$AG:$BD</formula>
    <oldFormula>'TSF Prasadam Overall'!$D:$G,'TSF Prasadam Overall'!$L:$Q,'TSF Prasadam Overall'!$S:$T,'TSF Prasadam Overall'!$AG:$BD</oldFormula>
  </rdn>
  <rdn rId="0" localSheetId="3" customView="1" name="Z_40DAEB26_20D3_4AB4_B94D_0ED6F1AA8B5C_.wvu.FilterData" hidden="1" oldHidden="1">
    <formula>'TSF Prasadam Overall'!$A$1:$AG$7</formula>
    <oldFormula>'TSF Prasadam Overall'!$A$1:$AG$7</oldFormula>
  </rdn>
  <rdn rId="0" localSheetId="4" customView="1" name="Z_40DAEB26_20D3_4AB4_B94D_0ED6F1AA8B5C_.wvu.Cols" hidden="1" oldHidden="1">
    <formula>'HT Express BSC '!$D:$H,'HT Express BSC '!$J:$T,'HT Express BSC '!$AG:$BD</formula>
    <oldFormula>'HT Express BSC '!$D:$H,'HT Express BSC '!$J:$T,'HT Express BSC '!$AG:$BD</oldFormula>
  </rdn>
  <rdn rId="0" localSheetId="4" customView="1" name="Z_40DAEB26_20D3_4AB4_B94D_0ED6F1AA8B5C_.wvu.FilterData" hidden="1" oldHidden="1">
    <formula>'HT Express BSC '!$A$1:$Q$3</formula>
    <oldFormula>'HT Express BSC '!$A$1:$Q$3</oldFormula>
  </rdn>
  <rdn rId="0" localSheetId="5" customView="1" name="Z_40DAEB26_20D3_4AB4_B94D_0ED6F1AA8B5C_.wvu.Rows" hidden="1" oldHidden="1">
    <formula>'HT Stores BSC'!$83:$84</formula>
    <oldFormula>'HT Stores BSC'!$83:$84</oldFormula>
  </rdn>
  <rdn rId="0" localSheetId="5" customView="1" name="Z_40DAEB26_20D3_4AB4_B94D_0ED6F1AA8B5C_.wvu.Cols" hidden="1" oldHidden="1">
    <formula>'HT Stores BSC'!$D:$G,'HT Stores BSC'!$J:$T,'HT Stores BSC'!$AG:$BD</formula>
    <oldFormula>'HT Stores BSC'!$D:$G,'HT Stores BSC'!$J:$T,'HT Stores BSC'!$AG:$BD</oldFormula>
  </rdn>
  <rdn rId="0" localSheetId="5" customView="1" name="Z_40DAEB26_20D3_4AB4_B94D_0ED6F1AA8B5C_.wvu.FilterData" hidden="1" oldHidden="1">
    <formula>'HT Stores BSC'!$A$1:$Q$3</formula>
    <oldFormula>'HT Stores BSC'!$A$1:$Q$3</oldFormula>
  </rdn>
  <rdn rId="0" localSheetId="6" customView="1" name="Z_40DAEB26_20D3_4AB4_B94D_0ED6F1AA8B5C_.wvu.Rows" hidden="1" oldHidden="1">
    <formula>'HT Fine Dining'!$53:$54</formula>
    <oldFormula>'HT Fine Dining'!$53:$54</oldFormula>
  </rdn>
  <rdn rId="0" localSheetId="6" customView="1" name="Z_40DAEB26_20D3_4AB4_B94D_0ED6F1AA8B5C_.wvu.Cols" hidden="1" oldHidden="1">
    <formula>'HT Fine Dining'!$D:$G,'HT Fine Dining'!$J:$T,'HT Fine Dining'!$AG:$BD</formula>
    <oldFormula>'HT Fine Dining'!$D:$G,'HT Fine Dining'!$J:$T,'HT Fine Dining'!$AG:$BD</oldFormula>
  </rdn>
  <rdn rId="0" localSheetId="6" customView="1" name="Z_40DAEB26_20D3_4AB4_B94D_0ED6F1AA8B5C_.wvu.FilterData" hidden="1" oldHidden="1">
    <formula>'HT Fine Dining'!$A$1:$Q$3</formula>
    <oldFormula>'HT Fine Dining'!$A$1:$Q$3</oldFormula>
  </rdn>
  <rcv guid="{40DAEB26-20D3-4AB4-B94D-0ED6F1AA8B5C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9" sId="3" numFmtId="34">
    <nc r="AB88">
      <v>763528</v>
    </nc>
  </rcc>
  <rcc rId="3250" sId="3" odxf="1" dxf="1" numFmtId="34">
    <nc r="AB89">
      <v>470403</v>
    </nc>
    <ndxf>
      <numFmt numFmtId="165" formatCode="_(* #,##0_);_(* \(#,##0\);_(* &quot;-&quot;??_);_(@_)"/>
    </ndxf>
  </rcc>
  <rcc rId="3251" sId="3" numFmtId="34">
    <nc r="AB87">
      <f>3506180+86482</f>
    </nc>
  </rcc>
  <rcc rId="3252" sId="3" numFmtId="34">
    <nc r="AB92">
      <v>3982220</v>
    </nc>
  </rcc>
  <rcc rId="3253" sId="3" numFmtId="34">
    <nc r="AB93">
      <v>338725</v>
    </nc>
  </rcc>
  <rcc rId="3254" sId="3" numFmtId="34">
    <nc r="AB94">
      <v>406670</v>
    </nc>
  </rcc>
  <rcc rId="3255" sId="3" numFmtId="34">
    <nc r="AB95">
      <v>1044247.5</v>
    </nc>
  </rcc>
  <rcc rId="3256" sId="3" numFmtId="34">
    <nc r="AB96">
      <v>5450</v>
    </nc>
  </rcc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Overall'!$D:$F,'TSF Prasadam Overall'!$AG:$BD</formula>
    <oldFormula>'TSF Prasadam Overall'!$D:$F,'TSF Prasadam Overall'!$AG:$BD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'!$AG:$BD</formula>
    <oldFormula>'HT Express BSC '!$D:$H,'HT Express BSC '!$AG:$BD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BSC'!$AG:$BD</formula>
    <oldFormula>'HT Stores BSC'!$D:$G,'HT Stores BSC'!$AG:$BD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Dining'!$AG:$BD</formula>
    <oldFormula>'HT Fine Dining'!$D:$G,'HT Fine Dining'!$AG:$BD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8" sId="3" numFmtId="34">
    <oc r="AB92">
      <v>3982220</v>
    </oc>
    <nc r="AB92">
      <f>3982220-51796</f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9" sId="3" numFmtId="34">
    <oc r="AB4">
      <f>'HT Express BSC '!AB5+'HT Stores BSC'!AB5+'HT Fine Dining'!AB5</f>
    </oc>
    <nc r="AB4">
      <v>11592165</v>
    </nc>
  </rcc>
  <rcc rId="3270" sId="3">
    <nc r="AB84">
      <v>222245</v>
    </nc>
  </rcc>
  <rfmt sheetId="3" sqref="AB102">
    <dxf>
      <numFmt numFmtId="167" formatCode="0.0%"/>
    </dxf>
  </rfmt>
  <rfmt sheetId="3" sqref="AB102">
    <dxf>
      <numFmt numFmtId="14" formatCode="0.00%"/>
    </dxf>
  </rfmt>
  <rcc rId="3271" sId="3">
    <oc r="AB92">
      <f>3982220-51796</f>
    </oc>
    <nc r="AB92">
      <f>3982220</f>
    </nc>
  </rcc>
  <rcc rId="3272" sId="3" odxf="1" dxf="1" numFmtId="13">
    <oc r="AB102">
      <v>0</v>
    </oc>
    <nc r="AB102">
      <f>AB100/AB85</f>
    </nc>
    <odxf>
      <numFmt numFmtId="14" formatCode="0.00%"/>
    </odxf>
    <ndxf>
      <numFmt numFmtId="13" formatCode="0%"/>
    </ndxf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DAEB26-20D3-4AB4-B94D-0ED6F1AA8B5C}" action="delete"/>
  <rdn rId="0" localSheetId="3" customView="1" name="Z_40DAEB26_20D3_4AB4_B94D_0ED6F1AA8B5C_.wvu.Rows" hidden="1" oldHidden="1">
    <formula>'TSF Prasadam Overall'!$15:$27,'TSF Prasadam Overall'!$157:$159</formula>
    <oldFormula>'TSF Prasadam Overall'!$15:$27,'TSF Prasadam Overall'!$157:$159</oldFormula>
  </rdn>
  <rdn rId="0" localSheetId="3" customView="1" name="Z_40DAEB26_20D3_4AB4_B94D_0ED6F1AA8B5C_.wvu.Cols" hidden="1" oldHidden="1">
    <formula>'TSF Prasadam Overall'!$D:$G,'TSF Prasadam Overall'!$L:$Q,'TSF Prasadam Overall'!$S:$T,'TSF Prasadam Overall'!$AG:$BD</formula>
    <oldFormula>'TSF Prasadam Overall'!$D:$G,'TSF Prasadam Overall'!$L:$Q,'TSF Prasadam Overall'!$S:$T,'TSF Prasadam Overall'!$AG:$BD</oldFormula>
  </rdn>
  <rdn rId="0" localSheetId="3" customView="1" name="Z_40DAEB26_20D3_4AB4_B94D_0ED6F1AA8B5C_.wvu.FilterData" hidden="1" oldHidden="1">
    <formula>'TSF Prasadam Overall'!$A$1:$AG$7</formula>
    <oldFormula>'TSF Prasadam Overall'!$A$1:$AG$7</oldFormula>
  </rdn>
  <rdn rId="0" localSheetId="4" customView="1" name="Z_40DAEB26_20D3_4AB4_B94D_0ED6F1AA8B5C_.wvu.Cols" hidden="1" oldHidden="1">
    <formula>'HT Express BSC '!$D:$H,'HT Express BSC '!$J:$T,'HT Express BSC '!$AG:$BD</formula>
    <oldFormula>'HT Express BSC '!$D:$H,'HT Express BSC '!$J:$T,'HT Express BSC '!$AG:$BD</oldFormula>
  </rdn>
  <rdn rId="0" localSheetId="4" customView="1" name="Z_40DAEB26_20D3_4AB4_B94D_0ED6F1AA8B5C_.wvu.FilterData" hidden="1" oldHidden="1">
    <formula>'HT Express BSC '!$A$1:$Q$3</formula>
    <oldFormula>'HT Express BSC '!$A$1:$Q$3</oldFormula>
  </rdn>
  <rdn rId="0" localSheetId="5" customView="1" name="Z_40DAEB26_20D3_4AB4_B94D_0ED6F1AA8B5C_.wvu.Rows" hidden="1" oldHidden="1">
    <formula>'HT Stores BSC'!$83:$84</formula>
    <oldFormula>'HT Stores BSC'!$83:$84</oldFormula>
  </rdn>
  <rdn rId="0" localSheetId="5" customView="1" name="Z_40DAEB26_20D3_4AB4_B94D_0ED6F1AA8B5C_.wvu.Cols" hidden="1" oldHidden="1">
    <formula>'HT Stores BSC'!$D:$G,'HT Stores BSC'!$J:$T,'HT Stores BSC'!$AG:$BD</formula>
    <oldFormula>'HT Stores BSC'!$D:$G,'HT Stores BSC'!$J:$T,'HT Stores BSC'!$AG:$BD</oldFormula>
  </rdn>
  <rdn rId="0" localSheetId="5" customView="1" name="Z_40DAEB26_20D3_4AB4_B94D_0ED6F1AA8B5C_.wvu.FilterData" hidden="1" oldHidden="1">
    <formula>'HT Stores BSC'!$A$1:$Q$3</formula>
    <oldFormula>'HT Stores BSC'!$A$1:$Q$3</oldFormula>
  </rdn>
  <rdn rId="0" localSheetId="6" customView="1" name="Z_40DAEB26_20D3_4AB4_B94D_0ED6F1AA8B5C_.wvu.Rows" hidden="1" oldHidden="1">
    <formula>'HT Fine Dining'!$53:$54</formula>
    <oldFormula>'HT Fine Dining'!$53:$54</oldFormula>
  </rdn>
  <rdn rId="0" localSheetId="6" customView="1" name="Z_40DAEB26_20D3_4AB4_B94D_0ED6F1AA8B5C_.wvu.Cols" hidden="1" oldHidden="1">
    <formula>'HT Fine Dining'!$D:$G,'HT Fine Dining'!$J:$T,'HT Fine Dining'!$AG:$BD</formula>
    <oldFormula>'HT Fine Dining'!$D:$G,'HT Fine Dining'!$J:$T,'HT Fine Dining'!$AG:$BD</oldFormula>
  </rdn>
  <rdn rId="0" localSheetId="6" customView="1" name="Z_40DAEB26_20D3_4AB4_B94D_0ED6F1AA8B5C_.wvu.FilterData" hidden="1" oldHidden="1">
    <formula>'HT Fine Dining'!$A$1:$Q$3</formula>
    <oldFormula>'HT Fine Dining'!$A$1:$Q$3</oldFormula>
  </rdn>
  <rcv guid="{40DAEB26-20D3-4AB4-B94D-0ED6F1AA8B5C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B3:AB19">
    <dxf>
      <fill>
        <patternFill patternType="solid">
          <bgColor rgb="FFFFFF00"/>
        </patternFill>
      </fill>
    </dxf>
  </rfmt>
  <rcv guid="{DD1F7198-8B36-4512-8BBD-8050BD05AADA}" action="delete"/>
  <rdn rId="0" localSheetId="3" customView="1" name="Z_DD1F7198_8B36_4512_8BBD_8050BD05AADA_.wvu.Rows" hidden="1" oldHidden="1">
    <formula>'TSF Prasadam Overall'!$157:$159</formula>
    <oldFormula>'TSF Prasadam Overall'!$157:$159</oldFormula>
  </rdn>
  <rdn rId="0" localSheetId="3" customView="1" name="Z_DD1F7198_8B36_4512_8BBD_8050BD05AADA_.wvu.Cols" hidden="1" oldHidden="1">
    <formula>'TSF Prasadam Overall'!$D:$F,'TSF Prasadam Overall'!$AG:$BD</formula>
    <oldFormula>'TSF Prasadam Overall'!$D:$F,'TSF Prasadam Overall'!$AG:$BD</oldFormula>
  </rdn>
  <rdn rId="0" localSheetId="3" customView="1" name="Z_DD1F7198_8B36_4512_8BBD_8050BD05AADA_.wvu.FilterData" hidden="1" oldHidden="1">
    <formula>'TSF Prasadam Overall'!$A$1:$AG$7</formula>
    <oldFormula>'TSF Prasadam Overall'!$A$1:$AG$7</oldFormula>
  </rdn>
  <rdn rId="0" localSheetId="4" customView="1" name="Z_DD1F7198_8B36_4512_8BBD_8050BD05AADA_.wvu.Cols" hidden="1" oldHidden="1">
    <formula>'HT Express BSC '!$D:$H,'HT Express BSC '!$AG:$BD</formula>
    <oldFormula>'HT Express BSC '!$D:$H,'HT Express BSC '!$AG:$BD</oldFormula>
  </rdn>
  <rdn rId="0" localSheetId="4" customView="1" name="Z_DD1F7198_8B36_4512_8BBD_8050BD05AADA_.wvu.FilterData" hidden="1" oldHidden="1">
    <formula>'HT Express BSC '!$A$1:$Q$3</formula>
    <oldFormula>'HT Express BSC '!$A$1:$Q$3</oldFormula>
  </rdn>
  <rdn rId="0" localSheetId="5" customView="1" name="Z_DD1F7198_8B36_4512_8BBD_8050BD05AADA_.wvu.Rows" hidden="1" oldHidden="1">
    <formula>'HT Stores BSC'!$83:$84</formula>
    <oldFormula>'HT Stores BSC'!$83:$84</oldFormula>
  </rdn>
  <rdn rId="0" localSheetId="5" customView="1" name="Z_DD1F7198_8B36_4512_8BBD_8050BD05AADA_.wvu.Cols" hidden="1" oldHidden="1">
    <formula>'HT Stores BSC'!$D:$G,'HT Stores BSC'!$AG:$BD</formula>
    <oldFormula>'HT Stores BSC'!$D:$G,'HT Stores BSC'!$AG:$BD</oldFormula>
  </rdn>
  <rdn rId="0" localSheetId="5" customView="1" name="Z_DD1F7198_8B36_4512_8BBD_8050BD05AADA_.wvu.FilterData" hidden="1" oldHidden="1">
    <formula>'HT Stores BSC'!$A$1:$Q$3</formula>
    <oldFormula>'HT Stores BSC'!$A$1:$Q$3</oldFormula>
  </rdn>
  <rdn rId="0" localSheetId="6" customView="1" name="Z_DD1F7198_8B36_4512_8BBD_8050BD05AADA_.wvu.Rows" hidden="1" oldHidden="1">
    <formula>'HT Fine Dining'!$53:$54</formula>
    <oldFormula>'HT Fine Dining'!$53:$54</oldFormula>
  </rdn>
  <rdn rId="0" localSheetId="6" customView="1" name="Z_DD1F7198_8B36_4512_8BBD_8050BD05AADA_.wvu.Cols" hidden="1" oldHidden="1">
    <formula>'HT Fine Dining'!$D:$G,'HT Fine Dining'!$AJ:$BD</formula>
    <oldFormula>'HT Fine Dining'!$D:$G,'HT Fine Dining'!$AG:$BD</oldFormula>
  </rdn>
  <rdn rId="0" localSheetId="6" customView="1" name="Z_DD1F7198_8B36_4512_8BBD_8050BD05AADA_.wvu.FilterData" hidden="1" oldHidden="1">
    <formula>'HT Fine Dining'!$A$1:$Q$3</formula>
    <oldFormula>'HT Fine Dining'!$A$1:$Q$3</oldFormula>
  </rdn>
  <rcv guid="{DD1F7198-8B36-4512-8BBD-8050BD05AAD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F8D6AF3C-B133-4622-8966-46EC3C6C04CF}" name="Sanjeevi Sreekanth" id="-1555871149" dateTime="2014-09-22T16:26:4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showGridLines="0" zoomScaleNormal="100" workbookViewId="0">
      <selection activeCell="H35" sqref="H35"/>
    </sheetView>
  </sheetViews>
  <sheetFormatPr defaultRowHeight="15" x14ac:dyDescent="0.25"/>
  <sheetData>
    <row r="1" spans="1:36" x14ac:dyDescent="0.25">
      <c r="A1" s="7" t="s">
        <v>5</v>
      </c>
      <c r="C1" s="6"/>
      <c r="D1" s="6"/>
      <c r="E1" s="6"/>
      <c r="F1" s="7" t="s">
        <v>0</v>
      </c>
      <c r="G1" s="6"/>
      <c r="I1" s="6"/>
      <c r="J1" s="6"/>
      <c r="K1" s="7" t="s">
        <v>3</v>
      </c>
      <c r="M1" s="6"/>
      <c r="O1" s="7" t="s">
        <v>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7" spans="1:36" ht="8.25" customHeight="1" x14ac:dyDescent="0.25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36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6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36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36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36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36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36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36" ht="15" customHeight="1" x14ac:dyDescent="0.25"/>
    <row r="16" spans="1:36" ht="9.75" customHeight="1" x14ac:dyDescent="0.25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4:19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4:19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4:19" x14ac:dyDescent="0.2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4:19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4:19" x14ac:dyDescent="0.2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4:19" ht="11.25" customHeight="1" x14ac:dyDescent="0.25"/>
    <row r="23" spans="4:19" ht="9" customHeight="1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4:19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4:19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4:19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4:19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9" spans="4:19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4:19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4:19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4:19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4:19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</sheetData>
  <customSheetViews>
    <customSheetView guid="{40DAEB26-20D3-4AB4-B94D-0ED6F1AA8B5C}" showGridLines="0" state="hidden">
      <selection activeCell="H35" sqref="H35"/>
      <pageMargins left="0.7" right="0.7" top="0.75" bottom="0.75" header="0.3" footer="0.3"/>
      <pageSetup orientation="portrait" r:id="rId1"/>
    </customSheetView>
    <customSheetView guid="{DD1F7198-8B36-4512-8BBD-8050BD05AADA}" showGridLines="0" state="hidden">
      <selection activeCell="H35" sqref="H35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"/>
  <sheetViews>
    <sheetView showGridLines="0" workbookViewId="0">
      <selection activeCell="B18" sqref="B18"/>
    </sheetView>
  </sheetViews>
  <sheetFormatPr defaultRowHeight="15" x14ac:dyDescent="0.25"/>
  <cols>
    <col min="1" max="1" width="9.140625" customWidth="1"/>
    <col min="5" max="5" width="0.85546875" customWidth="1"/>
    <col min="10" max="10" width="3.5703125" customWidth="1"/>
    <col min="15" max="15" width="1.5703125" customWidth="1"/>
  </cols>
  <sheetData>
    <row r="3" spans="1:1" ht="21" x14ac:dyDescent="0.35">
      <c r="A3" s="46" t="s">
        <v>58</v>
      </c>
    </row>
    <row r="6" spans="1:1" ht="21" x14ac:dyDescent="0.35">
      <c r="A6" s="47" t="s">
        <v>59</v>
      </c>
    </row>
    <row r="11" spans="1:1" ht="21" x14ac:dyDescent="0.35">
      <c r="A11" s="47" t="s">
        <v>60</v>
      </c>
    </row>
  </sheetData>
  <customSheetViews>
    <customSheetView guid="{40DAEB26-20D3-4AB4-B94D-0ED6F1AA8B5C}" showGridLines="0">
      <selection activeCell="B18" sqref="B18"/>
      <pageMargins left="0.7" right="0.7" top="0.75" bottom="0.75" header="0.3" footer="0.3"/>
    </customSheetView>
    <customSheetView guid="{DD1F7198-8B36-4512-8BBD-8050BD05AADA}" showGridLines="0">
      <selection activeCell="G29" sqref="G29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499984740745262"/>
  </sheetPr>
  <dimension ref="A1:BI194"/>
  <sheetViews>
    <sheetView showGridLines="0" tabSelected="1" zoomScaleNormal="100" workbookViewId="0">
      <pane xSplit="8" ySplit="3" topLeftCell="AD4" activePane="bottomRight" state="frozen"/>
      <selection pane="topRight" activeCell="I1" sqref="I1"/>
      <selection pane="bottomLeft" activeCell="A4" sqref="A4"/>
      <selection pane="bottomRight" activeCell="AG4" sqref="AG4:AH194"/>
    </sheetView>
  </sheetViews>
  <sheetFormatPr defaultRowHeight="15" outlineLevelRow="1" x14ac:dyDescent="0.25"/>
  <cols>
    <col min="1" max="1" width="9.85546875" style="8" customWidth="1"/>
    <col min="2" max="2" width="11.140625" style="8" customWidth="1"/>
    <col min="3" max="3" width="34.5703125" style="8" customWidth="1"/>
    <col min="4" max="5" width="11" style="8" hidden="1" customWidth="1"/>
    <col min="6" max="6" width="14.7109375" style="8" hidden="1" customWidth="1"/>
    <col min="7" max="7" width="0.28515625" style="8" hidden="1" customWidth="1" collapsed="1"/>
    <col min="8" max="8" width="0.85546875" style="23" customWidth="1"/>
    <col min="9" max="9" width="12.85546875" style="8" customWidth="1"/>
    <col min="10" max="10" width="10.7109375" style="8" customWidth="1"/>
    <col min="11" max="11" width="4.42578125" style="8" customWidth="1"/>
    <col min="12" max="12" width="12.5703125" style="8" customWidth="1"/>
    <col min="13" max="13" width="10.5703125" style="8" customWidth="1"/>
    <col min="14" max="14" width="8.7109375" style="8" customWidth="1"/>
    <col min="15" max="15" width="12.85546875" style="8" customWidth="1"/>
    <col min="16" max="16" width="10.7109375" style="8" customWidth="1"/>
    <col min="17" max="17" width="8.7109375" style="8" customWidth="1"/>
    <col min="18" max="18" width="13.28515625" style="8" customWidth="1"/>
    <col min="19" max="19" width="10.7109375" style="8" hidden="1" customWidth="1"/>
    <col min="20" max="20" width="8.7109375" style="8" hidden="1" customWidth="1"/>
    <col min="21" max="21" width="13.5703125" style="8" customWidth="1"/>
    <col min="22" max="22" width="11.85546875" style="8" customWidth="1"/>
    <col min="23" max="23" width="9.42578125" style="8" bestFit="1" customWidth="1"/>
    <col min="24" max="25" width="9.5703125" style="8" bestFit="1" customWidth="1"/>
    <col min="26" max="26" width="9.42578125" style="8" bestFit="1" customWidth="1"/>
    <col min="27" max="28" width="9.5703125" style="8" bestFit="1" customWidth="1"/>
    <col min="29" max="29" width="9.42578125" style="8" bestFit="1" customWidth="1"/>
    <col min="30" max="30" width="13.85546875" style="8" bestFit="1" customWidth="1"/>
    <col min="31" max="35" width="11.85546875" style="8" customWidth="1"/>
    <col min="36" max="56" width="11.85546875" style="8" hidden="1" customWidth="1"/>
    <col min="57" max="57" width="13.28515625" style="8" bestFit="1" customWidth="1"/>
    <col min="58" max="58" width="11.28515625" style="8" customWidth="1"/>
    <col min="59" max="59" width="9.5703125" style="8" customWidth="1"/>
    <col min="60" max="60" width="12.28515625" style="8" bestFit="1" customWidth="1"/>
    <col min="61" max="61" width="10.5703125" style="8" bestFit="1" customWidth="1"/>
    <col min="62" max="16384" width="9.140625" style="8"/>
  </cols>
  <sheetData>
    <row r="1" spans="1:60" ht="26.25" customHeight="1" x14ac:dyDescent="0.25">
      <c r="A1" s="321" t="s">
        <v>1</v>
      </c>
      <c r="B1" s="321"/>
      <c r="C1" s="321" t="s">
        <v>2</v>
      </c>
      <c r="D1" s="45" t="s">
        <v>139</v>
      </c>
      <c r="E1" s="45" t="s">
        <v>140</v>
      </c>
      <c r="F1" s="45" t="s">
        <v>141</v>
      </c>
      <c r="G1" s="36" t="s">
        <v>142</v>
      </c>
      <c r="H1" s="33"/>
      <c r="I1" s="311" t="s">
        <v>7</v>
      </c>
      <c r="J1" s="312"/>
      <c r="K1" s="313"/>
      <c r="L1" s="311" t="s">
        <v>8</v>
      </c>
      <c r="M1" s="312"/>
      <c r="N1" s="313"/>
      <c r="O1" s="311" t="s">
        <v>21</v>
      </c>
      <c r="P1" s="312"/>
      <c r="Q1" s="313"/>
      <c r="R1" s="311" t="s">
        <v>199</v>
      </c>
      <c r="S1" s="312"/>
      <c r="T1" s="313"/>
      <c r="U1" s="314" t="s">
        <v>22</v>
      </c>
      <c r="V1" s="314"/>
      <c r="W1" s="314"/>
      <c r="X1" s="314" t="s">
        <v>23</v>
      </c>
      <c r="Y1" s="314"/>
      <c r="Z1" s="314"/>
      <c r="AA1" s="314" t="s">
        <v>24</v>
      </c>
      <c r="AB1" s="314"/>
      <c r="AC1" s="314"/>
      <c r="AD1" s="314" t="s">
        <v>200</v>
      </c>
      <c r="AE1" s="314"/>
      <c r="AF1" s="314"/>
      <c r="AG1" s="314" t="s">
        <v>25</v>
      </c>
      <c r="AH1" s="314"/>
      <c r="AI1" s="314"/>
      <c r="AJ1" s="314" t="s">
        <v>186</v>
      </c>
      <c r="AK1" s="314"/>
      <c r="AL1" s="314"/>
      <c r="AM1" s="314" t="s">
        <v>187</v>
      </c>
      <c r="AN1" s="314"/>
      <c r="AO1" s="314"/>
      <c r="AP1" s="314" t="s">
        <v>201</v>
      </c>
      <c r="AQ1" s="314"/>
      <c r="AR1" s="314"/>
      <c r="AS1" s="314" t="s">
        <v>188</v>
      </c>
      <c r="AT1" s="314"/>
      <c r="AU1" s="314"/>
      <c r="AV1" s="314" t="s">
        <v>189</v>
      </c>
      <c r="AW1" s="314"/>
      <c r="AX1" s="314"/>
      <c r="AY1" s="314" t="s">
        <v>190</v>
      </c>
      <c r="AZ1" s="314"/>
      <c r="BA1" s="314"/>
      <c r="BB1" s="314" t="s">
        <v>198</v>
      </c>
      <c r="BC1" s="314"/>
      <c r="BD1" s="314"/>
      <c r="BE1" s="311" t="s">
        <v>617</v>
      </c>
      <c r="BF1" s="312"/>
      <c r="BG1" s="313"/>
    </row>
    <row r="2" spans="1:60" ht="23.25" customHeight="1" thickBot="1" x14ac:dyDescent="0.3">
      <c r="A2" s="321"/>
      <c r="B2" s="321"/>
      <c r="C2" s="321"/>
      <c r="D2" s="108"/>
      <c r="E2" s="108"/>
      <c r="F2" s="108"/>
      <c r="G2" s="36"/>
      <c r="H2" s="33"/>
      <c r="I2" s="132" t="s">
        <v>195</v>
      </c>
      <c r="J2" s="133" t="s">
        <v>196</v>
      </c>
      <c r="K2" s="134" t="s">
        <v>197</v>
      </c>
      <c r="L2" s="132" t="s">
        <v>195</v>
      </c>
      <c r="M2" s="133" t="s">
        <v>196</v>
      </c>
      <c r="N2" s="134" t="s">
        <v>197</v>
      </c>
      <c r="O2" s="132" t="s">
        <v>195</v>
      </c>
      <c r="P2" s="133" t="s">
        <v>196</v>
      </c>
      <c r="Q2" s="134" t="s">
        <v>197</v>
      </c>
      <c r="R2" s="132" t="s">
        <v>195</v>
      </c>
      <c r="S2" s="133" t="s">
        <v>196</v>
      </c>
      <c r="T2" s="134" t="s">
        <v>197</v>
      </c>
      <c r="U2" s="308" t="s">
        <v>195</v>
      </c>
      <c r="V2" s="308" t="s">
        <v>196</v>
      </c>
      <c r="W2" s="308" t="s">
        <v>197</v>
      </c>
      <c r="X2" s="308" t="s">
        <v>195</v>
      </c>
      <c r="Y2" s="308" t="s">
        <v>196</v>
      </c>
      <c r="Z2" s="308" t="s">
        <v>197</v>
      </c>
      <c r="AA2" s="308" t="s">
        <v>195</v>
      </c>
      <c r="AB2" s="308" t="s">
        <v>196</v>
      </c>
      <c r="AC2" s="308" t="s">
        <v>197</v>
      </c>
      <c r="AD2" s="308" t="s">
        <v>195</v>
      </c>
      <c r="AE2" s="308" t="s">
        <v>196</v>
      </c>
      <c r="AF2" s="308" t="s">
        <v>197</v>
      </c>
      <c r="AG2" s="308" t="s">
        <v>195</v>
      </c>
      <c r="AH2" s="308" t="s">
        <v>196</v>
      </c>
      <c r="AI2" s="308" t="s">
        <v>197</v>
      </c>
      <c r="AJ2" s="135" t="s">
        <v>195</v>
      </c>
      <c r="AK2" s="135" t="s">
        <v>196</v>
      </c>
      <c r="AL2" s="135" t="s">
        <v>197</v>
      </c>
      <c r="AM2" s="135" t="s">
        <v>195</v>
      </c>
      <c r="AN2" s="135" t="s">
        <v>196</v>
      </c>
      <c r="AO2" s="135" t="s">
        <v>197</v>
      </c>
      <c r="AP2" s="135" t="s">
        <v>195</v>
      </c>
      <c r="AQ2" s="135" t="s">
        <v>196</v>
      </c>
      <c r="AR2" s="135" t="s">
        <v>197</v>
      </c>
      <c r="AS2" s="135" t="s">
        <v>195</v>
      </c>
      <c r="AT2" s="135" t="s">
        <v>196</v>
      </c>
      <c r="AU2" s="135" t="s">
        <v>197</v>
      </c>
      <c r="AV2" s="135" t="s">
        <v>195</v>
      </c>
      <c r="AW2" s="135" t="s">
        <v>196</v>
      </c>
      <c r="AX2" s="135" t="s">
        <v>197</v>
      </c>
      <c r="AY2" s="135" t="s">
        <v>195</v>
      </c>
      <c r="AZ2" s="135" t="s">
        <v>196</v>
      </c>
      <c r="BA2" s="135" t="s">
        <v>197</v>
      </c>
      <c r="BB2" s="135" t="s">
        <v>195</v>
      </c>
      <c r="BC2" s="135" t="s">
        <v>196</v>
      </c>
      <c r="BD2" s="135" t="s">
        <v>197</v>
      </c>
      <c r="BE2" s="132" t="s">
        <v>195</v>
      </c>
      <c r="BF2" s="133" t="s">
        <v>196</v>
      </c>
      <c r="BG2" s="134" t="s">
        <v>197</v>
      </c>
    </row>
    <row r="3" spans="1:60" ht="15" customHeight="1" x14ac:dyDescent="0.25">
      <c r="A3" s="15" t="s">
        <v>9</v>
      </c>
      <c r="B3" s="15"/>
      <c r="C3" s="15"/>
      <c r="D3" s="9"/>
      <c r="E3" s="9"/>
      <c r="F3" s="9"/>
      <c r="G3" s="37"/>
      <c r="H3" s="34"/>
      <c r="I3" s="240"/>
      <c r="J3" s="9"/>
      <c r="K3" s="156"/>
      <c r="L3" s="240"/>
      <c r="M3" s="9"/>
      <c r="N3" s="156"/>
      <c r="O3" s="240"/>
      <c r="P3" s="9"/>
      <c r="Q3" s="156"/>
      <c r="R3" s="240"/>
      <c r="S3" s="9"/>
      <c r="T3" s="156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</row>
    <row r="4" spans="1:60" ht="15" customHeight="1" x14ac:dyDescent="0.25">
      <c r="A4" s="315" t="s">
        <v>63</v>
      </c>
      <c r="B4" s="318" t="s">
        <v>61</v>
      </c>
      <c r="C4" s="48" t="s">
        <v>202</v>
      </c>
      <c r="D4" s="75" t="s">
        <v>176</v>
      </c>
      <c r="E4" s="75" t="s">
        <v>174</v>
      </c>
      <c r="F4" s="75" t="s">
        <v>183</v>
      </c>
      <c r="G4" s="76" t="s">
        <v>175</v>
      </c>
      <c r="H4" s="29"/>
      <c r="I4" s="142">
        <v>20</v>
      </c>
      <c r="J4" s="107">
        <v>17</v>
      </c>
      <c r="K4" s="137">
        <f>(I4-J4)/J4</f>
        <v>0.17647058823529413</v>
      </c>
      <c r="L4" s="142">
        <v>20</v>
      </c>
      <c r="M4" s="107">
        <v>17</v>
      </c>
      <c r="N4" s="137">
        <f>(L4-M4)/M4</f>
        <v>0.17647058823529413</v>
      </c>
      <c r="O4" s="142">
        <v>20</v>
      </c>
      <c r="P4" s="107">
        <v>17</v>
      </c>
      <c r="Q4" s="137">
        <f>(O4-P4)/P4</f>
        <v>0.17647058823529413</v>
      </c>
      <c r="R4" s="142">
        <f>I4+L4+O4</f>
        <v>60</v>
      </c>
      <c r="S4" s="107">
        <f>J4+M4+P4</f>
        <v>51</v>
      </c>
      <c r="T4" s="137">
        <f>(R4-S4)/S4</f>
        <v>0.17647058823529413</v>
      </c>
      <c r="U4" s="142">
        <v>20</v>
      </c>
      <c r="V4" s="107">
        <v>17</v>
      </c>
      <c r="W4" s="137">
        <f>(U4-V4)/V4</f>
        <v>0.17647058823529413</v>
      </c>
      <c r="X4" s="142">
        <v>20</v>
      </c>
      <c r="Y4" s="107">
        <v>17</v>
      </c>
      <c r="Z4" s="137">
        <f>(X4-Y4)/Y4</f>
        <v>0.17647058823529413</v>
      </c>
      <c r="AA4" s="142">
        <v>20</v>
      </c>
      <c r="AB4" s="107">
        <v>17</v>
      </c>
      <c r="AC4" s="11"/>
      <c r="AD4" s="88">
        <f>U4+X4+AA4</f>
        <v>60</v>
      </c>
      <c r="AE4" s="88">
        <f>V4+Y4+AB4</f>
        <v>51</v>
      </c>
      <c r="AF4" s="162">
        <f>(AD4-AE4)/AE4</f>
        <v>0.17647058823529413</v>
      </c>
      <c r="AG4" s="142">
        <v>20</v>
      </c>
      <c r="AH4" s="107">
        <v>17</v>
      </c>
      <c r="AI4" s="11"/>
      <c r="AJ4" s="11"/>
      <c r="AK4" s="11"/>
      <c r="AL4" s="11"/>
      <c r="AM4" s="11"/>
      <c r="AN4" s="11"/>
      <c r="AO4" s="11"/>
      <c r="AP4" s="11">
        <f>AG4+AJ4+AM4</f>
        <v>20</v>
      </c>
      <c r="AQ4" s="11">
        <f>AH4+AK4+AN4</f>
        <v>17</v>
      </c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>
        <f>AS4+AV4+AY4</f>
        <v>0</v>
      </c>
      <c r="BC4" s="11"/>
      <c r="BD4" s="175"/>
      <c r="BE4" s="107">
        <f>I4+L4+O4+U4+X4+AA4+AG4+AJ4+AM4+AS4+AV4+AY4</f>
        <v>140</v>
      </c>
      <c r="BF4" s="107">
        <f>J4+M4+P4+V4+Y4+AB4+AH4+AK4+AN4+AT4+AW4+AZ4</f>
        <v>119</v>
      </c>
      <c r="BG4" s="85">
        <f>(BE4-BF4)/BF4</f>
        <v>0.17647058823529413</v>
      </c>
      <c r="BH4" s="292">
        <f>BE4-BF4</f>
        <v>21</v>
      </c>
    </row>
    <row r="5" spans="1:60" ht="21" customHeight="1" x14ac:dyDescent="0.25">
      <c r="A5" s="316"/>
      <c r="B5" s="319"/>
      <c r="C5" s="48" t="s">
        <v>203</v>
      </c>
      <c r="D5" s="75"/>
      <c r="E5" s="75"/>
      <c r="F5" s="75"/>
      <c r="G5" s="76"/>
      <c r="H5" s="29"/>
      <c r="I5" s="142">
        <v>16</v>
      </c>
      <c r="J5" s="107">
        <v>15</v>
      </c>
      <c r="K5" s="143"/>
      <c r="L5" s="142">
        <v>16</v>
      </c>
      <c r="M5" s="107">
        <v>15</v>
      </c>
      <c r="N5" s="143"/>
      <c r="O5" s="142">
        <v>16</v>
      </c>
      <c r="P5" s="107">
        <v>15</v>
      </c>
      <c r="Q5" s="143"/>
      <c r="R5" s="142">
        <f>I5+L5+O5</f>
        <v>48</v>
      </c>
      <c r="S5" s="107">
        <f>J5+M5+P5</f>
        <v>45</v>
      </c>
      <c r="T5" s="143"/>
      <c r="U5" s="142">
        <v>16</v>
      </c>
      <c r="V5" s="107">
        <v>15</v>
      </c>
      <c r="W5" s="11"/>
      <c r="X5" s="142">
        <v>16</v>
      </c>
      <c r="Y5" s="107">
        <v>15</v>
      </c>
      <c r="Z5" s="11"/>
      <c r="AA5" s="142">
        <v>16</v>
      </c>
      <c r="AB5" s="107">
        <v>15</v>
      </c>
      <c r="AC5" s="11"/>
      <c r="AD5" s="88">
        <f>U5+X5+AA5</f>
        <v>48</v>
      </c>
      <c r="AE5" s="88">
        <f>V5+Y5+AB5</f>
        <v>45</v>
      </c>
      <c r="AF5" s="11"/>
      <c r="AG5" s="142">
        <v>16</v>
      </c>
      <c r="AH5" s="107">
        <v>15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75"/>
      <c r="BE5" s="107">
        <f>I5+L5+O5+U5+X5+AA5+AG5+AJ5+AM5+AS5+AV5+AY5</f>
        <v>112</v>
      </c>
      <c r="BF5" s="107">
        <f>S5+AE5+AQ5+BC5</f>
        <v>90</v>
      </c>
      <c r="BG5" s="107"/>
    </row>
    <row r="6" spans="1:60" ht="30" customHeight="1" x14ac:dyDescent="0.25">
      <c r="A6" s="316"/>
      <c r="B6" s="319"/>
      <c r="C6" s="48" t="s">
        <v>204</v>
      </c>
      <c r="D6" s="75" t="s">
        <v>176</v>
      </c>
      <c r="E6" s="75" t="s">
        <v>174</v>
      </c>
      <c r="F6" s="75" t="s">
        <v>183</v>
      </c>
      <c r="G6" s="76" t="s">
        <v>175</v>
      </c>
      <c r="H6" s="29"/>
      <c r="I6" s="136">
        <f>I4/I5</f>
        <v>1.25</v>
      </c>
      <c r="J6" s="85"/>
      <c r="K6" s="137"/>
      <c r="L6" s="136">
        <f>L4/L5</f>
        <v>1.25</v>
      </c>
      <c r="M6" s="85"/>
      <c r="N6" s="137"/>
      <c r="O6" s="136">
        <f>O4/O5</f>
        <v>1.25</v>
      </c>
      <c r="P6" s="85"/>
      <c r="Q6" s="137"/>
      <c r="R6" s="136">
        <f>R4/R5</f>
        <v>1.25</v>
      </c>
      <c r="S6" s="85"/>
      <c r="T6" s="137"/>
      <c r="U6" s="136">
        <f>U4/U5</f>
        <v>1.25</v>
      </c>
      <c r="V6" s="85"/>
      <c r="W6" s="83"/>
      <c r="X6" s="136">
        <f>X4/X5</f>
        <v>1.25</v>
      </c>
      <c r="Y6" s="85"/>
      <c r="Z6" s="83"/>
      <c r="AA6" s="136">
        <f>AA4/AA5</f>
        <v>1.25</v>
      </c>
      <c r="AB6" s="85"/>
      <c r="AC6" s="83"/>
      <c r="AD6" s="90">
        <f>AD4/AD5</f>
        <v>1.25</v>
      </c>
      <c r="AE6" s="83"/>
      <c r="AF6" s="83"/>
      <c r="AG6" s="136">
        <f>AG4/AG5</f>
        <v>1.25</v>
      </c>
      <c r="AH6" s="8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176"/>
      <c r="BE6" s="85">
        <f>BE4/BE5</f>
        <v>1.25</v>
      </c>
      <c r="BF6" s="85"/>
      <c r="BG6" s="85"/>
    </row>
    <row r="7" spans="1:60" ht="13.5" customHeight="1" x14ac:dyDescent="0.25">
      <c r="A7" s="316"/>
      <c r="B7" s="44"/>
      <c r="C7" s="39"/>
      <c r="D7" s="40"/>
      <c r="E7" s="40"/>
      <c r="F7" s="40"/>
      <c r="H7" s="29"/>
      <c r="I7" s="138"/>
      <c r="J7" s="41"/>
      <c r="K7" s="139"/>
      <c r="L7" s="138"/>
      <c r="M7" s="41"/>
      <c r="N7" s="139"/>
      <c r="O7" s="138"/>
      <c r="P7" s="41"/>
      <c r="Q7" s="139"/>
      <c r="R7" s="138"/>
      <c r="S7" s="41"/>
      <c r="T7" s="139"/>
      <c r="U7" s="138"/>
      <c r="V7" s="41"/>
      <c r="W7" s="41"/>
      <c r="X7" s="138"/>
      <c r="Y7" s="41"/>
      <c r="Z7" s="41"/>
      <c r="AA7" s="138"/>
      <c r="AB7" s="41"/>
      <c r="AC7" s="41"/>
      <c r="AD7" s="42"/>
      <c r="AE7" s="42"/>
      <c r="AF7" s="42"/>
      <c r="AG7" s="138"/>
      <c r="AH7" s="41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1"/>
      <c r="BF7" s="41"/>
      <c r="BG7" s="41"/>
    </row>
    <row r="8" spans="1:60" ht="15" customHeight="1" x14ac:dyDescent="0.25">
      <c r="A8" s="316"/>
      <c r="B8" s="318" t="s">
        <v>62</v>
      </c>
      <c r="C8" s="48" t="s">
        <v>205</v>
      </c>
      <c r="D8" s="75" t="s">
        <v>176</v>
      </c>
      <c r="E8" s="75" t="s">
        <v>174</v>
      </c>
      <c r="F8" s="75" t="s">
        <v>183</v>
      </c>
      <c r="G8" s="76" t="s">
        <v>179</v>
      </c>
      <c r="H8" s="81"/>
      <c r="I8" s="136">
        <v>0.05</v>
      </c>
      <c r="J8" s="85">
        <v>0.05</v>
      </c>
      <c r="K8" s="137"/>
      <c r="L8" s="136">
        <v>0.05</v>
      </c>
      <c r="M8" s="85">
        <v>0.05</v>
      </c>
      <c r="N8" s="137"/>
      <c r="O8" s="136">
        <v>0.05</v>
      </c>
      <c r="P8" s="85">
        <v>0.05</v>
      </c>
      <c r="Q8" s="137"/>
      <c r="R8" s="136">
        <f>(O8+L8+I8)/3</f>
        <v>5.000000000000001E-2</v>
      </c>
      <c r="S8" s="85">
        <f>(P8+M8+J8)/3</f>
        <v>5.000000000000001E-2</v>
      </c>
      <c r="T8" s="137"/>
      <c r="U8" s="136">
        <v>0.05</v>
      </c>
      <c r="V8" s="85">
        <v>0.05</v>
      </c>
      <c r="W8" s="11"/>
      <c r="X8" s="136">
        <v>0.05</v>
      </c>
      <c r="Y8" s="85">
        <v>0.05</v>
      </c>
      <c r="Z8" s="11"/>
      <c r="AA8" s="136">
        <v>0.05</v>
      </c>
      <c r="AB8" s="85">
        <v>0.05</v>
      </c>
      <c r="AC8" s="11"/>
      <c r="AD8" s="161">
        <f>'HT Stores BSC'!AD5/'TSF Prasadam Overall'!AD4</f>
        <v>502152.63333333336</v>
      </c>
      <c r="AE8" s="11"/>
      <c r="AF8" s="11"/>
      <c r="AG8" s="136">
        <v>0.05</v>
      </c>
      <c r="AH8" s="85">
        <v>0.05</v>
      </c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85"/>
      <c r="BF8" s="85"/>
      <c r="BG8" s="85"/>
    </row>
    <row r="9" spans="1:60" ht="15" customHeight="1" x14ac:dyDescent="0.25">
      <c r="A9" s="316"/>
      <c r="B9" s="319"/>
      <c r="C9" s="48" t="s">
        <v>206</v>
      </c>
      <c r="D9" s="75" t="s">
        <v>176</v>
      </c>
      <c r="E9" s="75" t="s">
        <v>174</v>
      </c>
      <c r="F9" s="75" t="s">
        <v>183</v>
      </c>
      <c r="G9" s="77" t="s">
        <v>178</v>
      </c>
      <c r="H9" s="81"/>
      <c r="I9" s="136">
        <v>0.05</v>
      </c>
      <c r="J9" s="85">
        <v>0.05</v>
      </c>
      <c r="K9" s="137"/>
      <c r="L9" s="136">
        <v>0.05</v>
      </c>
      <c r="M9" s="85">
        <v>0.05</v>
      </c>
      <c r="N9" s="137"/>
      <c r="O9" s="136">
        <v>0.05</v>
      </c>
      <c r="P9" s="85">
        <v>0.05</v>
      </c>
      <c r="Q9" s="137"/>
      <c r="R9" s="136">
        <f t="shared" ref="R9:R10" si="0">(O9+L9+I9)/3</f>
        <v>5.000000000000001E-2</v>
      </c>
      <c r="S9" s="85">
        <f t="shared" ref="S9:S10" si="1">(P9+M9+J9)/3</f>
        <v>5.000000000000001E-2</v>
      </c>
      <c r="T9" s="137"/>
      <c r="U9" s="136">
        <v>0.05</v>
      </c>
      <c r="V9" s="85">
        <v>0.05</v>
      </c>
      <c r="W9" s="11"/>
      <c r="X9" s="136">
        <v>0.05</v>
      </c>
      <c r="Y9" s="85">
        <v>0.05</v>
      </c>
      <c r="Z9" s="11"/>
      <c r="AA9" s="136">
        <v>0.05</v>
      </c>
      <c r="AB9" s="85">
        <v>0.05</v>
      </c>
      <c r="AC9" s="11"/>
      <c r="AD9" s="161">
        <f>'HT Express BSC '!AD5/'TSF Prasadam Overall'!AD4</f>
        <v>124272.1</v>
      </c>
      <c r="AE9" s="11"/>
      <c r="AF9" s="11"/>
      <c r="AG9" s="136">
        <v>0.05</v>
      </c>
      <c r="AH9" s="85">
        <v>0.05</v>
      </c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85"/>
      <c r="BF9" s="85"/>
      <c r="BG9" s="85"/>
    </row>
    <row r="10" spans="1:60" ht="26.25" customHeight="1" x14ac:dyDescent="0.25">
      <c r="A10" s="317"/>
      <c r="B10" s="320"/>
      <c r="C10" s="48" t="s">
        <v>207</v>
      </c>
      <c r="D10" s="75" t="s">
        <v>176</v>
      </c>
      <c r="E10" s="75" t="s">
        <v>174</v>
      </c>
      <c r="F10" s="75" t="s">
        <v>183</v>
      </c>
      <c r="G10" s="76" t="s">
        <v>180</v>
      </c>
      <c r="H10" s="81"/>
      <c r="I10" s="136">
        <v>0.05</v>
      </c>
      <c r="J10" s="85">
        <v>0.05</v>
      </c>
      <c r="K10" s="137"/>
      <c r="L10" s="136">
        <v>0.05</v>
      </c>
      <c r="M10" s="85">
        <v>0.05</v>
      </c>
      <c r="N10" s="137"/>
      <c r="O10" s="136">
        <v>0.05</v>
      </c>
      <c r="P10" s="85">
        <v>0.05</v>
      </c>
      <c r="Q10" s="137"/>
      <c r="R10" s="136">
        <f t="shared" si="0"/>
        <v>5.000000000000001E-2</v>
      </c>
      <c r="S10" s="85">
        <f t="shared" si="1"/>
        <v>5.000000000000001E-2</v>
      </c>
      <c r="T10" s="137"/>
      <c r="U10" s="136">
        <v>0.05</v>
      </c>
      <c r="V10" s="85">
        <v>0.05</v>
      </c>
      <c r="W10" s="11"/>
      <c r="X10" s="136">
        <v>0.05</v>
      </c>
      <c r="Y10" s="85">
        <v>0.05</v>
      </c>
      <c r="Z10" s="11"/>
      <c r="AA10" s="136">
        <v>0.05</v>
      </c>
      <c r="AB10" s="85">
        <v>0.05</v>
      </c>
      <c r="AC10" s="11"/>
      <c r="AD10" s="161">
        <f>'HT Fine Dining'!AD5/'TSF Prasadam Overall'!AD4</f>
        <v>102253.7265</v>
      </c>
      <c r="AE10" s="11"/>
      <c r="AF10" s="11"/>
      <c r="AG10" s="136">
        <v>0.05</v>
      </c>
      <c r="AH10" s="85">
        <v>0.05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85"/>
      <c r="BF10" s="85"/>
      <c r="BG10" s="85"/>
    </row>
    <row r="11" spans="1:60" ht="5.25" customHeight="1" x14ac:dyDescent="0.25">
      <c r="A11" s="44"/>
      <c r="B11" s="44"/>
      <c r="C11" s="39"/>
      <c r="D11" s="40"/>
      <c r="E11" s="40"/>
      <c r="F11" s="40"/>
      <c r="G11" s="41"/>
      <c r="H11" s="29"/>
      <c r="I11" s="138"/>
      <c r="J11" s="41"/>
      <c r="K11" s="139"/>
      <c r="L11" s="138"/>
      <c r="M11" s="41"/>
      <c r="N11" s="139"/>
      <c r="O11" s="138"/>
      <c r="P11" s="41"/>
      <c r="Q11" s="139"/>
      <c r="R11" s="138"/>
      <c r="S11" s="41"/>
      <c r="T11" s="139"/>
      <c r="U11" s="138"/>
      <c r="V11" s="41"/>
      <c r="W11" s="41"/>
      <c r="X11" s="138"/>
      <c r="Y11" s="41"/>
      <c r="Z11" s="41"/>
      <c r="AA11" s="138"/>
      <c r="AB11" s="41"/>
      <c r="AC11" s="41"/>
      <c r="AD11" s="42"/>
      <c r="AE11" s="42"/>
      <c r="AF11" s="42"/>
      <c r="AG11" s="138"/>
      <c r="AH11" s="41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1"/>
      <c r="BF11" s="41"/>
      <c r="BG11" s="41"/>
    </row>
    <row r="12" spans="1:60" ht="15.75" customHeight="1" x14ac:dyDescent="0.25">
      <c r="A12" s="315" t="s">
        <v>76</v>
      </c>
      <c r="B12" s="315" t="s">
        <v>71</v>
      </c>
      <c r="C12" s="48" t="s">
        <v>202</v>
      </c>
      <c r="D12" s="75" t="s">
        <v>176</v>
      </c>
      <c r="E12" s="75" t="s">
        <v>174</v>
      </c>
      <c r="F12" s="75" t="s">
        <v>183</v>
      </c>
      <c r="G12" s="76" t="s">
        <v>179</v>
      </c>
      <c r="H12" s="81"/>
      <c r="I12" s="142">
        <v>15</v>
      </c>
      <c r="J12" s="107">
        <v>15</v>
      </c>
      <c r="K12" s="137">
        <f>(I12-J12)/J12</f>
        <v>0</v>
      </c>
      <c r="L12" s="142">
        <v>15</v>
      </c>
      <c r="M12" s="107">
        <v>15</v>
      </c>
      <c r="N12" s="137">
        <f>(L12-M12)/M12</f>
        <v>0</v>
      </c>
      <c r="O12" s="142">
        <v>15</v>
      </c>
      <c r="P12" s="107">
        <v>15</v>
      </c>
      <c r="Q12" s="137"/>
      <c r="R12" s="142">
        <f>I12+L12+O12</f>
        <v>45</v>
      </c>
      <c r="S12" s="107">
        <f>J12+M12+P12</f>
        <v>45</v>
      </c>
      <c r="T12" s="137">
        <f>(R12-S12)/S12</f>
        <v>0</v>
      </c>
      <c r="U12" s="142">
        <v>15</v>
      </c>
      <c r="V12" s="107">
        <v>15</v>
      </c>
      <c r="W12" s="137">
        <f>(U12-V12)/V12</f>
        <v>0</v>
      </c>
      <c r="X12" s="142">
        <v>15</v>
      </c>
      <c r="Y12" s="107">
        <v>15</v>
      </c>
      <c r="Z12" s="11"/>
      <c r="AA12" s="142">
        <v>15</v>
      </c>
      <c r="AB12" s="107">
        <v>15</v>
      </c>
      <c r="AC12" s="11"/>
      <c r="AD12" s="142">
        <f>U12+X12+AA12</f>
        <v>45</v>
      </c>
      <c r="AE12" s="11"/>
      <c r="AF12" s="11"/>
      <c r="AG12" s="142">
        <v>15</v>
      </c>
      <c r="AH12" s="107">
        <v>15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07">
        <f t="shared" ref="BE12:BE13" si="2">I12+L12+O12+U12+X12+AA12+AG12+AJ12+AM12+AS12+AV12+AY12</f>
        <v>105</v>
      </c>
      <c r="BF12" s="107">
        <f t="shared" ref="BF12" si="3">J12+M12+P12+V12+Y12+AB12+AH12+AK12+AN12+AT12+AW12+AZ12</f>
        <v>105</v>
      </c>
      <c r="BG12" s="85">
        <f>(BE12-BF12)/BF12</f>
        <v>0</v>
      </c>
    </row>
    <row r="13" spans="1:60" ht="18" customHeight="1" x14ac:dyDescent="0.25">
      <c r="A13" s="316"/>
      <c r="B13" s="316"/>
      <c r="C13" s="48" t="s">
        <v>203</v>
      </c>
      <c r="D13" s="75" t="s">
        <v>176</v>
      </c>
      <c r="E13" s="75" t="s">
        <v>174</v>
      </c>
      <c r="F13" s="75" t="s">
        <v>183</v>
      </c>
      <c r="G13" s="76" t="s">
        <v>179</v>
      </c>
      <c r="H13" s="81"/>
      <c r="I13" s="142">
        <v>8</v>
      </c>
      <c r="J13" s="107">
        <v>8</v>
      </c>
      <c r="K13" s="160"/>
      <c r="L13" s="142">
        <v>8</v>
      </c>
      <c r="M13" s="107">
        <v>8</v>
      </c>
      <c r="N13" s="160"/>
      <c r="O13" s="142">
        <v>8</v>
      </c>
      <c r="P13" s="107">
        <v>8</v>
      </c>
      <c r="Q13" s="160"/>
      <c r="R13" s="142">
        <f>I13+L13+O13</f>
        <v>24</v>
      </c>
      <c r="S13" s="107"/>
      <c r="T13" s="160"/>
      <c r="U13" s="142">
        <v>8</v>
      </c>
      <c r="V13" s="107">
        <v>8</v>
      </c>
      <c r="W13" s="11"/>
      <c r="X13" s="142">
        <v>8</v>
      </c>
      <c r="Y13" s="107">
        <v>8</v>
      </c>
      <c r="Z13" s="11"/>
      <c r="AA13" s="142">
        <v>8</v>
      </c>
      <c r="AB13" s="107">
        <v>8</v>
      </c>
      <c r="AC13" s="11"/>
      <c r="AD13" s="142">
        <f>U13+X13+AA13</f>
        <v>24</v>
      </c>
      <c r="AE13" s="11"/>
      <c r="AF13" s="11"/>
      <c r="AG13" s="142">
        <v>8</v>
      </c>
      <c r="AH13" s="107">
        <v>8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07">
        <f t="shared" si="2"/>
        <v>56</v>
      </c>
      <c r="BF13" s="11">
        <f>S13+AE13+AQ13+BC13</f>
        <v>0</v>
      </c>
      <c r="BG13" s="11"/>
    </row>
    <row r="14" spans="1:60" ht="30" customHeight="1" x14ac:dyDescent="0.25">
      <c r="A14" s="316"/>
      <c r="B14" s="316"/>
      <c r="C14" s="48" t="s">
        <v>204</v>
      </c>
      <c r="D14" s="75" t="s">
        <v>176</v>
      </c>
      <c r="E14" s="75" t="s">
        <v>174</v>
      </c>
      <c r="F14" s="75" t="s">
        <v>183</v>
      </c>
      <c r="G14" s="76" t="s">
        <v>179</v>
      </c>
      <c r="H14" s="81"/>
      <c r="I14" s="161">
        <f>I12/I13</f>
        <v>1.875</v>
      </c>
      <c r="J14" s="90"/>
      <c r="K14" s="162"/>
      <c r="L14" s="161">
        <f>L12/L13</f>
        <v>1.875</v>
      </c>
      <c r="M14" s="90"/>
      <c r="N14" s="162"/>
      <c r="O14" s="161">
        <f>O12/O13</f>
        <v>1.875</v>
      </c>
      <c r="P14" s="90"/>
      <c r="Q14" s="162"/>
      <c r="R14" s="161">
        <f>R12/R13</f>
        <v>1.875</v>
      </c>
      <c r="S14" s="90"/>
      <c r="T14" s="162"/>
      <c r="U14" s="161">
        <f>U12/U13</f>
        <v>1.875</v>
      </c>
      <c r="V14" s="90"/>
      <c r="W14" s="11"/>
      <c r="X14" s="161">
        <f>X12/X13</f>
        <v>1.875</v>
      </c>
      <c r="Y14" s="90"/>
      <c r="Z14" s="11"/>
      <c r="AA14" s="161">
        <f>AA12/AA13</f>
        <v>1.875</v>
      </c>
      <c r="AB14" s="90"/>
      <c r="AC14" s="11"/>
      <c r="AD14" s="161">
        <f>AD12/AD13</f>
        <v>1.875</v>
      </c>
      <c r="AE14" s="11"/>
      <c r="AF14" s="11"/>
      <c r="AG14" s="161">
        <f>AG12/AG13</f>
        <v>1.875</v>
      </c>
      <c r="AH14" s="90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90">
        <f>BE12/BE13</f>
        <v>1.875</v>
      </c>
      <c r="BF14" s="90"/>
      <c r="BG14" s="90"/>
    </row>
    <row r="15" spans="1:60" ht="3" hidden="1" customHeight="1" outlineLevel="1" x14ac:dyDescent="0.25">
      <c r="A15" s="316"/>
      <c r="B15" s="44"/>
      <c r="C15" s="39"/>
      <c r="D15" s="40"/>
      <c r="E15" s="40"/>
      <c r="F15" s="75"/>
      <c r="G15" s="41"/>
      <c r="H15" s="29"/>
      <c r="I15" s="138"/>
      <c r="J15" s="41"/>
      <c r="K15" s="139"/>
      <c r="L15" s="138"/>
      <c r="M15" s="41"/>
      <c r="N15" s="139"/>
      <c r="O15" s="138"/>
      <c r="P15" s="41"/>
      <c r="Q15" s="139"/>
      <c r="R15" s="138"/>
      <c r="S15" s="41"/>
      <c r="T15" s="139"/>
      <c r="U15" s="138"/>
      <c r="V15" s="41"/>
      <c r="W15" s="41"/>
      <c r="X15" s="138"/>
      <c r="Y15" s="41"/>
      <c r="Z15" s="41"/>
      <c r="AA15" s="138"/>
      <c r="AB15" s="41"/>
      <c r="AC15" s="41"/>
      <c r="AD15" s="42"/>
      <c r="AE15" s="42"/>
      <c r="AF15" s="42"/>
      <c r="AG15" s="138"/>
      <c r="AH15" s="41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1"/>
      <c r="BF15" s="41"/>
      <c r="BG15" s="41"/>
    </row>
    <row r="16" spans="1:60" ht="16.5" hidden="1" customHeight="1" outlineLevel="1" x14ac:dyDescent="0.25">
      <c r="A16" s="316"/>
      <c r="B16" s="318" t="s">
        <v>72</v>
      </c>
      <c r="C16" s="48" t="s">
        <v>202</v>
      </c>
      <c r="D16" s="75" t="s">
        <v>176</v>
      </c>
      <c r="E16" s="75" t="s">
        <v>174</v>
      </c>
      <c r="F16" s="75" t="s">
        <v>183</v>
      </c>
      <c r="G16" s="76" t="s">
        <v>179</v>
      </c>
      <c r="H16" s="81"/>
      <c r="I16" s="142">
        <f>'HT Stores BSC'!I9</f>
        <v>674239</v>
      </c>
      <c r="J16" s="107"/>
      <c r="K16" s="160" t="s">
        <v>194</v>
      </c>
      <c r="L16" s="142">
        <f>'HT Stores BSC'!L9</f>
        <v>701071</v>
      </c>
      <c r="M16" s="107"/>
      <c r="N16" s="160" t="s">
        <v>194</v>
      </c>
      <c r="O16" s="142">
        <f>'HT Stores BSC'!O9</f>
        <v>756018</v>
      </c>
      <c r="P16" s="107"/>
      <c r="Q16" s="160"/>
      <c r="R16" s="142">
        <f>I16+L16+O16</f>
        <v>2131328</v>
      </c>
      <c r="S16" s="107"/>
      <c r="T16" s="160" t="s">
        <v>194</v>
      </c>
      <c r="U16" s="142">
        <f>'HT Stores BSC'!U9</f>
        <v>922514</v>
      </c>
      <c r="V16" s="107"/>
      <c r="W16" s="11"/>
      <c r="X16" s="142">
        <f>'HT Stores BSC'!X9</f>
        <v>947724</v>
      </c>
      <c r="Y16" s="107"/>
      <c r="Z16" s="11"/>
      <c r="AA16" s="142">
        <f>'HT Stores BSC'!AA9</f>
        <v>786880</v>
      </c>
      <c r="AB16" s="107"/>
      <c r="AC16" s="11"/>
      <c r="AD16" s="142">
        <f>U16+X16+AA16</f>
        <v>2657118</v>
      </c>
      <c r="AE16" s="11"/>
      <c r="AF16" s="11"/>
      <c r="AG16" s="142">
        <f>'HT Stores BSC'!AG9</f>
        <v>1118702</v>
      </c>
      <c r="AH16" s="107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07">
        <f t="shared" ref="BE16:BE17" si="4">I16+L16+O16+U16+X16+AA16+AG16+AJ16+AM16+AS16+AV16+AY16</f>
        <v>5907148</v>
      </c>
      <c r="BF16" s="11" t="s">
        <v>194</v>
      </c>
      <c r="BG16" s="11" t="s">
        <v>194</v>
      </c>
    </row>
    <row r="17" spans="1:59" ht="18" hidden="1" customHeight="1" outlineLevel="1" x14ac:dyDescent="0.25">
      <c r="A17" s="316"/>
      <c r="B17" s="319"/>
      <c r="C17" s="48" t="s">
        <v>203</v>
      </c>
      <c r="D17" s="75" t="s">
        <v>176</v>
      </c>
      <c r="E17" s="75" t="s">
        <v>174</v>
      </c>
      <c r="F17" s="75" t="s">
        <v>183</v>
      </c>
      <c r="G17" s="76" t="s">
        <v>179</v>
      </c>
      <c r="H17" s="81"/>
      <c r="I17" s="142">
        <f>'HT Stores BSC'!I10</f>
        <v>1000000</v>
      </c>
      <c r="J17" s="11"/>
      <c r="K17" s="160"/>
      <c r="L17" s="142">
        <f>'HT Stores BSC'!L10</f>
        <v>1000000</v>
      </c>
      <c r="M17" s="11"/>
      <c r="N17" s="160"/>
      <c r="O17" s="142">
        <f>'HT Stores BSC'!O10</f>
        <v>1000000</v>
      </c>
      <c r="P17" s="11"/>
      <c r="Q17" s="160"/>
      <c r="R17" s="142">
        <f>I17+L17+O17</f>
        <v>3000000</v>
      </c>
      <c r="S17" s="11"/>
      <c r="T17" s="160"/>
      <c r="U17" s="142">
        <f>'HT Stores BSC'!U10</f>
        <v>1000000</v>
      </c>
      <c r="V17" s="11"/>
      <c r="W17" s="11"/>
      <c r="X17" s="142">
        <f>'HT Stores BSC'!X10</f>
        <v>1000000</v>
      </c>
      <c r="Y17" s="11"/>
      <c r="Z17" s="11"/>
      <c r="AA17" s="142">
        <f>'HT Stores BSC'!AA10</f>
        <v>1000000</v>
      </c>
      <c r="AB17" s="11"/>
      <c r="AC17" s="11"/>
      <c r="AD17" s="142">
        <f>U17+X17+AA17</f>
        <v>3000000</v>
      </c>
      <c r="AE17" s="11"/>
      <c r="AF17" s="11"/>
      <c r="AG17" s="142">
        <f>'HT Stores BSC'!AG10</f>
        <v>1000000</v>
      </c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07">
        <f t="shared" si="4"/>
        <v>7000000</v>
      </c>
      <c r="BF17" s="11">
        <f>S17+AE17+AQ17+BC17</f>
        <v>0</v>
      </c>
      <c r="BG17" s="11"/>
    </row>
    <row r="18" spans="1:59" ht="23.25" hidden="1" customHeight="1" outlineLevel="1" x14ac:dyDescent="0.25">
      <c r="A18" s="316"/>
      <c r="B18" s="319"/>
      <c r="C18" s="48" t="s">
        <v>204</v>
      </c>
      <c r="D18" s="75" t="s">
        <v>176</v>
      </c>
      <c r="E18" s="75" t="s">
        <v>174</v>
      </c>
      <c r="F18" s="75" t="s">
        <v>183</v>
      </c>
      <c r="G18" s="76" t="s">
        <v>179</v>
      </c>
      <c r="H18" s="81"/>
      <c r="I18" s="161">
        <f>I16/I17</f>
        <v>0.67423900000000003</v>
      </c>
      <c r="J18" s="90"/>
      <c r="K18" s="162"/>
      <c r="L18" s="161">
        <f>L16/L17</f>
        <v>0.701071</v>
      </c>
      <c r="M18" s="90"/>
      <c r="N18" s="162"/>
      <c r="O18" s="161">
        <f>O16/O17</f>
        <v>0.75601799999999997</v>
      </c>
      <c r="P18" s="90"/>
      <c r="Q18" s="162"/>
      <c r="R18" s="161"/>
      <c r="S18" s="90"/>
      <c r="T18" s="162"/>
      <c r="U18" s="161">
        <f>U16/U17</f>
        <v>0.92251399999999995</v>
      </c>
      <c r="V18" s="90"/>
      <c r="W18" s="11"/>
      <c r="X18" s="161">
        <f>X16/X17</f>
        <v>0.94772400000000001</v>
      </c>
      <c r="Y18" s="90"/>
      <c r="Z18" s="11"/>
      <c r="AA18" s="161">
        <f>AA16/AA17</f>
        <v>0.78688000000000002</v>
      </c>
      <c r="AB18" s="90"/>
      <c r="AC18" s="11"/>
      <c r="AD18" s="90">
        <f>AD16/AD17</f>
        <v>0.88570599999999999</v>
      </c>
      <c r="AE18" s="11"/>
      <c r="AF18" s="11"/>
      <c r="AG18" s="161">
        <f>AG16/AG17</f>
        <v>1.1187020000000001</v>
      </c>
      <c r="AH18" s="9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90">
        <f>BE16/BE17</f>
        <v>0.84387828571428569</v>
      </c>
      <c r="BF18" s="90"/>
      <c r="BG18" s="90"/>
    </row>
    <row r="19" spans="1:59" ht="4.5" hidden="1" customHeight="1" outlineLevel="1" x14ac:dyDescent="0.25">
      <c r="A19" s="316"/>
      <c r="B19" s="44"/>
      <c r="C19" s="39"/>
      <c r="D19" s="40"/>
      <c r="E19" s="40"/>
      <c r="F19" s="75"/>
      <c r="G19" s="76" t="s">
        <v>177</v>
      </c>
      <c r="H19" s="29"/>
      <c r="I19" s="138"/>
      <c r="J19" s="41"/>
      <c r="K19" s="139"/>
      <c r="L19" s="138"/>
      <c r="M19" s="41"/>
      <c r="N19" s="139"/>
      <c r="O19" s="138"/>
      <c r="P19" s="41"/>
      <c r="Q19" s="139"/>
      <c r="R19" s="138"/>
      <c r="S19" s="41"/>
      <c r="T19" s="139"/>
      <c r="U19" s="138"/>
      <c r="V19" s="41"/>
      <c r="W19" s="41"/>
      <c r="X19" s="138"/>
      <c r="Y19" s="41"/>
      <c r="Z19" s="41"/>
      <c r="AA19" s="138"/>
      <c r="AB19" s="41"/>
      <c r="AC19" s="41"/>
      <c r="AD19" s="42"/>
      <c r="AE19" s="42"/>
      <c r="AF19" s="42"/>
      <c r="AG19" s="138"/>
      <c r="AH19" s="41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1"/>
      <c r="BF19" s="41"/>
      <c r="BG19" s="41"/>
    </row>
    <row r="20" spans="1:59" ht="18.75" hidden="1" customHeight="1" outlineLevel="1" x14ac:dyDescent="0.25">
      <c r="A20" s="316"/>
      <c r="B20" s="318" t="s">
        <v>73</v>
      </c>
      <c r="C20" s="48" t="s">
        <v>202</v>
      </c>
      <c r="D20" s="75" t="s">
        <v>176</v>
      </c>
      <c r="E20" s="75" t="s">
        <v>174</v>
      </c>
      <c r="F20" s="75" t="s">
        <v>183</v>
      </c>
      <c r="G20" s="76" t="s">
        <v>179</v>
      </c>
      <c r="H20" s="81"/>
      <c r="I20" s="142">
        <f>'HT Stores BSC'!I13</f>
        <v>5907905</v>
      </c>
      <c r="J20" s="107">
        <f>'HT Stores BSC'!J13</f>
        <v>5053895</v>
      </c>
      <c r="K20" s="137">
        <f>(I20-J20)/J20</f>
        <v>0.16898055855928942</v>
      </c>
      <c r="L20" s="142">
        <f>'HT Stores BSC'!L13</f>
        <v>10062005</v>
      </c>
      <c r="M20" s="107">
        <f>'HT Stores BSC'!M13</f>
        <v>8207455</v>
      </c>
      <c r="N20" s="137">
        <f>(L20-M20)/M20</f>
        <v>0.2259592041625571</v>
      </c>
      <c r="O20" s="142">
        <f>'HT Stores BSC'!O13</f>
        <v>7596420</v>
      </c>
      <c r="P20" s="107">
        <f>'HT Stores BSC'!P13</f>
        <v>7054581</v>
      </c>
      <c r="Q20" s="137"/>
      <c r="R20" s="142">
        <f>I20+L20+O20</f>
        <v>23566330</v>
      </c>
      <c r="S20" s="107">
        <f>J20+M20+P20</f>
        <v>20315931</v>
      </c>
      <c r="T20" s="137">
        <f>(R20-S20)/S20</f>
        <v>0.15999261860064401</v>
      </c>
      <c r="U20" s="142">
        <f>'HT Stores BSC'!U13</f>
        <v>6978665</v>
      </c>
      <c r="V20" s="107">
        <f>'HT Stores BSC'!V13</f>
        <v>5512980</v>
      </c>
      <c r="W20" s="11"/>
      <c r="X20" s="142">
        <f>'HT Stores BSC'!X13</f>
        <v>9218170</v>
      </c>
      <c r="Y20" s="107">
        <f>'HT Stores BSC'!Y13</f>
        <v>8169238</v>
      </c>
      <c r="Z20" s="11"/>
      <c r="AA20" s="142">
        <f>'HT Stores BSC'!AA13</f>
        <v>5790135</v>
      </c>
      <c r="AB20" s="107">
        <f>'HT Stores BSC'!AB13</f>
        <v>5822410</v>
      </c>
      <c r="AC20" s="11"/>
      <c r="AD20" s="142">
        <f t="shared" ref="AD20:AD21" si="5">U20+X20+AA20</f>
        <v>21986970</v>
      </c>
      <c r="AE20" s="11"/>
      <c r="AF20" s="11"/>
      <c r="AG20" s="142">
        <f>'HT Stores BSC'!AG13</f>
        <v>6787070</v>
      </c>
      <c r="AH20" s="107">
        <f>'HT Stores BSC'!AH13</f>
        <v>0</v>
      </c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07">
        <f>I20+L20+O20+U20+X20+AA20+AG20+AJ20+AM20+AS20+AV20+AY20</f>
        <v>52340370</v>
      </c>
      <c r="BF20" s="107">
        <f t="shared" ref="BF20" si="6">J20+M20+P20+V20+Y20+AB20+AH20+AK20+AN20+AT20+AW20+AZ20</f>
        <v>39820559</v>
      </c>
      <c r="BG20" s="85">
        <f>(BE20-BF20)/BF20</f>
        <v>0.31440570686112168</v>
      </c>
    </row>
    <row r="21" spans="1:59" ht="19.5" hidden="1" customHeight="1" outlineLevel="1" x14ac:dyDescent="0.25">
      <c r="A21" s="316"/>
      <c r="B21" s="319"/>
      <c r="C21" s="48" t="s">
        <v>203</v>
      </c>
      <c r="D21" s="75" t="s">
        <v>176</v>
      </c>
      <c r="E21" s="75" t="s">
        <v>174</v>
      </c>
      <c r="F21" s="75" t="s">
        <v>183</v>
      </c>
      <c r="G21" s="76" t="s">
        <v>179</v>
      </c>
      <c r="H21" s="81"/>
      <c r="I21" s="142">
        <f>'HT Stores BSC'!I14</f>
        <v>5820000</v>
      </c>
      <c r="J21" s="107"/>
      <c r="K21" s="160"/>
      <c r="L21" s="142">
        <f>'HT Stores BSC'!L14</f>
        <v>9450000</v>
      </c>
      <c r="M21" s="107"/>
      <c r="N21" s="160"/>
      <c r="O21" s="142">
        <f>'HT Stores BSC'!O14</f>
        <v>8110000</v>
      </c>
      <c r="P21" s="107"/>
      <c r="Q21" s="160"/>
      <c r="R21" s="142">
        <f>I21+L21+O21</f>
        <v>23380000</v>
      </c>
      <c r="S21" s="107"/>
      <c r="T21" s="160"/>
      <c r="U21" s="142">
        <f>'HT Stores BSC'!U14</f>
        <v>6340000</v>
      </c>
      <c r="V21" s="107"/>
      <c r="W21" s="11"/>
      <c r="X21" s="142">
        <f>'HT Stores BSC'!X14</f>
        <v>9400000</v>
      </c>
      <c r="Y21" s="107"/>
      <c r="Z21" s="11"/>
      <c r="AA21" s="142">
        <f>'HT Stores BSC'!AA14</f>
        <v>6700000</v>
      </c>
      <c r="AB21" s="107"/>
      <c r="AC21" s="11"/>
      <c r="AD21" s="142">
        <f t="shared" si="5"/>
        <v>22440000</v>
      </c>
      <c r="AE21" s="11"/>
      <c r="AF21" s="11"/>
      <c r="AG21" s="142">
        <f>'HT Stores BSC'!AG14</f>
        <v>6925000</v>
      </c>
      <c r="AH21" s="107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07">
        <f>I21+L21+O21+U21+X21+AA21+AG21+AJ21+AM21+AS21+AV21+AY21</f>
        <v>52745000</v>
      </c>
      <c r="BF21" s="11">
        <f>S21+AE21+AQ21+BC21</f>
        <v>0</v>
      </c>
      <c r="BG21" s="11"/>
    </row>
    <row r="22" spans="1:59" ht="25.5" hidden="1" customHeight="1" outlineLevel="1" x14ac:dyDescent="0.25">
      <c r="A22" s="316"/>
      <c r="B22" s="319"/>
      <c r="C22" s="48" t="s">
        <v>204</v>
      </c>
      <c r="D22" s="75" t="s">
        <v>176</v>
      </c>
      <c r="E22" s="75" t="s">
        <v>174</v>
      </c>
      <c r="F22" s="75" t="s">
        <v>183</v>
      </c>
      <c r="G22" s="76" t="s">
        <v>179</v>
      </c>
      <c r="H22" s="81"/>
      <c r="I22" s="161">
        <f>'HT Stores BSC'!I15</f>
        <v>1.0151039518900344</v>
      </c>
      <c r="J22" s="90"/>
      <c r="K22" s="162"/>
      <c r="L22" s="161">
        <f>'HT Stores BSC'!L15</f>
        <v>1.064762433862434</v>
      </c>
      <c r="M22" s="90"/>
      <c r="N22" s="162"/>
      <c r="O22" s="161">
        <f>'HT Stores BSC'!O15</f>
        <v>0.93667324290998766</v>
      </c>
      <c r="P22" s="90"/>
      <c r="Q22" s="162"/>
      <c r="R22" s="161"/>
      <c r="S22" s="90"/>
      <c r="T22" s="162"/>
      <c r="U22" s="161">
        <f>'HT Stores BSC'!U15</f>
        <v>1.1007358044164037</v>
      </c>
      <c r="V22" s="90"/>
      <c r="W22" s="11"/>
      <c r="X22" s="161">
        <f>'HT Stores BSC'!X15</f>
        <v>0.98065638297872337</v>
      </c>
      <c r="Y22" s="90"/>
      <c r="Z22" s="11"/>
      <c r="AA22" s="161">
        <f>'HT Stores BSC'!AA15</f>
        <v>0.86419925373134332</v>
      </c>
      <c r="AB22" s="90"/>
      <c r="AC22" s="11"/>
      <c r="AD22" s="90">
        <f>AD20/AD21</f>
        <v>0.97981149732620321</v>
      </c>
      <c r="AE22" s="11"/>
      <c r="AF22" s="11"/>
      <c r="AG22" s="161">
        <f>'HT Stores BSC'!AG15</f>
        <v>0.98008231046931404</v>
      </c>
      <c r="AH22" s="90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90">
        <f>BE20/BE21</f>
        <v>0.99232856194899988</v>
      </c>
      <c r="BF22" s="90"/>
      <c r="BG22" s="90"/>
    </row>
    <row r="23" spans="1:59" ht="4.5" hidden="1" customHeight="1" outlineLevel="1" x14ac:dyDescent="0.25">
      <c r="A23" s="316"/>
      <c r="B23" s="44"/>
      <c r="C23" s="39"/>
      <c r="D23" s="40"/>
      <c r="E23" s="40"/>
      <c r="F23" s="75"/>
      <c r="G23" s="76" t="s">
        <v>177</v>
      </c>
      <c r="H23" s="29"/>
      <c r="I23" s="138"/>
      <c r="J23" s="41"/>
      <c r="K23" s="139"/>
      <c r="L23" s="138"/>
      <c r="M23" s="41"/>
      <c r="N23" s="139"/>
      <c r="O23" s="138"/>
      <c r="P23" s="41"/>
      <c r="Q23" s="139"/>
      <c r="R23" s="138"/>
      <c r="S23" s="41"/>
      <c r="T23" s="139"/>
      <c r="U23" s="138"/>
      <c r="V23" s="41"/>
      <c r="W23" s="41"/>
      <c r="X23" s="138"/>
      <c r="Y23" s="41"/>
      <c r="Z23" s="41"/>
      <c r="AA23" s="138"/>
      <c r="AB23" s="41"/>
      <c r="AC23" s="41"/>
      <c r="AD23" s="42"/>
      <c r="AE23" s="42"/>
      <c r="AF23" s="42"/>
      <c r="AG23" s="138"/>
      <c r="AH23" s="41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1"/>
      <c r="BF23" s="41"/>
      <c r="BG23" s="41"/>
    </row>
    <row r="24" spans="1:59" ht="18" hidden="1" customHeight="1" outlineLevel="1" x14ac:dyDescent="0.25">
      <c r="A24" s="316"/>
      <c r="B24" s="318" t="s">
        <v>74</v>
      </c>
      <c r="C24" s="48" t="s">
        <v>202</v>
      </c>
      <c r="D24" s="75" t="s">
        <v>176</v>
      </c>
      <c r="E24" s="75" t="s">
        <v>174</v>
      </c>
      <c r="F24" s="75" t="s">
        <v>183</v>
      </c>
      <c r="G24" s="11" t="s">
        <v>182</v>
      </c>
      <c r="H24" s="81"/>
      <c r="I24" s="142">
        <f>'HT Stores BSC'!I17</f>
        <v>5632239</v>
      </c>
      <c r="J24" s="107">
        <v>1294428.1183333334</v>
      </c>
      <c r="K24" s="137">
        <f>(I24-J24)/J24</f>
        <v>3.3511408012767068</v>
      </c>
      <c r="L24" s="142">
        <f>'HT Stores BSC'!L17</f>
        <v>942712</v>
      </c>
      <c r="M24" s="107">
        <v>1294428.1183333334</v>
      </c>
      <c r="N24" s="137">
        <f>(L24-M24)/M24</f>
        <v>-0.27171544974331402</v>
      </c>
      <c r="O24" s="142">
        <f>'HT Stores BSC'!O17</f>
        <v>1062520</v>
      </c>
      <c r="P24" s="107">
        <v>1294428.1183333334</v>
      </c>
      <c r="Q24" s="137"/>
      <c r="R24" s="142">
        <f>I24+L24+O24</f>
        <v>7637471</v>
      </c>
      <c r="S24" s="107">
        <f>J24+M24+P24</f>
        <v>3883284.3550000004</v>
      </c>
      <c r="T24" s="137">
        <f>(R24-S24)/S24</f>
        <v>0.96675553521240887</v>
      </c>
      <c r="U24" s="142">
        <f>'HT Stores BSC'!U17</f>
        <v>656791</v>
      </c>
      <c r="V24" s="107">
        <v>1294428.1183333334</v>
      </c>
      <c r="W24" s="11"/>
      <c r="X24" s="142">
        <f>'HT Stores BSC'!X17</f>
        <v>1526482</v>
      </c>
      <c r="Y24" s="107">
        <v>1294428.1183333334</v>
      </c>
      <c r="Z24" s="11"/>
      <c r="AA24" s="142">
        <f>'HT Stores BSC'!AA17</f>
        <v>3301797</v>
      </c>
      <c r="AB24" s="107">
        <v>1294428.1183333334</v>
      </c>
      <c r="AC24" s="11"/>
      <c r="AD24" s="142">
        <f t="shared" ref="AD24:AD25" si="7">U24+X24+AA24</f>
        <v>5485070</v>
      </c>
      <c r="AE24" s="11"/>
      <c r="AF24" s="11"/>
      <c r="AG24" s="142">
        <f>'HT Stores BSC'!AG17</f>
        <v>5162552</v>
      </c>
      <c r="AH24" s="107">
        <v>1294428.1183333334</v>
      </c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07">
        <f>I24+L24+O24+U24+X24+AA24+AG24+AJ24+AM24+AS24+AV24+AY24</f>
        <v>18285093</v>
      </c>
      <c r="BF24" s="107">
        <f t="shared" ref="BF24" si="8">J24+M24+P24+V24+Y24+AB24+AH24+AK24+AN24+AT24+AW24+AZ24</f>
        <v>9060996.8283333331</v>
      </c>
      <c r="BG24" s="85">
        <f>(BE24-BF24)/BF24</f>
        <v>1.018000154555107</v>
      </c>
    </row>
    <row r="25" spans="1:59" ht="15.75" hidden="1" customHeight="1" outlineLevel="1" x14ac:dyDescent="0.25">
      <c r="A25" s="316"/>
      <c r="B25" s="319"/>
      <c r="C25" s="48" t="s">
        <v>203</v>
      </c>
      <c r="D25" s="75" t="s">
        <v>176</v>
      </c>
      <c r="E25" s="75" t="s">
        <v>174</v>
      </c>
      <c r="F25" s="75" t="s">
        <v>183</v>
      </c>
      <c r="G25" s="11" t="s">
        <v>182</v>
      </c>
      <c r="H25" s="81"/>
      <c r="I25" s="142">
        <f>'HT Stores BSC'!I18</f>
        <v>2000000</v>
      </c>
      <c r="J25" s="11"/>
      <c r="K25" s="160"/>
      <c r="L25" s="142">
        <f>'HT Stores BSC'!L18</f>
        <v>2000000</v>
      </c>
      <c r="M25" s="11"/>
      <c r="N25" s="160"/>
      <c r="O25" s="142">
        <f>'HT Stores BSC'!O18</f>
        <v>2000000</v>
      </c>
      <c r="P25" s="11"/>
      <c r="Q25" s="160"/>
      <c r="R25" s="142">
        <f>I25+L25+O25</f>
        <v>6000000</v>
      </c>
      <c r="S25" s="11"/>
      <c r="T25" s="160"/>
      <c r="U25" s="142">
        <f>'HT Stores BSC'!U18</f>
        <v>2000000</v>
      </c>
      <c r="V25" s="11"/>
      <c r="W25" s="11"/>
      <c r="X25" s="142">
        <f>'HT Stores BSC'!X18</f>
        <v>2000000</v>
      </c>
      <c r="Y25" s="11"/>
      <c r="Z25" s="11"/>
      <c r="AA25" s="142">
        <f>'HT Stores BSC'!AA18</f>
        <v>6700000</v>
      </c>
      <c r="AB25" s="11"/>
      <c r="AC25" s="11"/>
      <c r="AD25" s="142">
        <f t="shared" si="7"/>
        <v>10700000</v>
      </c>
      <c r="AE25" s="11"/>
      <c r="AF25" s="11"/>
      <c r="AG25" s="142">
        <f>'HT Stores BSC'!AG18</f>
        <v>2000000</v>
      </c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07">
        <f>I25+L25+O25+U25+X25+AA25+AG25+AJ25+AM25+AS25+AV25+AY25</f>
        <v>18700000</v>
      </c>
      <c r="BF25" s="11">
        <f>S25+AE25+AQ25+BC25</f>
        <v>0</v>
      </c>
      <c r="BG25" s="11"/>
    </row>
    <row r="26" spans="1:59" ht="16.5" hidden="1" customHeight="1" outlineLevel="1" x14ac:dyDescent="0.25">
      <c r="A26" s="316"/>
      <c r="B26" s="319"/>
      <c r="C26" s="48" t="s">
        <v>204</v>
      </c>
      <c r="D26" s="75" t="s">
        <v>176</v>
      </c>
      <c r="E26" s="75" t="s">
        <v>174</v>
      </c>
      <c r="F26" s="75" t="s">
        <v>183</v>
      </c>
      <c r="G26" s="11" t="s">
        <v>182</v>
      </c>
      <c r="H26" s="81"/>
      <c r="I26" s="161">
        <f>I24/I25</f>
        <v>2.8161195000000001</v>
      </c>
      <c r="J26" s="90"/>
      <c r="K26" s="162"/>
      <c r="L26" s="161">
        <f>L24/L25</f>
        <v>0.471356</v>
      </c>
      <c r="M26" s="90"/>
      <c r="N26" s="162"/>
      <c r="O26" s="161">
        <f>O24/O25</f>
        <v>0.53125999999999995</v>
      </c>
      <c r="P26" s="90"/>
      <c r="Q26" s="162"/>
      <c r="R26" s="161"/>
      <c r="S26" s="90"/>
      <c r="T26" s="162"/>
      <c r="U26" s="161">
        <f>U24/U25</f>
        <v>0.32839550000000001</v>
      </c>
      <c r="V26" s="90"/>
      <c r="W26" s="11"/>
      <c r="X26" s="161">
        <f>X24/X25</f>
        <v>0.76324099999999995</v>
      </c>
      <c r="Y26" s="90"/>
      <c r="Z26" s="11"/>
      <c r="AA26" s="161">
        <f>AA24/AA25</f>
        <v>0.49280552238805969</v>
      </c>
      <c r="AB26" s="90"/>
      <c r="AC26" s="11"/>
      <c r="AD26" s="161">
        <f>AD24/AD25</f>
        <v>0.51262336448598134</v>
      </c>
      <c r="AE26" s="11"/>
      <c r="AF26" s="11"/>
      <c r="AG26" s="161">
        <f>AG24/AG25</f>
        <v>2.5812759999999999</v>
      </c>
      <c r="AH26" s="90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90">
        <f>BE24/BE25</f>
        <v>0.9778124598930481</v>
      </c>
      <c r="BF26" s="90"/>
      <c r="BG26" s="90"/>
    </row>
    <row r="27" spans="1:59" ht="4.5" hidden="1" customHeight="1" outlineLevel="1" x14ac:dyDescent="0.25">
      <c r="A27" s="316"/>
      <c r="B27" s="44"/>
      <c r="C27" s="39"/>
      <c r="D27" s="40"/>
      <c r="E27" s="40"/>
      <c r="F27" s="75"/>
      <c r="G27" s="41"/>
      <c r="H27" s="29"/>
      <c r="I27" s="138"/>
      <c r="J27" s="41"/>
      <c r="K27" s="139"/>
      <c r="L27" s="138"/>
      <c r="M27" s="41"/>
      <c r="N27" s="139"/>
      <c r="O27" s="138"/>
      <c r="P27" s="41"/>
      <c r="Q27" s="139"/>
      <c r="R27" s="138"/>
      <c r="S27" s="41"/>
      <c r="T27" s="139"/>
      <c r="U27" s="138"/>
      <c r="V27" s="41"/>
      <c r="W27" s="41"/>
      <c r="X27" s="138"/>
      <c r="Y27" s="41"/>
      <c r="Z27" s="41"/>
      <c r="AA27" s="138"/>
      <c r="AB27" s="41"/>
      <c r="AC27" s="41"/>
      <c r="AD27" s="42"/>
      <c r="AE27" s="42"/>
      <c r="AF27" s="42"/>
      <c r="AG27" s="138"/>
      <c r="AH27" s="41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1"/>
      <c r="BF27" s="41"/>
      <c r="BG27" s="41"/>
    </row>
    <row r="28" spans="1:59" ht="25.5" customHeight="1" collapsed="1" x14ac:dyDescent="0.25">
      <c r="A28" s="316"/>
      <c r="B28" s="315" t="s">
        <v>75</v>
      </c>
      <c r="C28" s="48" t="s">
        <v>212</v>
      </c>
      <c r="D28" s="75" t="s">
        <v>176</v>
      </c>
      <c r="E28" s="75" t="s">
        <v>174</v>
      </c>
      <c r="F28" s="75" t="s">
        <v>183</v>
      </c>
      <c r="G28" s="11" t="s">
        <v>179</v>
      </c>
      <c r="H28" s="81"/>
      <c r="I28" s="136">
        <v>0.45</v>
      </c>
      <c r="J28" s="85">
        <v>0.15</v>
      </c>
      <c r="K28" s="137"/>
      <c r="L28" s="136">
        <v>0.45</v>
      </c>
      <c r="M28" s="85">
        <v>0.15</v>
      </c>
      <c r="N28" s="137"/>
      <c r="O28" s="136">
        <v>0.45</v>
      </c>
      <c r="P28" s="85">
        <v>0.15</v>
      </c>
      <c r="Q28" s="137"/>
      <c r="R28" s="136">
        <f>R16/R12</f>
        <v>47362.844444444447</v>
      </c>
      <c r="S28" s="85"/>
      <c r="T28" s="137"/>
      <c r="U28" s="136">
        <v>0.45</v>
      </c>
      <c r="V28" s="85">
        <v>0.15</v>
      </c>
      <c r="W28" s="11"/>
      <c r="X28" s="136">
        <v>0.45</v>
      </c>
      <c r="Y28" s="85">
        <v>0.15</v>
      </c>
      <c r="Z28" s="11"/>
      <c r="AA28" s="136">
        <v>0.45</v>
      </c>
      <c r="AB28" s="85">
        <v>0.15</v>
      </c>
      <c r="AC28" s="11"/>
      <c r="AD28" s="136">
        <f>AD16/AD12</f>
        <v>59047.066666666666</v>
      </c>
      <c r="AE28" s="11"/>
      <c r="AF28" s="11"/>
      <c r="AG28" s="136">
        <v>0.45</v>
      </c>
      <c r="AH28" s="85">
        <v>0.15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85">
        <f>BE16/BE12</f>
        <v>56258.55238095238</v>
      </c>
      <c r="BF28" s="85"/>
      <c r="BG28" s="85"/>
    </row>
    <row r="29" spans="1:59" ht="27" customHeight="1" x14ac:dyDescent="0.25">
      <c r="A29" s="316"/>
      <c r="B29" s="316"/>
      <c r="C29" s="48" t="s">
        <v>213</v>
      </c>
      <c r="D29" s="75" t="s">
        <v>176</v>
      </c>
      <c r="E29" s="75" t="s">
        <v>174</v>
      </c>
      <c r="F29" s="75" t="s">
        <v>183</v>
      </c>
      <c r="G29" s="11" t="s">
        <v>179</v>
      </c>
      <c r="H29" s="81"/>
      <c r="I29" s="136">
        <v>0.39</v>
      </c>
      <c r="J29" s="85">
        <v>0.1</v>
      </c>
      <c r="K29" s="137"/>
      <c r="L29" s="136">
        <v>0.39</v>
      </c>
      <c r="M29" s="85">
        <v>0.1</v>
      </c>
      <c r="N29" s="137"/>
      <c r="O29" s="136">
        <v>0.39</v>
      </c>
      <c r="P29" s="85">
        <v>0.1</v>
      </c>
      <c r="Q29" s="137"/>
      <c r="R29" s="136">
        <f>R20/R12</f>
        <v>523696.22222222225</v>
      </c>
      <c r="S29" s="85"/>
      <c r="T29" s="137"/>
      <c r="U29" s="136">
        <v>0.39</v>
      </c>
      <c r="V29" s="85">
        <v>0.1</v>
      </c>
      <c r="W29" s="11"/>
      <c r="X29" s="136">
        <v>0.39</v>
      </c>
      <c r="Y29" s="85">
        <v>0.1</v>
      </c>
      <c r="Z29" s="11"/>
      <c r="AA29" s="136">
        <v>0.39</v>
      </c>
      <c r="AB29" s="85">
        <v>0.1</v>
      </c>
      <c r="AC29" s="11"/>
      <c r="AD29" s="136">
        <f>AD20/AD12</f>
        <v>488599.33333333331</v>
      </c>
      <c r="AE29" s="11"/>
      <c r="AF29" s="11"/>
      <c r="AG29" s="136">
        <v>0.39</v>
      </c>
      <c r="AH29" s="85">
        <v>0.1</v>
      </c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85">
        <f>BE20/BE12</f>
        <v>498479.71428571426</v>
      </c>
      <c r="BF29" s="85"/>
      <c r="BG29" s="85"/>
    </row>
    <row r="30" spans="1:59" ht="16.5" customHeight="1" x14ac:dyDescent="0.25">
      <c r="A30" s="317"/>
      <c r="B30" s="316"/>
      <c r="C30" s="48" t="s">
        <v>214</v>
      </c>
      <c r="D30" s="75" t="s">
        <v>176</v>
      </c>
      <c r="E30" s="75" t="s">
        <v>174</v>
      </c>
      <c r="F30" s="75" t="s">
        <v>183</v>
      </c>
      <c r="G30" s="11" t="s">
        <v>182</v>
      </c>
      <c r="H30" s="81"/>
      <c r="I30" s="136">
        <v>0.37</v>
      </c>
      <c r="J30" s="85">
        <v>0.06</v>
      </c>
      <c r="K30" s="137"/>
      <c r="L30" s="136">
        <v>0.37</v>
      </c>
      <c r="M30" s="85">
        <v>0.06</v>
      </c>
      <c r="N30" s="137"/>
      <c r="O30" s="136">
        <v>0.37</v>
      </c>
      <c r="P30" s="85">
        <v>0.06</v>
      </c>
      <c r="Q30" s="137"/>
      <c r="R30" s="136">
        <f>R24/R12</f>
        <v>169721.57777777777</v>
      </c>
      <c r="S30" s="85"/>
      <c r="T30" s="137"/>
      <c r="U30" s="136">
        <v>0.37</v>
      </c>
      <c r="V30" s="85">
        <v>0.06</v>
      </c>
      <c r="W30" s="11"/>
      <c r="X30" s="136">
        <v>0.37</v>
      </c>
      <c r="Y30" s="85">
        <v>0.06</v>
      </c>
      <c r="Z30" s="11"/>
      <c r="AA30" s="136">
        <v>0.37</v>
      </c>
      <c r="AB30" s="85">
        <v>0.06</v>
      </c>
      <c r="AC30" s="11"/>
      <c r="AD30" s="136">
        <f>AD24/AD12</f>
        <v>121890.44444444444</v>
      </c>
      <c r="AE30" s="11"/>
      <c r="AF30" s="11"/>
      <c r="AG30" s="136">
        <v>0.37</v>
      </c>
      <c r="AH30" s="85">
        <v>0.06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85">
        <f>BE24/BE12</f>
        <v>174143.74285714285</v>
      </c>
      <c r="BF30" s="85"/>
      <c r="BG30" s="85"/>
    </row>
    <row r="31" spans="1:59" ht="5.25" customHeight="1" x14ac:dyDescent="0.25">
      <c r="A31" s="49"/>
      <c r="B31" s="44"/>
      <c r="C31" s="39"/>
      <c r="D31" s="40"/>
      <c r="E31" s="40"/>
      <c r="F31" s="75"/>
      <c r="G31" s="41"/>
      <c r="H31" s="29"/>
      <c r="I31" s="138"/>
      <c r="J31" s="41"/>
      <c r="K31" s="139"/>
      <c r="L31" s="138"/>
      <c r="M31" s="41"/>
      <c r="N31" s="139"/>
      <c r="O31" s="138"/>
      <c r="P31" s="41"/>
      <c r="Q31" s="139"/>
      <c r="R31" s="138"/>
      <c r="S31" s="41"/>
      <c r="T31" s="139"/>
      <c r="U31" s="138"/>
      <c r="V31" s="41"/>
      <c r="W31" s="41"/>
      <c r="X31" s="138"/>
      <c r="Y31" s="41"/>
      <c r="Z31" s="41"/>
      <c r="AA31" s="138"/>
      <c r="AB31" s="41"/>
      <c r="AC31" s="41"/>
      <c r="AD31" s="42"/>
      <c r="AE31" s="42"/>
      <c r="AF31" s="42"/>
      <c r="AG31" s="138"/>
      <c r="AH31" s="41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1"/>
      <c r="BF31" s="41"/>
      <c r="BG31" s="41"/>
    </row>
    <row r="32" spans="1:59" ht="15" customHeight="1" x14ac:dyDescent="0.25">
      <c r="A32" s="323" t="s">
        <v>69</v>
      </c>
      <c r="B32" s="323" t="s">
        <v>70</v>
      </c>
      <c r="C32" s="48" t="s">
        <v>202</v>
      </c>
      <c r="D32" s="75" t="s">
        <v>176</v>
      </c>
      <c r="E32" s="75" t="s">
        <v>174</v>
      </c>
      <c r="F32" s="75" t="s">
        <v>183</v>
      </c>
      <c r="G32" s="77" t="s">
        <v>178</v>
      </c>
      <c r="H32" s="81"/>
      <c r="I32" s="142">
        <v>29</v>
      </c>
      <c r="J32" s="107">
        <v>21</v>
      </c>
      <c r="K32" s="137">
        <f>(I32-J32)/J32</f>
        <v>0.38095238095238093</v>
      </c>
      <c r="L32" s="142">
        <v>29</v>
      </c>
      <c r="M32" s="107">
        <v>21</v>
      </c>
      <c r="N32" s="137">
        <f>(L32-M32)/M32</f>
        <v>0.38095238095238093</v>
      </c>
      <c r="O32" s="142">
        <v>29</v>
      </c>
      <c r="P32" s="107">
        <v>21</v>
      </c>
      <c r="Q32" s="137"/>
      <c r="R32" s="142">
        <f>I32+L32+O32</f>
        <v>87</v>
      </c>
      <c r="S32" s="107"/>
      <c r="T32" s="137" t="e">
        <f>(R32-S32)/S32</f>
        <v>#DIV/0!</v>
      </c>
      <c r="U32" s="142">
        <v>29</v>
      </c>
      <c r="V32" s="107">
        <v>21</v>
      </c>
      <c r="W32" s="137">
        <f>(U32-V32)/V32</f>
        <v>0.38095238095238093</v>
      </c>
      <c r="X32" s="142">
        <v>29</v>
      </c>
      <c r="Y32" s="107">
        <v>21</v>
      </c>
      <c r="Z32" s="11"/>
      <c r="AA32" s="142">
        <v>29</v>
      </c>
      <c r="AB32" s="107">
        <v>21</v>
      </c>
      <c r="AC32" s="11"/>
      <c r="AD32" s="142">
        <f t="shared" ref="AD32:AD33" si="9">U32+X32+AA32</f>
        <v>87</v>
      </c>
      <c r="AE32" s="11"/>
      <c r="AF32" s="11"/>
      <c r="AG32" s="142">
        <v>29</v>
      </c>
      <c r="AH32" s="107">
        <v>21</v>
      </c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07">
        <f>I32+L32+O32+U32+X32+AA32+AG32+AJ32+AM32+AS32+AV32+AY32</f>
        <v>203</v>
      </c>
      <c r="BF32" s="107">
        <f t="shared" ref="BF32" si="10">J32+M32+P32+V32+Y32+AB32+AH32+AK32+AN32+AT32+AW32+AZ32</f>
        <v>147</v>
      </c>
      <c r="BG32" s="85">
        <f>(BE32-BF32)/BF32</f>
        <v>0.38095238095238093</v>
      </c>
    </row>
    <row r="33" spans="1:59" ht="15" customHeight="1" x14ac:dyDescent="0.25">
      <c r="A33" s="324"/>
      <c r="B33" s="324"/>
      <c r="C33" s="48" t="s">
        <v>203</v>
      </c>
      <c r="D33" s="75"/>
      <c r="E33" s="75"/>
      <c r="F33" s="75"/>
      <c r="G33" s="77"/>
      <c r="H33" s="81"/>
      <c r="I33" s="142">
        <v>30</v>
      </c>
      <c r="J33" s="107">
        <v>20</v>
      </c>
      <c r="K33" s="143"/>
      <c r="L33" s="142">
        <v>30</v>
      </c>
      <c r="M33" s="107">
        <v>20</v>
      </c>
      <c r="N33" s="143"/>
      <c r="O33" s="142">
        <v>30</v>
      </c>
      <c r="P33" s="107">
        <v>20</v>
      </c>
      <c r="Q33" s="143"/>
      <c r="R33" s="142">
        <f>I33+L33+O33</f>
        <v>90</v>
      </c>
      <c r="S33" s="107"/>
      <c r="T33" s="143"/>
      <c r="U33" s="142">
        <v>30</v>
      </c>
      <c r="V33" s="107">
        <v>20</v>
      </c>
      <c r="W33" s="11"/>
      <c r="X33" s="142">
        <v>30</v>
      </c>
      <c r="Y33" s="107">
        <v>20</v>
      </c>
      <c r="Z33" s="11"/>
      <c r="AA33" s="142">
        <v>30</v>
      </c>
      <c r="AB33" s="107">
        <v>20</v>
      </c>
      <c r="AC33" s="11"/>
      <c r="AD33" s="142">
        <f t="shared" si="9"/>
        <v>90</v>
      </c>
      <c r="AE33" s="11"/>
      <c r="AF33" s="11"/>
      <c r="AG33" s="142">
        <v>30</v>
      </c>
      <c r="AH33" s="107">
        <v>20</v>
      </c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07">
        <f>I33+L33+O33+U33+X33+AA33+AG33+AJ33+AM33+AS33+AV33+AY33</f>
        <v>210</v>
      </c>
      <c r="BF33" s="107">
        <f>S33+AE33+AQ33+BC33</f>
        <v>0</v>
      </c>
      <c r="BG33" s="107"/>
    </row>
    <row r="34" spans="1:59" ht="19.5" customHeight="1" x14ac:dyDescent="0.25">
      <c r="A34" s="324"/>
      <c r="B34" s="324"/>
      <c r="C34" s="48" t="s">
        <v>204</v>
      </c>
      <c r="D34" s="75" t="s">
        <v>176</v>
      </c>
      <c r="E34" s="75" t="s">
        <v>174</v>
      </c>
      <c r="F34" s="75" t="s">
        <v>183</v>
      </c>
      <c r="G34" s="77" t="s">
        <v>178</v>
      </c>
      <c r="H34" s="81"/>
      <c r="I34" s="161">
        <f>I32/I33</f>
        <v>0.96666666666666667</v>
      </c>
      <c r="J34" s="90"/>
      <c r="K34" s="162"/>
      <c r="L34" s="161">
        <f>L32/L33</f>
        <v>0.96666666666666667</v>
      </c>
      <c r="M34" s="90"/>
      <c r="N34" s="162"/>
      <c r="O34" s="161">
        <f>O32/O33</f>
        <v>0.96666666666666667</v>
      </c>
      <c r="P34" s="90"/>
      <c r="Q34" s="162"/>
      <c r="R34" s="161">
        <f>R32/R33</f>
        <v>0.96666666666666667</v>
      </c>
      <c r="S34" s="90"/>
      <c r="T34" s="162"/>
      <c r="U34" s="161">
        <f>U32/U33</f>
        <v>0.96666666666666667</v>
      </c>
      <c r="V34" s="90"/>
      <c r="W34" s="11"/>
      <c r="X34" s="161">
        <f>X32/X33</f>
        <v>0.96666666666666667</v>
      </c>
      <c r="Y34" s="90"/>
      <c r="Z34" s="11"/>
      <c r="AA34" s="161">
        <f>AA32/AA33</f>
        <v>0.96666666666666667</v>
      </c>
      <c r="AB34" s="90"/>
      <c r="AC34" s="11"/>
      <c r="AD34" s="161">
        <f>AD32/AD33</f>
        <v>0.96666666666666667</v>
      </c>
      <c r="AE34" s="11"/>
      <c r="AF34" s="11"/>
      <c r="AG34" s="161">
        <f>AG32/AG33</f>
        <v>0.96666666666666667</v>
      </c>
      <c r="AH34" s="90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90">
        <f>BE32/BE33</f>
        <v>0.96666666666666667</v>
      </c>
      <c r="BF34" s="90"/>
      <c r="BG34" s="90"/>
    </row>
    <row r="35" spans="1:59" ht="4.5" customHeight="1" outlineLevel="1" x14ac:dyDescent="0.25">
      <c r="A35" s="324"/>
      <c r="B35" s="44"/>
      <c r="C35" s="39"/>
      <c r="D35" s="40"/>
      <c r="E35" s="40"/>
      <c r="F35" s="40"/>
      <c r="G35" s="41"/>
      <c r="H35" s="29"/>
      <c r="I35" s="138"/>
      <c r="J35" s="41"/>
      <c r="K35" s="139"/>
      <c r="L35" s="138"/>
      <c r="M35" s="41"/>
      <c r="N35" s="139"/>
      <c r="O35" s="138"/>
      <c r="P35" s="41"/>
      <c r="Q35" s="139"/>
      <c r="R35" s="138"/>
      <c r="S35" s="41"/>
      <c r="T35" s="139"/>
      <c r="U35" s="138"/>
      <c r="V35" s="41"/>
      <c r="W35" s="41"/>
      <c r="X35" s="138"/>
      <c r="Y35" s="41"/>
      <c r="Z35" s="41"/>
      <c r="AA35" s="138"/>
      <c r="AB35" s="41"/>
      <c r="AC35" s="41"/>
      <c r="AD35" s="42"/>
      <c r="AE35" s="42"/>
      <c r="AF35" s="42"/>
      <c r="AG35" s="138"/>
      <c r="AH35" s="41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1"/>
      <c r="BF35" s="41"/>
      <c r="BG35" s="41"/>
    </row>
    <row r="36" spans="1:59" ht="15" customHeight="1" outlineLevel="1" x14ac:dyDescent="0.25">
      <c r="A36" s="324"/>
      <c r="B36" s="318" t="s">
        <v>64</v>
      </c>
      <c r="C36" s="48" t="s">
        <v>202</v>
      </c>
      <c r="D36" s="75" t="s">
        <v>176</v>
      </c>
      <c r="E36" s="75" t="s">
        <v>174</v>
      </c>
      <c r="F36" s="75" t="s">
        <v>183</v>
      </c>
      <c r="G36" s="76" t="s">
        <v>181</v>
      </c>
      <c r="H36" s="81"/>
      <c r="I36" s="142">
        <v>12</v>
      </c>
      <c r="J36" s="107">
        <v>12</v>
      </c>
      <c r="K36" s="137">
        <f>(I36-J36)/J36</f>
        <v>0</v>
      </c>
      <c r="L36" s="142">
        <v>12</v>
      </c>
      <c r="M36" s="107">
        <v>12</v>
      </c>
      <c r="N36" s="137">
        <f>(L36-M36)/M36</f>
        <v>0</v>
      </c>
      <c r="O36" s="142">
        <v>12</v>
      </c>
      <c r="P36" s="107">
        <v>12</v>
      </c>
      <c r="Q36" s="137"/>
      <c r="R36" s="142">
        <f>I36+L36+O36</f>
        <v>36</v>
      </c>
      <c r="S36" s="107">
        <f>J36+M36+P36</f>
        <v>36</v>
      </c>
      <c r="T36" s="137">
        <f>(R36-S36)/S36</f>
        <v>0</v>
      </c>
      <c r="U36" s="142">
        <v>12</v>
      </c>
      <c r="V36" s="107">
        <v>12</v>
      </c>
      <c r="W36" s="11"/>
      <c r="X36" s="142">
        <v>12</v>
      </c>
      <c r="Y36" s="107">
        <v>12</v>
      </c>
      <c r="Z36" s="11"/>
      <c r="AA36" s="142">
        <v>12</v>
      </c>
      <c r="AB36" s="107">
        <v>12</v>
      </c>
      <c r="AC36" s="11"/>
      <c r="AD36" s="142">
        <f t="shared" ref="AD36:AD37" si="11">U36+X36+AA36</f>
        <v>36</v>
      </c>
      <c r="AE36" s="11"/>
      <c r="AF36" s="11"/>
      <c r="AG36" s="142">
        <v>12</v>
      </c>
      <c r="AH36" s="107">
        <v>12</v>
      </c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07">
        <f>I36+L36+O36+U36+X36+AA36+AG36+AJ36+AM36+AS36+AV36+AY36</f>
        <v>84</v>
      </c>
      <c r="BF36" s="107">
        <f t="shared" ref="BF36" si="12">J36+M36+P36+V36+Y36+AB36+AH36+AK36+AN36+AT36+AW36+AZ36</f>
        <v>84</v>
      </c>
      <c r="BG36" s="85">
        <f>(BE36-BF36)/BF36</f>
        <v>0</v>
      </c>
    </row>
    <row r="37" spans="1:59" ht="15" customHeight="1" outlineLevel="1" x14ac:dyDescent="0.25">
      <c r="A37" s="324"/>
      <c r="B37" s="319"/>
      <c r="C37" s="48" t="s">
        <v>203</v>
      </c>
      <c r="D37" s="75"/>
      <c r="E37" s="75"/>
      <c r="F37" s="75"/>
      <c r="G37" s="76"/>
      <c r="H37" s="81"/>
      <c r="I37" s="142">
        <v>12</v>
      </c>
      <c r="J37" s="107">
        <f>'HT Express BSC '!J10</f>
        <v>0</v>
      </c>
      <c r="K37" s="189"/>
      <c r="L37" s="142">
        <v>12</v>
      </c>
      <c r="M37" s="107">
        <f>'HT Express BSC '!M10</f>
        <v>0</v>
      </c>
      <c r="N37" s="189"/>
      <c r="O37" s="142">
        <v>12</v>
      </c>
      <c r="P37" s="107">
        <f>'HT Express BSC '!P10</f>
        <v>0</v>
      </c>
      <c r="Q37" s="189"/>
      <c r="R37" s="142">
        <f>I37+L37+O37</f>
        <v>36</v>
      </c>
      <c r="S37" s="107"/>
      <c r="T37" s="189"/>
      <c r="U37" s="142">
        <v>12</v>
      </c>
      <c r="V37" s="107">
        <f>'HT Express BSC '!V10</f>
        <v>0</v>
      </c>
      <c r="W37" s="11"/>
      <c r="X37" s="142">
        <v>12</v>
      </c>
      <c r="Y37" s="107">
        <f>'HT Express BSC '!Y10</f>
        <v>0</v>
      </c>
      <c r="Z37" s="11"/>
      <c r="AA37" s="142">
        <v>12</v>
      </c>
      <c r="AB37" s="107">
        <f>'HT Express BSC '!AB10</f>
        <v>0</v>
      </c>
      <c r="AC37" s="11"/>
      <c r="AD37" s="142">
        <f t="shared" si="11"/>
        <v>36</v>
      </c>
      <c r="AE37" s="11"/>
      <c r="AF37" s="11"/>
      <c r="AG37" s="142">
        <v>12</v>
      </c>
      <c r="AH37" s="107">
        <f>'HT Express BSC '!AH10</f>
        <v>0</v>
      </c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07">
        <f>I37+L37+O37+U37+X37+AA37+AG37+AJ37+AM37+AS37+AV37+AY37</f>
        <v>84</v>
      </c>
      <c r="BF37" s="107">
        <f>S37+AE37+AQ37+BC37</f>
        <v>0</v>
      </c>
      <c r="BG37" s="83"/>
    </row>
    <row r="38" spans="1:59" ht="17.25" customHeight="1" outlineLevel="1" x14ac:dyDescent="0.25">
      <c r="A38" s="324"/>
      <c r="B38" s="319"/>
      <c r="C38" s="48" t="s">
        <v>204</v>
      </c>
      <c r="D38" s="75" t="s">
        <v>176</v>
      </c>
      <c r="E38" s="75" t="s">
        <v>174</v>
      </c>
      <c r="F38" s="75" t="s">
        <v>183</v>
      </c>
      <c r="G38" s="76" t="s">
        <v>181</v>
      </c>
      <c r="H38" s="81"/>
      <c r="I38" s="161">
        <f>I36/I37</f>
        <v>1</v>
      </c>
      <c r="J38" s="90"/>
      <c r="K38" s="162"/>
      <c r="L38" s="161">
        <f>L36/L37</f>
        <v>1</v>
      </c>
      <c r="M38" s="90"/>
      <c r="N38" s="162"/>
      <c r="O38" s="161">
        <f>O36/O37</f>
        <v>1</v>
      </c>
      <c r="P38" s="90"/>
      <c r="Q38" s="162"/>
      <c r="R38" s="161">
        <f>R36/R37</f>
        <v>1</v>
      </c>
      <c r="S38" s="90"/>
      <c r="T38" s="162"/>
      <c r="U38" s="161">
        <f>U36/U37</f>
        <v>1</v>
      </c>
      <c r="V38" s="90"/>
      <c r="W38" s="11"/>
      <c r="X38" s="161">
        <f>X36/X37</f>
        <v>1</v>
      </c>
      <c r="Y38" s="90"/>
      <c r="Z38" s="11"/>
      <c r="AA38" s="161">
        <f>AA36/AA37</f>
        <v>1</v>
      </c>
      <c r="AB38" s="90"/>
      <c r="AC38" s="11"/>
      <c r="AD38" s="161">
        <f>AD36/AD37</f>
        <v>1</v>
      </c>
      <c r="AE38" s="11"/>
      <c r="AF38" s="11"/>
      <c r="AG38" s="161">
        <f>AG36/AG37</f>
        <v>1</v>
      </c>
      <c r="AH38" s="90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90">
        <f>BE36/BE37</f>
        <v>1</v>
      </c>
      <c r="BF38" s="90"/>
      <c r="BG38" s="90"/>
    </row>
    <row r="39" spans="1:59" ht="4.5" customHeight="1" outlineLevel="1" x14ac:dyDescent="0.25">
      <c r="A39" s="324"/>
      <c r="B39" s="44"/>
      <c r="C39" s="39"/>
      <c r="D39" s="40"/>
      <c r="E39" s="40"/>
      <c r="F39" s="75" t="s">
        <v>177</v>
      </c>
      <c r="G39" s="41"/>
      <c r="H39" s="29"/>
      <c r="I39" s="138"/>
      <c r="J39" s="41"/>
      <c r="K39" s="139"/>
      <c r="L39" s="138"/>
      <c r="M39" s="41"/>
      <c r="N39" s="139"/>
      <c r="O39" s="138"/>
      <c r="P39" s="41"/>
      <c r="Q39" s="139"/>
      <c r="R39" s="138"/>
      <c r="S39" s="41"/>
      <c r="T39" s="139"/>
      <c r="U39" s="138"/>
      <c r="V39" s="41"/>
      <c r="W39" s="41"/>
      <c r="X39" s="138"/>
      <c r="Y39" s="41"/>
      <c r="Z39" s="41"/>
      <c r="AA39" s="138"/>
      <c r="AB39" s="41"/>
      <c r="AC39" s="41"/>
      <c r="AD39" s="42"/>
      <c r="AE39" s="42"/>
      <c r="AF39" s="42"/>
      <c r="AG39" s="138"/>
      <c r="AH39" s="41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1"/>
      <c r="BF39" s="41"/>
      <c r="BG39" s="41"/>
    </row>
    <row r="40" spans="1:59" ht="20.25" customHeight="1" outlineLevel="1" x14ac:dyDescent="0.25">
      <c r="A40" s="324"/>
      <c r="B40" s="318" t="s">
        <v>65</v>
      </c>
      <c r="C40" s="48" t="s">
        <v>202</v>
      </c>
      <c r="D40" s="75" t="s">
        <v>176</v>
      </c>
      <c r="E40" s="75" t="s">
        <v>174</v>
      </c>
      <c r="F40" s="75" t="s">
        <v>183</v>
      </c>
      <c r="G40" s="77" t="s">
        <v>178</v>
      </c>
      <c r="H40" s="81"/>
      <c r="I40" s="142">
        <v>7</v>
      </c>
      <c r="J40" s="11">
        <v>5</v>
      </c>
      <c r="K40" s="160" t="s">
        <v>194</v>
      </c>
      <c r="L40" s="142">
        <v>7</v>
      </c>
      <c r="M40" s="11">
        <v>5</v>
      </c>
      <c r="N40" s="160" t="s">
        <v>194</v>
      </c>
      <c r="O40" s="142">
        <v>7</v>
      </c>
      <c r="P40" s="11">
        <v>5</v>
      </c>
      <c r="Q40" s="160"/>
      <c r="R40" s="142">
        <f>I40+L40+O40</f>
        <v>21</v>
      </c>
      <c r="S40" s="11" t="s">
        <v>194</v>
      </c>
      <c r="T40" s="160" t="s">
        <v>194</v>
      </c>
      <c r="U40" s="142">
        <v>7</v>
      </c>
      <c r="V40" s="11">
        <v>5</v>
      </c>
      <c r="W40" s="11"/>
      <c r="X40" s="142">
        <v>7</v>
      </c>
      <c r="Y40" s="11">
        <v>5</v>
      </c>
      <c r="Z40" s="11"/>
      <c r="AA40" s="142">
        <v>7</v>
      </c>
      <c r="AB40" s="11">
        <v>5</v>
      </c>
      <c r="AC40" s="11"/>
      <c r="AD40" s="142">
        <f t="shared" ref="AD40:AD41" si="13">U40+X40+AA40</f>
        <v>21</v>
      </c>
      <c r="AE40" s="11"/>
      <c r="AF40" s="11"/>
      <c r="AG40" s="142">
        <v>7</v>
      </c>
      <c r="AH40" s="11">
        <v>5</v>
      </c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07">
        <f>I40+L40+O40+U40+X40+AA40+AG40+AJ40+AM40+AS40+AV40+AY40</f>
        <v>49</v>
      </c>
      <c r="BF40" s="11" t="s">
        <v>194</v>
      </c>
      <c r="BG40" s="11" t="s">
        <v>194</v>
      </c>
    </row>
    <row r="41" spans="1:59" ht="22.5" customHeight="1" outlineLevel="1" x14ac:dyDescent="0.25">
      <c r="A41" s="324"/>
      <c r="B41" s="319"/>
      <c r="C41" s="48" t="s">
        <v>203</v>
      </c>
      <c r="D41" s="75" t="s">
        <v>176</v>
      </c>
      <c r="E41" s="75" t="s">
        <v>174</v>
      </c>
      <c r="F41" s="75" t="s">
        <v>183</v>
      </c>
      <c r="G41" s="77" t="s">
        <v>178</v>
      </c>
      <c r="H41" s="81"/>
      <c r="I41" s="142">
        <v>7</v>
      </c>
      <c r="J41" s="11">
        <v>2</v>
      </c>
      <c r="K41" s="160"/>
      <c r="L41" s="142">
        <v>7</v>
      </c>
      <c r="M41" s="11">
        <v>2</v>
      </c>
      <c r="N41" s="160"/>
      <c r="O41" s="142">
        <v>7</v>
      </c>
      <c r="P41" s="11">
        <v>2</v>
      </c>
      <c r="Q41" s="160"/>
      <c r="R41" s="142">
        <f>I41+L41+O41</f>
        <v>21</v>
      </c>
      <c r="S41" s="11"/>
      <c r="T41" s="160"/>
      <c r="U41" s="142">
        <v>7</v>
      </c>
      <c r="V41" s="11">
        <v>2</v>
      </c>
      <c r="W41" s="11"/>
      <c r="X41" s="142">
        <v>7</v>
      </c>
      <c r="Y41" s="11">
        <v>2</v>
      </c>
      <c r="Z41" s="11"/>
      <c r="AA41" s="142">
        <v>7</v>
      </c>
      <c r="AB41" s="11">
        <v>2</v>
      </c>
      <c r="AC41" s="11"/>
      <c r="AD41" s="142">
        <f t="shared" si="13"/>
        <v>21</v>
      </c>
      <c r="AE41" s="11"/>
      <c r="AF41" s="11"/>
      <c r="AG41" s="142">
        <v>7</v>
      </c>
      <c r="AH41" s="11">
        <v>2</v>
      </c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07">
        <f>I41+L41+O41+U41+X41+AA41+AG41+AJ41+AM41+AS41+AV41+AY41</f>
        <v>49</v>
      </c>
      <c r="BF41" s="11">
        <f>S41+AE41+AQ41+BC41</f>
        <v>0</v>
      </c>
      <c r="BG41" s="11"/>
    </row>
    <row r="42" spans="1:59" ht="26.25" customHeight="1" outlineLevel="1" x14ac:dyDescent="0.25">
      <c r="A42" s="324"/>
      <c r="B42" s="319"/>
      <c r="C42" s="48" t="s">
        <v>204</v>
      </c>
      <c r="D42" s="75" t="s">
        <v>176</v>
      </c>
      <c r="E42" s="75" t="s">
        <v>174</v>
      </c>
      <c r="F42" s="75" t="s">
        <v>183</v>
      </c>
      <c r="G42" s="77" t="s">
        <v>178</v>
      </c>
      <c r="H42" s="81"/>
      <c r="I42" s="161">
        <f>I40/I41</f>
        <v>1</v>
      </c>
      <c r="J42" s="90"/>
      <c r="K42" s="162"/>
      <c r="L42" s="161">
        <f>L40/L41</f>
        <v>1</v>
      </c>
      <c r="M42" s="90"/>
      <c r="N42" s="162"/>
      <c r="O42" s="161">
        <f>O40/O41</f>
        <v>1</v>
      </c>
      <c r="P42" s="90"/>
      <c r="Q42" s="162"/>
      <c r="R42" s="161">
        <f>R40/R41</f>
        <v>1</v>
      </c>
      <c r="S42" s="90"/>
      <c r="T42" s="162"/>
      <c r="U42" s="161">
        <f>U40/U41</f>
        <v>1</v>
      </c>
      <c r="V42" s="90"/>
      <c r="W42" s="11"/>
      <c r="X42" s="161">
        <f>X40/X41</f>
        <v>1</v>
      </c>
      <c r="Y42" s="90"/>
      <c r="Z42" s="11"/>
      <c r="AA42" s="161">
        <f>AA40/AA41</f>
        <v>1</v>
      </c>
      <c r="AB42" s="90"/>
      <c r="AC42" s="11"/>
      <c r="AD42" s="161">
        <f>AD40/AD41</f>
        <v>1</v>
      </c>
      <c r="AE42" s="11"/>
      <c r="AF42" s="11"/>
      <c r="AG42" s="161">
        <f>AG40/AG41</f>
        <v>1</v>
      </c>
      <c r="AH42" s="90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90">
        <f>BE40/BE41</f>
        <v>1</v>
      </c>
      <c r="BF42" s="90"/>
      <c r="BG42" s="90"/>
    </row>
    <row r="43" spans="1:59" ht="5.25" customHeight="1" outlineLevel="1" x14ac:dyDescent="0.25">
      <c r="A43" s="324"/>
      <c r="B43" s="44"/>
      <c r="C43" s="39"/>
      <c r="D43" s="40"/>
      <c r="E43" s="40"/>
      <c r="F43" s="75"/>
      <c r="G43" s="41"/>
      <c r="H43" s="29"/>
      <c r="I43" s="138"/>
      <c r="J43" s="41"/>
      <c r="K43" s="139"/>
      <c r="L43" s="138"/>
      <c r="M43" s="41"/>
      <c r="N43" s="139"/>
      <c r="O43" s="138"/>
      <c r="P43" s="41"/>
      <c r="Q43" s="139"/>
      <c r="R43" s="138"/>
      <c r="S43" s="41"/>
      <c r="T43" s="139"/>
      <c r="U43" s="138"/>
      <c r="V43" s="41"/>
      <c r="W43" s="41"/>
      <c r="X43" s="138"/>
      <c r="Y43" s="41"/>
      <c r="Z43" s="41"/>
      <c r="AA43" s="138"/>
      <c r="AB43" s="41"/>
      <c r="AC43" s="41"/>
      <c r="AD43" s="42"/>
      <c r="AE43" s="42"/>
      <c r="AF43" s="42"/>
      <c r="AG43" s="138"/>
      <c r="AH43" s="41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1"/>
      <c r="BF43" s="41"/>
      <c r="BG43" s="41"/>
    </row>
    <row r="44" spans="1:59" ht="19.5" customHeight="1" outlineLevel="1" x14ac:dyDescent="0.25">
      <c r="A44" s="324"/>
      <c r="B44" s="318" t="s">
        <v>66</v>
      </c>
      <c r="C44" s="48" t="s">
        <v>202</v>
      </c>
      <c r="D44" s="75" t="s">
        <v>176</v>
      </c>
      <c r="E44" s="75" t="s">
        <v>174</v>
      </c>
      <c r="F44" s="75" t="s">
        <v>183</v>
      </c>
      <c r="G44" s="77" t="s">
        <v>178</v>
      </c>
      <c r="H44" s="81"/>
      <c r="I44" s="142">
        <v>6</v>
      </c>
      <c r="J44" s="107">
        <v>8</v>
      </c>
      <c r="K44" s="137">
        <f>(I44-J44)/J44</f>
        <v>-0.25</v>
      </c>
      <c r="L44" s="142">
        <v>6</v>
      </c>
      <c r="M44" s="107">
        <v>8</v>
      </c>
      <c r="N44" s="137">
        <f>(L44-M44)/M44</f>
        <v>-0.25</v>
      </c>
      <c r="O44" s="142">
        <v>6</v>
      </c>
      <c r="P44" s="107">
        <v>8</v>
      </c>
      <c r="Q44" s="137"/>
      <c r="R44" s="142">
        <f>I44+L44+O44</f>
        <v>18</v>
      </c>
      <c r="S44" s="107">
        <f>J44+M44+P44</f>
        <v>24</v>
      </c>
      <c r="T44" s="137">
        <f>(R44-S44)/S44</f>
        <v>-0.25</v>
      </c>
      <c r="U44" s="142">
        <v>6</v>
      </c>
      <c r="V44" s="107">
        <v>8</v>
      </c>
      <c r="W44" s="11"/>
      <c r="X44" s="142">
        <v>6</v>
      </c>
      <c r="Y44" s="107">
        <v>8</v>
      </c>
      <c r="Z44" s="11"/>
      <c r="AA44" s="142">
        <v>6</v>
      </c>
      <c r="AB44" s="107">
        <v>8</v>
      </c>
      <c r="AC44" s="11"/>
      <c r="AD44" s="142">
        <f t="shared" ref="AD44:AD45" si="14">U44+X44+AA44</f>
        <v>18</v>
      </c>
      <c r="AE44" s="11"/>
      <c r="AF44" s="11"/>
      <c r="AG44" s="142">
        <v>6</v>
      </c>
      <c r="AH44" s="107">
        <v>8</v>
      </c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07">
        <f>I44+L44+O44+U44+X44+AA44+AG44+AJ44+AM44+AS44+AV44+AY44</f>
        <v>42</v>
      </c>
      <c r="BF44" s="107">
        <f t="shared" ref="BF44" si="15">J44+M44+P44+V44+Y44+AB44+AH44+AK44+AN44+AT44+AW44+AZ44</f>
        <v>56</v>
      </c>
      <c r="BG44" s="85">
        <f>(BE44-BF44)/BF44</f>
        <v>-0.25</v>
      </c>
    </row>
    <row r="45" spans="1:59" ht="18.75" customHeight="1" outlineLevel="1" x14ac:dyDescent="0.25">
      <c r="A45" s="324"/>
      <c r="B45" s="319"/>
      <c r="C45" s="48" t="s">
        <v>203</v>
      </c>
      <c r="D45" s="75" t="s">
        <v>176</v>
      </c>
      <c r="E45" s="75" t="s">
        <v>174</v>
      </c>
      <c r="F45" s="75" t="s">
        <v>183</v>
      </c>
      <c r="G45" s="77" t="s">
        <v>178</v>
      </c>
      <c r="H45" s="81"/>
      <c r="I45" s="142">
        <v>9</v>
      </c>
      <c r="J45" s="107">
        <f>'HT Express BSC '!J18</f>
        <v>0</v>
      </c>
      <c r="K45" s="189"/>
      <c r="L45" s="142">
        <v>9</v>
      </c>
      <c r="M45" s="107">
        <f>'HT Express BSC '!M18</f>
        <v>0</v>
      </c>
      <c r="N45" s="189"/>
      <c r="O45" s="142">
        <v>9</v>
      </c>
      <c r="P45" s="107">
        <f>'HT Express BSC '!P18</f>
        <v>0</v>
      </c>
      <c r="Q45" s="189"/>
      <c r="R45" s="142">
        <f>I45+L45+O45</f>
        <v>27</v>
      </c>
      <c r="S45" s="107"/>
      <c r="T45" s="189"/>
      <c r="U45" s="142">
        <v>9</v>
      </c>
      <c r="V45" s="107">
        <f>'HT Express BSC '!V18</f>
        <v>0</v>
      </c>
      <c r="W45" s="11"/>
      <c r="X45" s="142">
        <v>9</v>
      </c>
      <c r="Y45" s="107">
        <f>'HT Express BSC '!Y18</f>
        <v>0</v>
      </c>
      <c r="Z45" s="11"/>
      <c r="AA45" s="142">
        <v>9</v>
      </c>
      <c r="AB45" s="107">
        <f>'HT Express BSC '!AB18</f>
        <v>0</v>
      </c>
      <c r="AC45" s="11"/>
      <c r="AD45" s="142">
        <f t="shared" si="14"/>
        <v>27</v>
      </c>
      <c r="AE45" s="11"/>
      <c r="AF45" s="11"/>
      <c r="AG45" s="142">
        <v>9</v>
      </c>
      <c r="AH45" s="107">
        <f>'HT Express BSC '!AH18</f>
        <v>0</v>
      </c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07">
        <f>I45+L45+O45+U45+X45+AA45+AG45+AJ45+AM45+AS45+AV45+AY45</f>
        <v>63</v>
      </c>
      <c r="BF45" s="83">
        <f>S45+AE45+AQ45+BC45</f>
        <v>0</v>
      </c>
      <c r="BG45" s="83"/>
    </row>
    <row r="46" spans="1:59" ht="23.25" customHeight="1" outlineLevel="1" x14ac:dyDescent="0.25">
      <c r="A46" s="324"/>
      <c r="B46" s="319"/>
      <c r="C46" s="48" t="s">
        <v>204</v>
      </c>
      <c r="D46" s="75" t="s">
        <v>176</v>
      </c>
      <c r="E46" s="75" t="s">
        <v>174</v>
      </c>
      <c r="F46" s="75" t="s">
        <v>183</v>
      </c>
      <c r="G46" s="77" t="s">
        <v>178</v>
      </c>
      <c r="H46" s="81"/>
      <c r="I46" s="161">
        <f>I44/I45</f>
        <v>0.66666666666666663</v>
      </c>
      <c r="J46" s="90"/>
      <c r="K46" s="162"/>
      <c r="L46" s="161">
        <f>L44/L45</f>
        <v>0.66666666666666663</v>
      </c>
      <c r="M46" s="90"/>
      <c r="N46" s="162"/>
      <c r="O46" s="161">
        <f>O44/O45</f>
        <v>0.66666666666666663</v>
      </c>
      <c r="P46" s="90"/>
      <c r="Q46" s="162"/>
      <c r="R46" s="161">
        <f>R44/R45</f>
        <v>0.66666666666666663</v>
      </c>
      <c r="S46" s="90"/>
      <c r="T46" s="162"/>
      <c r="U46" s="161">
        <f>U44/U45</f>
        <v>0.66666666666666663</v>
      </c>
      <c r="V46" s="90"/>
      <c r="W46" s="11"/>
      <c r="X46" s="161">
        <f>X44/X45</f>
        <v>0.66666666666666663</v>
      </c>
      <c r="Y46" s="90"/>
      <c r="Z46" s="11"/>
      <c r="AA46" s="161">
        <f>AA44/AA45</f>
        <v>0.66666666666666663</v>
      </c>
      <c r="AB46" s="90"/>
      <c r="AC46" s="11"/>
      <c r="AD46" s="161">
        <f>AD44/AD45</f>
        <v>0.66666666666666663</v>
      </c>
      <c r="AE46" s="11"/>
      <c r="AF46" s="11"/>
      <c r="AG46" s="161">
        <f>AG44/AG45</f>
        <v>0.66666666666666663</v>
      </c>
      <c r="AH46" s="90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90">
        <f>BE44/BE45</f>
        <v>0.66666666666666663</v>
      </c>
      <c r="BF46" s="90"/>
      <c r="BG46" s="90"/>
    </row>
    <row r="47" spans="1:59" ht="3.75" customHeight="1" outlineLevel="1" x14ac:dyDescent="0.25">
      <c r="A47" s="324"/>
      <c r="B47" s="44"/>
      <c r="C47" s="39"/>
      <c r="D47" s="40"/>
      <c r="E47" s="40"/>
      <c r="F47" s="75"/>
      <c r="G47" s="41"/>
      <c r="H47" s="29"/>
      <c r="I47" s="138"/>
      <c r="J47" s="41"/>
      <c r="K47" s="139"/>
      <c r="L47" s="138"/>
      <c r="M47" s="41"/>
      <c r="N47" s="139"/>
      <c r="O47" s="138"/>
      <c r="P47" s="41"/>
      <c r="Q47" s="139"/>
      <c r="R47" s="138"/>
      <c r="S47" s="41"/>
      <c r="T47" s="139"/>
      <c r="U47" s="138"/>
      <c r="V47" s="41"/>
      <c r="W47" s="41"/>
      <c r="X47" s="138"/>
      <c r="Y47" s="41"/>
      <c r="Z47" s="41"/>
      <c r="AA47" s="138"/>
      <c r="AB47" s="41"/>
      <c r="AC47" s="41"/>
      <c r="AD47" s="42"/>
      <c r="AE47" s="42"/>
      <c r="AF47" s="42"/>
      <c r="AG47" s="138"/>
      <c r="AH47" s="41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1"/>
      <c r="BF47" s="41"/>
      <c r="BG47" s="41"/>
    </row>
    <row r="48" spans="1:59" ht="21" customHeight="1" outlineLevel="1" x14ac:dyDescent="0.25">
      <c r="A48" s="324"/>
      <c r="B48" s="318" t="s">
        <v>67</v>
      </c>
      <c r="C48" s="48" t="s">
        <v>202</v>
      </c>
      <c r="D48" s="75" t="s">
        <v>176</v>
      </c>
      <c r="E48" s="75" t="s">
        <v>174</v>
      </c>
      <c r="F48" s="75" t="s">
        <v>183</v>
      </c>
      <c r="G48" s="77" t="s">
        <v>178</v>
      </c>
      <c r="H48" s="81"/>
      <c r="I48" s="142">
        <v>2</v>
      </c>
      <c r="J48" s="11" t="s">
        <v>194</v>
      </c>
      <c r="K48" s="160" t="s">
        <v>194</v>
      </c>
      <c r="L48" s="142">
        <v>2</v>
      </c>
      <c r="M48" s="11" t="s">
        <v>194</v>
      </c>
      <c r="N48" s="160" t="s">
        <v>194</v>
      </c>
      <c r="O48" s="142">
        <v>2</v>
      </c>
      <c r="P48" s="11" t="s">
        <v>194</v>
      </c>
      <c r="Q48" s="160"/>
      <c r="R48" s="142">
        <f>I48+L48+O48</f>
        <v>6</v>
      </c>
      <c r="S48" s="11" t="s">
        <v>194</v>
      </c>
      <c r="T48" s="160" t="s">
        <v>194</v>
      </c>
      <c r="U48" s="142">
        <v>2</v>
      </c>
      <c r="V48" s="11" t="s">
        <v>194</v>
      </c>
      <c r="W48" s="11"/>
      <c r="X48" s="142">
        <v>2</v>
      </c>
      <c r="Y48" s="11" t="s">
        <v>194</v>
      </c>
      <c r="Z48" s="11"/>
      <c r="AA48" s="142">
        <v>2</v>
      </c>
      <c r="AB48" s="11" t="s">
        <v>194</v>
      </c>
      <c r="AC48" s="11"/>
      <c r="AD48" s="142">
        <f t="shared" ref="AD48:AD49" si="16">U48+X48+AA48</f>
        <v>6</v>
      </c>
      <c r="AE48" s="11"/>
      <c r="AF48" s="11"/>
      <c r="AG48" s="142">
        <v>2</v>
      </c>
      <c r="AH48" s="11" t="s">
        <v>194</v>
      </c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07">
        <f>I48+L48+O48+U48+X48+AA48+AG48+AJ48+AM48+AS48+AV48+AY48</f>
        <v>14</v>
      </c>
      <c r="BF48" s="11" t="s">
        <v>194</v>
      </c>
      <c r="BG48" s="11" t="s">
        <v>194</v>
      </c>
    </row>
    <row r="49" spans="1:59" ht="21.75" customHeight="1" outlineLevel="1" x14ac:dyDescent="0.25">
      <c r="A49" s="324"/>
      <c r="B49" s="319"/>
      <c r="C49" s="48" t="s">
        <v>203</v>
      </c>
      <c r="D49" s="75" t="s">
        <v>176</v>
      </c>
      <c r="E49" s="75" t="s">
        <v>174</v>
      </c>
      <c r="F49" s="75" t="s">
        <v>183</v>
      </c>
      <c r="G49" s="77" t="s">
        <v>178</v>
      </c>
      <c r="H49" s="81"/>
      <c r="I49" s="142">
        <v>2.5</v>
      </c>
      <c r="J49" s="11"/>
      <c r="K49" s="160"/>
      <c r="L49" s="142">
        <v>2.5</v>
      </c>
      <c r="M49" s="11"/>
      <c r="N49" s="160"/>
      <c r="O49" s="142">
        <v>2.5</v>
      </c>
      <c r="P49" s="11"/>
      <c r="Q49" s="160"/>
      <c r="R49" s="142">
        <f>I49+L49+O49</f>
        <v>7.5</v>
      </c>
      <c r="S49" s="11"/>
      <c r="T49" s="160"/>
      <c r="U49" s="142">
        <v>2.5</v>
      </c>
      <c r="V49" s="11"/>
      <c r="W49" s="11"/>
      <c r="X49" s="142">
        <v>2.5</v>
      </c>
      <c r="Y49" s="11"/>
      <c r="Z49" s="11"/>
      <c r="AA49" s="142">
        <v>2.5</v>
      </c>
      <c r="AB49" s="11"/>
      <c r="AC49" s="11"/>
      <c r="AD49" s="142">
        <f t="shared" si="16"/>
        <v>7.5</v>
      </c>
      <c r="AE49" s="11"/>
      <c r="AF49" s="11"/>
      <c r="AG49" s="142">
        <v>2.5</v>
      </c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07">
        <f>I49+L49+O49+U49+X49+AA49+AG49+AJ49+AM49+AS49+AV49+AY49</f>
        <v>17.5</v>
      </c>
      <c r="BF49" s="11">
        <f>S49+AE49+AQ49+BC49</f>
        <v>0</v>
      </c>
      <c r="BG49" s="11"/>
    </row>
    <row r="50" spans="1:59" ht="24" customHeight="1" outlineLevel="1" x14ac:dyDescent="0.25">
      <c r="A50" s="324"/>
      <c r="B50" s="319"/>
      <c r="C50" s="48" t="s">
        <v>204</v>
      </c>
      <c r="D50" s="75" t="s">
        <v>176</v>
      </c>
      <c r="E50" s="75" t="s">
        <v>174</v>
      </c>
      <c r="F50" s="75" t="s">
        <v>183</v>
      </c>
      <c r="G50" s="77" t="s">
        <v>178</v>
      </c>
      <c r="H50" s="81"/>
      <c r="I50" s="161">
        <f>I48/I49</f>
        <v>0.8</v>
      </c>
      <c r="J50" s="90"/>
      <c r="K50" s="162"/>
      <c r="L50" s="161">
        <f>L48/L49</f>
        <v>0.8</v>
      </c>
      <c r="M50" s="90"/>
      <c r="N50" s="162"/>
      <c r="O50" s="161">
        <f>O48/O49</f>
        <v>0.8</v>
      </c>
      <c r="P50" s="90"/>
      <c r="Q50" s="162"/>
      <c r="R50" s="161">
        <f>R48/R49</f>
        <v>0.8</v>
      </c>
      <c r="S50" s="90"/>
      <c r="T50" s="162"/>
      <c r="U50" s="161">
        <f>U48/U49</f>
        <v>0.8</v>
      </c>
      <c r="V50" s="90"/>
      <c r="W50" s="11"/>
      <c r="X50" s="161">
        <f>X48/X49</f>
        <v>0.8</v>
      </c>
      <c r="Y50" s="90"/>
      <c r="Z50" s="11"/>
      <c r="AA50" s="161">
        <f>AA48/AA49</f>
        <v>0.8</v>
      </c>
      <c r="AB50" s="90"/>
      <c r="AC50" s="11"/>
      <c r="AD50" s="161">
        <f>AD48/AD49</f>
        <v>0.8</v>
      </c>
      <c r="AE50" s="11"/>
      <c r="AF50" s="11"/>
      <c r="AG50" s="161">
        <f>AG48/AG49</f>
        <v>0.8</v>
      </c>
      <c r="AH50" s="90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90">
        <f>BE48/BE49</f>
        <v>0.8</v>
      </c>
      <c r="BF50" s="90"/>
      <c r="BG50" s="90"/>
    </row>
    <row r="51" spans="1:59" ht="5.25" customHeight="1" outlineLevel="1" x14ac:dyDescent="0.25">
      <c r="A51" s="324"/>
      <c r="B51" s="44"/>
      <c r="C51" s="39"/>
      <c r="D51" s="40"/>
      <c r="E51" s="40"/>
      <c r="F51" s="75"/>
      <c r="G51" s="41"/>
      <c r="H51" s="29"/>
      <c r="I51" s="138"/>
      <c r="J51" s="41"/>
      <c r="K51" s="139"/>
      <c r="L51" s="138"/>
      <c r="M51" s="41"/>
      <c r="N51" s="139"/>
      <c r="O51" s="138"/>
      <c r="P51" s="41"/>
      <c r="Q51" s="139"/>
      <c r="R51" s="138"/>
      <c r="S51" s="41"/>
      <c r="T51" s="139"/>
      <c r="U51" s="138"/>
      <c r="V51" s="41"/>
      <c r="W51" s="41"/>
      <c r="X51" s="138"/>
      <c r="Y51" s="41"/>
      <c r="Z51" s="41"/>
      <c r="AA51" s="138"/>
      <c r="AB51" s="41"/>
      <c r="AC51" s="41"/>
      <c r="AD51" s="42"/>
      <c r="AE51" s="42"/>
      <c r="AF51" s="42"/>
      <c r="AG51" s="138"/>
      <c r="AH51" s="41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1"/>
      <c r="BF51" s="41"/>
      <c r="BG51" s="41"/>
    </row>
    <row r="52" spans="1:59" ht="26.25" customHeight="1" x14ac:dyDescent="0.25">
      <c r="A52" s="324"/>
      <c r="B52" s="323" t="s">
        <v>68</v>
      </c>
      <c r="C52" s="48" t="s">
        <v>208</v>
      </c>
      <c r="D52" s="75" t="s">
        <v>176</v>
      </c>
      <c r="E52" s="75" t="s">
        <v>174</v>
      </c>
      <c r="F52" s="75" t="s">
        <v>183</v>
      </c>
      <c r="G52" s="77" t="s">
        <v>178</v>
      </c>
      <c r="H52" s="81"/>
      <c r="I52" s="136">
        <f>I36/I32</f>
        <v>0.41379310344827586</v>
      </c>
      <c r="J52" s="85">
        <f>J36/J32</f>
        <v>0.5714285714285714</v>
      </c>
      <c r="K52" s="137"/>
      <c r="L52" s="136">
        <f>L36/L32</f>
        <v>0.41379310344827586</v>
      </c>
      <c r="M52" s="85">
        <f>M36/M32</f>
        <v>0.5714285714285714</v>
      </c>
      <c r="N52" s="137"/>
      <c r="O52" s="136">
        <f>O36/O32</f>
        <v>0.41379310344827586</v>
      </c>
      <c r="P52" s="85">
        <f>P36/P32</f>
        <v>0.5714285714285714</v>
      </c>
      <c r="Q52" s="137"/>
      <c r="R52" s="136">
        <f>R36/$I$32</f>
        <v>1.2413793103448276</v>
      </c>
      <c r="S52" s="85"/>
      <c r="T52" s="137"/>
      <c r="U52" s="136">
        <f>U36/U32</f>
        <v>0.41379310344827586</v>
      </c>
      <c r="V52" s="85">
        <f>V36/V32</f>
        <v>0.5714285714285714</v>
      </c>
      <c r="W52" s="11"/>
      <c r="X52" s="136">
        <f>X36/X32</f>
        <v>0.41379310344827586</v>
      </c>
      <c r="Y52" s="85">
        <f>Y36/Y32</f>
        <v>0.5714285714285714</v>
      </c>
      <c r="Z52" s="11"/>
      <c r="AA52" s="136">
        <f>AA36/AA32</f>
        <v>0.41379310344827586</v>
      </c>
      <c r="AB52" s="85">
        <f>AB36/AB32</f>
        <v>0.5714285714285714</v>
      </c>
      <c r="AC52" s="11"/>
      <c r="AD52" s="136">
        <f>AD36/AD32</f>
        <v>0.41379310344827586</v>
      </c>
      <c r="AE52" s="11"/>
      <c r="AF52" s="11"/>
      <c r="AG52" s="136">
        <f>AG36/AG32</f>
        <v>0.41379310344827586</v>
      </c>
      <c r="AH52" s="85">
        <f>AH36/AH32</f>
        <v>0.5714285714285714</v>
      </c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85">
        <f>BE36/$I$32</f>
        <v>2.896551724137931</v>
      </c>
      <c r="BF52" s="85"/>
      <c r="BG52" s="85"/>
    </row>
    <row r="53" spans="1:59" ht="24" customHeight="1" x14ac:dyDescent="0.25">
      <c r="A53" s="324"/>
      <c r="B53" s="324"/>
      <c r="C53" s="48" t="s">
        <v>209</v>
      </c>
      <c r="D53" s="75" t="s">
        <v>176</v>
      </c>
      <c r="E53" s="75" t="s">
        <v>174</v>
      </c>
      <c r="F53" s="75" t="s">
        <v>183</v>
      </c>
      <c r="G53" s="77" t="s">
        <v>178</v>
      </c>
      <c r="H53" s="81"/>
      <c r="I53" s="136">
        <f>I40/I32</f>
        <v>0.2413793103448276</v>
      </c>
      <c r="J53" s="85"/>
      <c r="K53" s="137"/>
      <c r="L53" s="136">
        <f>L40/L32</f>
        <v>0.2413793103448276</v>
      </c>
      <c r="M53" s="85"/>
      <c r="N53" s="137"/>
      <c r="O53" s="136">
        <f>O40/O32</f>
        <v>0.2413793103448276</v>
      </c>
      <c r="P53" s="85"/>
      <c r="Q53" s="137"/>
      <c r="R53" s="136">
        <f>R40/R32</f>
        <v>0.2413793103448276</v>
      </c>
      <c r="S53" s="85"/>
      <c r="T53" s="137"/>
      <c r="U53" s="136">
        <f>U40/U32</f>
        <v>0.2413793103448276</v>
      </c>
      <c r="V53" s="85"/>
      <c r="W53" s="11"/>
      <c r="X53" s="136">
        <f>X40/X32</f>
        <v>0.2413793103448276</v>
      </c>
      <c r="Y53" s="85"/>
      <c r="Z53" s="11"/>
      <c r="AA53" s="136">
        <f>AA40/AA32</f>
        <v>0.2413793103448276</v>
      </c>
      <c r="AB53" s="85"/>
      <c r="AC53" s="11"/>
      <c r="AD53" s="136">
        <f>AD40/AD32</f>
        <v>0.2413793103448276</v>
      </c>
      <c r="AE53" s="11"/>
      <c r="AF53" s="11"/>
      <c r="AG53" s="136">
        <f>AG40/AG32</f>
        <v>0.2413793103448276</v>
      </c>
      <c r="AH53" s="85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85">
        <f>BE40/BE32</f>
        <v>0.2413793103448276</v>
      </c>
      <c r="BF53" s="85"/>
      <c r="BG53" s="85"/>
    </row>
    <row r="54" spans="1:59" ht="31.5" customHeight="1" x14ac:dyDescent="0.25">
      <c r="A54" s="324"/>
      <c r="B54" s="324"/>
      <c r="C54" s="48" t="s">
        <v>210</v>
      </c>
      <c r="D54" s="75" t="s">
        <v>176</v>
      </c>
      <c r="E54" s="75" t="s">
        <v>174</v>
      </c>
      <c r="F54" s="75" t="s">
        <v>183</v>
      </c>
      <c r="G54" s="77" t="s">
        <v>178</v>
      </c>
      <c r="H54" s="81"/>
      <c r="I54" s="136">
        <f>I44/I32</f>
        <v>0.20689655172413793</v>
      </c>
      <c r="J54" s="85">
        <f>J44/J32</f>
        <v>0.38095238095238093</v>
      </c>
      <c r="K54" s="137"/>
      <c r="L54" s="136">
        <f>L44/L32</f>
        <v>0.20689655172413793</v>
      </c>
      <c r="M54" s="85">
        <f>M44/M32</f>
        <v>0.38095238095238093</v>
      </c>
      <c r="N54" s="137"/>
      <c r="O54" s="136">
        <f>O44/O32</f>
        <v>0.20689655172413793</v>
      </c>
      <c r="P54" s="85">
        <f>P44/P32</f>
        <v>0.38095238095238093</v>
      </c>
      <c r="Q54" s="137"/>
      <c r="R54" s="136">
        <f>R44/R32</f>
        <v>0.20689655172413793</v>
      </c>
      <c r="S54" s="85"/>
      <c r="T54" s="137"/>
      <c r="U54" s="136">
        <f>U44/U32</f>
        <v>0.20689655172413793</v>
      </c>
      <c r="V54" s="85">
        <f>V44/V32</f>
        <v>0.38095238095238093</v>
      </c>
      <c r="W54" s="11"/>
      <c r="X54" s="136">
        <f>X44/X32</f>
        <v>0.20689655172413793</v>
      </c>
      <c r="Y54" s="85">
        <f>Y44/Y32</f>
        <v>0.38095238095238093</v>
      </c>
      <c r="Z54" s="11"/>
      <c r="AA54" s="136">
        <f>AA44/AA32</f>
        <v>0.20689655172413793</v>
      </c>
      <c r="AB54" s="85">
        <f>AB44/AB32</f>
        <v>0.38095238095238093</v>
      </c>
      <c r="AC54" s="11"/>
      <c r="AD54" s="136">
        <f>AD44/AD32</f>
        <v>0.20689655172413793</v>
      </c>
      <c r="AE54" s="11"/>
      <c r="AF54" s="11"/>
      <c r="AG54" s="136">
        <f>AG44/AG32</f>
        <v>0.20689655172413793</v>
      </c>
      <c r="AH54" s="85">
        <f>AH44/AH32</f>
        <v>0.38095238095238093</v>
      </c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85">
        <f>BE44/BE32</f>
        <v>0.20689655172413793</v>
      </c>
      <c r="BF54" s="85"/>
      <c r="BG54" s="85"/>
    </row>
    <row r="55" spans="1:59" ht="25.5" customHeight="1" x14ac:dyDescent="0.25">
      <c r="A55" s="339"/>
      <c r="B55" s="324"/>
      <c r="C55" s="48" t="s">
        <v>211</v>
      </c>
      <c r="D55" s="75" t="s">
        <v>176</v>
      </c>
      <c r="E55" s="75" t="s">
        <v>174</v>
      </c>
      <c r="F55" s="75" t="s">
        <v>183</v>
      </c>
      <c r="G55" s="77" t="s">
        <v>178</v>
      </c>
      <c r="H55" s="81"/>
      <c r="I55" s="136">
        <f>I48/I32</f>
        <v>6.8965517241379309E-2</v>
      </c>
      <c r="J55" s="85"/>
      <c r="K55" s="137"/>
      <c r="L55" s="136">
        <f>L48/L32</f>
        <v>6.8965517241379309E-2</v>
      </c>
      <c r="M55" s="85"/>
      <c r="N55" s="137"/>
      <c r="O55" s="136">
        <f>O48/O32</f>
        <v>6.8965517241379309E-2</v>
      </c>
      <c r="P55" s="85"/>
      <c r="Q55" s="137"/>
      <c r="R55" s="136">
        <f>R48/R32</f>
        <v>6.8965517241379309E-2</v>
      </c>
      <c r="S55" s="85"/>
      <c r="T55" s="137"/>
      <c r="U55" s="136">
        <f>U48/U32</f>
        <v>6.8965517241379309E-2</v>
      </c>
      <c r="V55" s="85"/>
      <c r="W55" s="11"/>
      <c r="X55" s="136">
        <f>X48/X32</f>
        <v>6.8965517241379309E-2</v>
      </c>
      <c r="Y55" s="85"/>
      <c r="Z55" s="11"/>
      <c r="AA55" s="136">
        <f>AA48/AA32</f>
        <v>6.8965517241379309E-2</v>
      </c>
      <c r="AB55" s="85"/>
      <c r="AC55" s="11"/>
      <c r="AD55" s="136">
        <f>AD48/AD32</f>
        <v>6.8965517241379309E-2</v>
      </c>
      <c r="AE55" s="11"/>
      <c r="AF55" s="11"/>
      <c r="AG55" s="136">
        <f>AG48/AG32</f>
        <v>6.8965517241379309E-2</v>
      </c>
      <c r="AH55" s="85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85">
        <f>BE48/BE32</f>
        <v>6.8965517241379309E-2</v>
      </c>
      <c r="BF55" s="85"/>
      <c r="BG55" s="85"/>
    </row>
    <row r="56" spans="1:59" ht="5.25" customHeight="1" x14ac:dyDescent="0.25">
      <c r="A56" s="44"/>
      <c r="B56" s="44"/>
      <c r="C56" s="39"/>
      <c r="D56" s="40"/>
      <c r="E56" s="40"/>
      <c r="F56" s="75"/>
      <c r="G56" s="41"/>
      <c r="H56" s="29"/>
      <c r="I56" s="138"/>
      <c r="J56" s="41"/>
      <c r="K56" s="139"/>
      <c r="L56" s="138"/>
      <c r="M56" s="41"/>
      <c r="N56" s="139"/>
      <c r="O56" s="138"/>
      <c r="P56" s="41"/>
      <c r="Q56" s="139"/>
      <c r="R56" s="138"/>
      <c r="S56" s="41"/>
      <c r="T56" s="139"/>
      <c r="U56" s="138"/>
      <c r="V56" s="41"/>
      <c r="W56" s="41"/>
      <c r="X56" s="138"/>
      <c r="Y56" s="41"/>
      <c r="Z56" s="41"/>
      <c r="AA56" s="138"/>
      <c r="AB56" s="41"/>
      <c r="AC56" s="41"/>
      <c r="AD56" s="42"/>
      <c r="AE56" s="42"/>
      <c r="AF56" s="42"/>
      <c r="AG56" s="138"/>
      <c r="AH56" s="41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1"/>
      <c r="BF56" s="41"/>
      <c r="BG56" s="41"/>
    </row>
    <row r="57" spans="1:59" ht="15" customHeight="1" x14ac:dyDescent="0.25">
      <c r="A57" s="325" t="s">
        <v>615</v>
      </c>
      <c r="B57" s="325"/>
      <c r="C57" s="48" t="s">
        <v>202</v>
      </c>
      <c r="D57" s="75" t="s">
        <v>176</v>
      </c>
      <c r="E57" s="75" t="s">
        <v>174</v>
      </c>
      <c r="F57" s="75" t="s">
        <v>183</v>
      </c>
      <c r="G57" s="11" t="s">
        <v>180</v>
      </c>
      <c r="H57" s="81"/>
      <c r="I57" s="142">
        <v>21</v>
      </c>
      <c r="J57" s="107">
        <v>25</v>
      </c>
      <c r="K57" s="137">
        <f>(I57-J57)/J57</f>
        <v>-0.16</v>
      </c>
      <c r="L57" s="142">
        <v>21</v>
      </c>
      <c r="M57" s="107">
        <v>25</v>
      </c>
      <c r="N57" s="137">
        <f>(L57-M57)/M57</f>
        <v>-0.16</v>
      </c>
      <c r="O57" s="142">
        <v>21</v>
      </c>
      <c r="P57" s="107">
        <v>25</v>
      </c>
      <c r="Q57" s="137"/>
      <c r="R57" s="142">
        <f>I57+L57+O57</f>
        <v>63</v>
      </c>
      <c r="S57" s="107">
        <f>J57+M57+P57</f>
        <v>75</v>
      </c>
      <c r="T57" s="137">
        <f>(R57-S57)/S57</f>
        <v>-0.16</v>
      </c>
      <c r="U57" s="142">
        <v>21</v>
      </c>
      <c r="V57" s="107">
        <v>25</v>
      </c>
      <c r="W57" s="137">
        <f>(U57-V57)/V57</f>
        <v>-0.16</v>
      </c>
      <c r="X57" s="142">
        <v>21</v>
      </c>
      <c r="Y57" s="107">
        <v>25</v>
      </c>
      <c r="Z57" s="11"/>
      <c r="AA57" s="142">
        <v>21</v>
      </c>
      <c r="AB57" s="107">
        <v>25</v>
      </c>
      <c r="AC57" s="11"/>
      <c r="AD57" s="142">
        <f t="shared" ref="AD57:AD58" si="17">U57+X57+AA57</f>
        <v>63</v>
      </c>
      <c r="AE57" s="11"/>
      <c r="AF57" s="11"/>
      <c r="AG57" s="142">
        <v>21</v>
      </c>
      <c r="AH57" s="107">
        <v>25</v>
      </c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07">
        <f>I57+L57+O57+U57+X57+AA57+AG57+AJ57+AM57+AS57+AV57+AY57</f>
        <v>147</v>
      </c>
      <c r="BF57" s="107">
        <f t="shared" ref="BF57" si="18">J57+M57+P57+V57+Y57+AB57+AH57+AK57+AN57+AT57+AW57+AZ57</f>
        <v>175</v>
      </c>
      <c r="BG57" s="85">
        <f>(BE57-BF57)/BF57</f>
        <v>-0.16</v>
      </c>
    </row>
    <row r="58" spans="1:59" ht="18.75" customHeight="1" x14ac:dyDescent="0.25">
      <c r="A58" s="325"/>
      <c r="B58" s="325"/>
      <c r="C58" s="48" t="s">
        <v>203</v>
      </c>
      <c r="D58" s="75" t="s">
        <v>176</v>
      </c>
      <c r="E58" s="75" t="s">
        <v>174</v>
      </c>
      <c r="F58" s="75" t="s">
        <v>183</v>
      </c>
      <c r="G58" s="11" t="s">
        <v>180</v>
      </c>
      <c r="H58" s="81"/>
      <c r="I58" s="142">
        <v>25</v>
      </c>
      <c r="J58" s="107">
        <v>20</v>
      </c>
      <c r="K58" s="189"/>
      <c r="L58" s="142">
        <v>25</v>
      </c>
      <c r="M58" s="107">
        <v>20</v>
      </c>
      <c r="N58" s="189"/>
      <c r="O58" s="142">
        <v>25</v>
      </c>
      <c r="P58" s="107">
        <v>20</v>
      </c>
      <c r="Q58" s="189"/>
      <c r="R58" s="142">
        <f>I58+L58+O58</f>
        <v>75</v>
      </c>
      <c r="S58" s="107"/>
      <c r="T58" s="189"/>
      <c r="U58" s="142">
        <v>25</v>
      </c>
      <c r="V58" s="107">
        <v>20</v>
      </c>
      <c r="W58" s="11"/>
      <c r="X58" s="142">
        <v>25</v>
      </c>
      <c r="Y58" s="107">
        <v>20</v>
      </c>
      <c r="Z58" s="11"/>
      <c r="AA58" s="142">
        <v>25</v>
      </c>
      <c r="AB58" s="107">
        <v>20</v>
      </c>
      <c r="AC58" s="11"/>
      <c r="AD58" s="142">
        <f t="shared" si="17"/>
        <v>75</v>
      </c>
      <c r="AE58" s="11"/>
      <c r="AF58" s="11"/>
      <c r="AG58" s="142">
        <v>25</v>
      </c>
      <c r="AH58" s="107">
        <v>20</v>
      </c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07">
        <f>I58+L58+O58+U58+X58+AA58+AG58+AJ58+AM58+AS58+AV58+AY58</f>
        <v>175</v>
      </c>
      <c r="BF58" s="83">
        <f>S58+AE58+AQ58+BC58</f>
        <v>0</v>
      </c>
      <c r="BG58" s="83"/>
    </row>
    <row r="59" spans="1:59" ht="18.75" customHeight="1" x14ac:dyDescent="0.25">
      <c r="A59" s="325"/>
      <c r="B59" s="325"/>
      <c r="C59" s="48" t="s">
        <v>204</v>
      </c>
      <c r="D59" s="75" t="s">
        <v>176</v>
      </c>
      <c r="E59" s="75" t="s">
        <v>174</v>
      </c>
      <c r="F59" s="75" t="s">
        <v>183</v>
      </c>
      <c r="G59" s="11" t="s">
        <v>180</v>
      </c>
      <c r="H59" s="81"/>
      <c r="I59" s="161">
        <f>I57/I58</f>
        <v>0.84</v>
      </c>
      <c r="J59" s="90">
        <f>J57/J58</f>
        <v>1.25</v>
      </c>
      <c r="K59" s="162"/>
      <c r="L59" s="161">
        <f>L57/L58</f>
        <v>0.84</v>
      </c>
      <c r="M59" s="90">
        <f>M57/M58</f>
        <v>1.25</v>
      </c>
      <c r="N59" s="162"/>
      <c r="O59" s="161">
        <f>O57/O58</f>
        <v>0.84</v>
      </c>
      <c r="P59" s="90">
        <f>P57/P58</f>
        <v>1.25</v>
      </c>
      <c r="Q59" s="162"/>
      <c r="R59" s="161"/>
      <c r="S59" s="90"/>
      <c r="T59" s="162"/>
      <c r="U59" s="161">
        <f>U57/U58</f>
        <v>0.84</v>
      </c>
      <c r="V59" s="90">
        <f>V57/V58</f>
        <v>1.25</v>
      </c>
      <c r="W59" s="11"/>
      <c r="X59" s="161">
        <f>X57/X58</f>
        <v>0.84</v>
      </c>
      <c r="Y59" s="90">
        <f>Y57/Y58</f>
        <v>1.25</v>
      </c>
      <c r="Z59" s="11"/>
      <c r="AA59" s="161">
        <f>AA57/AA58</f>
        <v>0.84</v>
      </c>
      <c r="AB59" s="90">
        <f>AB57/AB58</f>
        <v>1.25</v>
      </c>
      <c r="AC59" s="11"/>
      <c r="AD59" s="161">
        <f>AD57/AD58</f>
        <v>0.84</v>
      </c>
      <c r="AE59" s="11"/>
      <c r="AF59" s="11"/>
      <c r="AG59" s="161">
        <f>AG57/AG58</f>
        <v>0.84</v>
      </c>
      <c r="AH59" s="90">
        <f>AH57/AH58</f>
        <v>1.25</v>
      </c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90">
        <f>BE57/BE58</f>
        <v>0.84</v>
      </c>
      <c r="BF59" s="90"/>
      <c r="BG59" s="90"/>
    </row>
    <row r="60" spans="1:59" ht="5.25" customHeight="1" x14ac:dyDescent="0.25">
      <c r="C60" s="39"/>
      <c r="D60" s="40"/>
      <c r="E60" s="40"/>
      <c r="F60" s="40"/>
      <c r="G60" s="41"/>
      <c r="H60" s="29"/>
      <c r="I60" s="138"/>
      <c r="J60" s="41"/>
      <c r="K60" s="139"/>
      <c r="L60" s="138"/>
      <c r="M60" s="41"/>
      <c r="N60" s="139"/>
      <c r="O60" s="138"/>
      <c r="P60" s="41"/>
      <c r="Q60" s="139"/>
      <c r="R60" s="138"/>
      <c r="S60" s="41"/>
      <c r="T60" s="139"/>
      <c r="U60" s="138"/>
      <c r="V60" s="41"/>
      <c r="W60" s="41"/>
      <c r="X60" s="138"/>
      <c r="Y60" s="41"/>
      <c r="Z60" s="41"/>
      <c r="AA60" s="138"/>
      <c r="AB60" s="41"/>
      <c r="AC60" s="41"/>
      <c r="AD60" s="42"/>
      <c r="AE60" s="42"/>
      <c r="AF60" s="42"/>
      <c r="AG60" s="138"/>
      <c r="AH60" s="41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1"/>
      <c r="BF60" s="41"/>
      <c r="BG60" s="41"/>
    </row>
    <row r="61" spans="1:59" ht="27" customHeight="1" x14ac:dyDescent="0.25">
      <c r="A61" s="326" t="s">
        <v>78</v>
      </c>
      <c r="B61" s="326"/>
      <c r="C61" s="48" t="s">
        <v>215</v>
      </c>
      <c r="D61" s="75" t="s">
        <v>184</v>
      </c>
      <c r="E61" s="10"/>
      <c r="F61" s="10"/>
      <c r="G61" s="11"/>
      <c r="H61" s="81"/>
      <c r="I61" s="159"/>
      <c r="J61" s="11"/>
      <c r="K61" s="160"/>
      <c r="L61" s="159"/>
      <c r="M61" s="11"/>
      <c r="N61" s="160"/>
      <c r="O61" s="159"/>
      <c r="P61" s="11"/>
      <c r="Q61" s="160"/>
      <c r="R61" s="159" t="s">
        <v>194</v>
      </c>
      <c r="S61" s="11"/>
      <c r="T61" s="160"/>
      <c r="U61" s="159"/>
      <c r="V61" s="11"/>
      <c r="W61" s="11"/>
      <c r="X61" s="159"/>
      <c r="Y61" s="11"/>
      <c r="Z61" s="11"/>
      <c r="AA61" s="159"/>
      <c r="AB61" s="11"/>
      <c r="AC61" s="11"/>
      <c r="AD61" s="112">
        <f>(AA61+X61+U61)/3</f>
        <v>0</v>
      </c>
      <c r="AE61" s="11"/>
      <c r="AF61" s="11"/>
      <c r="AG61" s="159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</row>
    <row r="62" spans="1:59" ht="24.75" x14ac:dyDescent="0.25">
      <c r="A62" s="326"/>
      <c r="B62" s="326"/>
      <c r="C62" s="48" t="s">
        <v>216</v>
      </c>
      <c r="D62" s="75" t="s">
        <v>184</v>
      </c>
      <c r="E62" s="10"/>
      <c r="F62" s="10"/>
      <c r="G62" s="11"/>
      <c r="H62" s="81"/>
      <c r="I62" s="159"/>
      <c r="J62" s="11"/>
      <c r="K62" s="160"/>
      <c r="L62" s="159"/>
      <c r="M62" s="11"/>
      <c r="N62" s="160"/>
      <c r="O62" s="159"/>
      <c r="P62" s="11"/>
      <c r="Q62" s="160"/>
      <c r="R62" s="159" t="s">
        <v>194</v>
      </c>
      <c r="S62" s="11"/>
      <c r="T62" s="160"/>
      <c r="U62" s="159"/>
      <c r="V62" s="11"/>
      <c r="W62" s="11"/>
      <c r="X62" s="159"/>
      <c r="Y62" s="11"/>
      <c r="Z62" s="11"/>
      <c r="AA62" s="159"/>
      <c r="AB62" s="11"/>
      <c r="AC62" s="11"/>
      <c r="AD62" s="90">
        <f t="shared" ref="AD62:AD73" si="19">(AA62+X62+U62)/3</f>
        <v>0</v>
      </c>
      <c r="AE62" s="11"/>
      <c r="AF62" s="11"/>
      <c r="AG62" s="159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</row>
    <row r="63" spans="1:59" ht="24.75" x14ac:dyDescent="0.25">
      <c r="A63" s="326"/>
      <c r="B63" s="326"/>
      <c r="C63" s="48" t="s">
        <v>217</v>
      </c>
      <c r="D63" s="75" t="s">
        <v>184</v>
      </c>
      <c r="E63" s="10"/>
      <c r="F63" s="10"/>
      <c r="G63" s="11"/>
      <c r="H63" s="81"/>
      <c r="I63" s="159"/>
      <c r="J63" s="11"/>
      <c r="K63" s="160"/>
      <c r="L63" s="159"/>
      <c r="M63" s="11"/>
      <c r="N63" s="160"/>
      <c r="O63" s="159"/>
      <c r="P63" s="11"/>
      <c r="Q63" s="160"/>
      <c r="R63" s="159" t="s">
        <v>194</v>
      </c>
      <c r="S63" s="11"/>
      <c r="T63" s="160"/>
      <c r="U63" s="159"/>
      <c r="V63" s="11"/>
      <c r="W63" s="11"/>
      <c r="X63" s="159"/>
      <c r="Y63" s="11"/>
      <c r="Z63" s="11"/>
      <c r="AA63" s="159"/>
      <c r="AB63" s="11"/>
      <c r="AC63" s="11"/>
      <c r="AD63" s="90">
        <f t="shared" si="19"/>
        <v>0</v>
      </c>
      <c r="AE63" s="11"/>
      <c r="AF63" s="11"/>
      <c r="AG63" s="159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</row>
    <row r="64" spans="1:59" x14ac:dyDescent="0.25">
      <c r="A64" s="326"/>
      <c r="B64" s="326"/>
      <c r="C64" s="48" t="s">
        <v>218</v>
      </c>
      <c r="D64" s="75" t="s">
        <v>184</v>
      </c>
      <c r="E64" s="10"/>
      <c r="F64" s="10"/>
      <c r="G64" s="11"/>
      <c r="H64" s="81"/>
      <c r="I64" s="159"/>
      <c r="J64" s="11"/>
      <c r="K64" s="160"/>
      <c r="L64" s="159"/>
      <c r="M64" s="11"/>
      <c r="N64" s="160"/>
      <c r="O64" s="159"/>
      <c r="P64" s="11"/>
      <c r="Q64" s="160"/>
      <c r="R64" s="159" t="s">
        <v>194</v>
      </c>
      <c r="S64" s="11"/>
      <c r="T64" s="160"/>
      <c r="U64" s="159"/>
      <c r="V64" s="11"/>
      <c r="W64" s="11"/>
      <c r="X64" s="159"/>
      <c r="Y64" s="11"/>
      <c r="Z64" s="11"/>
      <c r="AA64" s="159"/>
      <c r="AB64" s="11"/>
      <c r="AC64" s="11"/>
      <c r="AD64" s="90">
        <f t="shared" si="19"/>
        <v>0</v>
      </c>
      <c r="AE64" s="11"/>
      <c r="AF64" s="11"/>
      <c r="AG64" s="159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</row>
    <row r="65" spans="1:59" ht="24.75" x14ac:dyDescent="0.25">
      <c r="A65" s="326"/>
      <c r="B65" s="326"/>
      <c r="C65" s="48" t="s">
        <v>219</v>
      </c>
      <c r="D65" s="75" t="s">
        <v>184</v>
      </c>
      <c r="E65" s="10"/>
      <c r="F65" s="10"/>
      <c r="G65" s="11"/>
      <c r="H65" s="81"/>
      <c r="I65" s="159"/>
      <c r="J65" s="11"/>
      <c r="K65" s="160"/>
      <c r="L65" s="159"/>
      <c r="M65" s="11"/>
      <c r="N65" s="160"/>
      <c r="O65" s="159"/>
      <c r="P65" s="11"/>
      <c r="Q65" s="160"/>
      <c r="R65" s="159" t="s">
        <v>194</v>
      </c>
      <c r="S65" s="11"/>
      <c r="T65" s="160"/>
      <c r="U65" s="159"/>
      <c r="V65" s="11"/>
      <c r="W65" s="11"/>
      <c r="X65" s="159"/>
      <c r="Y65" s="11"/>
      <c r="Z65" s="11"/>
      <c r="AA65" s="159"/>
      <c r="AB65" s="11"/>
      <c r="AC65" s="11"/>
      <c r="AD65" s="90">
        <f t="shared" si="19"/>
        <v>0</v>
      </c>
      <c r="AE65" s="11"/>
      <c r="AF65" s="11"/>
      <c r="AG65" s="159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</row>
    <row r="66" spans="1:59" x14ac:dyDescent="0.25">
      <c r="A66" s="326"/>
      <c r="B66" s="326"/>
      <c r="C66" s="48" t="s">
        <v>220</v>
      </c>
      <c r="D66" s="75" t="s">
        <v>184</v>
      </c>
      <c r="E66" s="10"/>
      <c r="F66" s="10"/>
      <c r="G66" s="11"/>
      <c r="H66" s="81"/>
      <c r="I66" s="159"/>
      <c r="J66" s="11"/>
      <c r="K66" s="160"/>
      <c r="L66" s="159"/>
      <c r="M66" s="11"/>
      <c r="N66" s="160"/>
      <c r="O66" s="159"/>
      <c r="P66" s="11"/>
      <c r="Q66" s="160"/>
      <c r="R66" s="159" t="s">
        <v>194</v>
      </c>
      <c r="S66" s="11"/>
      <c r="T66" s="160"/>
      <c r="U66" s="159"/>
      <c r="V66" s="11"/>
      <c r="W66" s="11"/>
      <c r="X66" s="159"/>
      <c r="Y66" s="11"/>
      <c r="Z66" s="11"/>
      <c r="AA66" s="159"/>
      <c r="AB66" s="11"/>
      <c r="AC66" s="11"/>
      <c r="AD66" s="90">
        <f t="shared" si="19"/>
        <v>0</v>
      </c>
      <c r="AE66" s="11"/>
      <c r="AF66" s="11"/>
      <c r="AG66" s="159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</row>
    <row r="67" spans="1:59" ht="24.75" x14ac:dyDescent="0.25">
      <c r="A67" s="326"/>
      <c r="B67" s="326"/>
      <c r="C67" s="48" t="s">
        <v>221</v>
      </c>
      <c r="D67" s="75" t="s">
        <v>184</v>
      </c>
      <c r="E67" s="10"/>
      <c r="F67" s="10"/>
      <c r="G67" s="11"/>
      <c r="H67" s="81"/>
      <c r="I67" s="159"/>
      <c r="J67" s="11"/>
      <c r="K67" s="160"/>
      <c r="L67" s="159"/>
      <c r="M67" s="11"/>
      <c r="N67" s="160"/>
      <c r="O67" s="159"/>
      <c r="P67" s="11"/>
      <c r="Q67" s="160"/>
      <c r="R67" s="159" t="s">
        <v>194</v>
      </c>
      <c r="S67" s="11"/>
      <c r="T67" s="160"/>
      <c r="U67" s="159"/>
      <c r="V67" s="11"/>
      <c r="W67" s="11"/>
      <c r="X67" s="159"/>
      <c r="Y67" s="11"/>
      <c r="Z67" s="11"/>
      <c r="AA67" s="159"/>
      <c r="AB67" s="11"/>
      <c r="AC67" s="11"/>
      <c r="AD67" s="90">
        <f t="shared" si="19"/>
        <v>0</v>
      </c>
      <c r="AE67" s="11"/>
      <c r="AF67" s="11"/>
      <c r="AG67" s="159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</row>
    <row r="68" spans="1:59" ht="24.75" x14ac:dyDescent="0.25">
      <c r="A68" s="326"/>
      <c r="B68" s="326"/>
      <c r="C68" s="48" t="s">
        <v>222</v>
      </c>
      <c r="D68" s="75" t="s">
        <v>184</v>
      </c>
      <c r="E68" s="10"/>
      <c r="F68" s="10"/>
      <c r="G68" s="11"/>
      <c r="H68" s="81"/>
      <c r="I68" s="159"/>
      <c r="J68" s="11"/>
      <c r="K68" s="160"/>
      <c r="L68" s="159"/>
      <c r="M68" s="11"/>
      <c r="N68" s="160"/>
      <c r="O68" s="159"/>
      <c r="P68" s="11"/>
      <c r="Q68" s="160"/>
      <c r="R68" s="159" t="s">
        <v>194</v>
      </c>
      <c r="S68" s="11"/>
      <c r="T68" s="160"/>
      <c r="U68" s="159"/>
      <c r="V68" s="11"/>
      <c r="W68" s="11"/>
      <c r="X68" s="159"/>
      <c r="Y68" s="11"/>
      <c r="Z68" s="11"/>
      <c r="AA68" s="159"/>
      <c r="AB68" s="11"/>
      <c r="AC68" s="11"/>
      <c r="AD68" s="90">
        <f t="shared" si="19"/>
        <v>0</v>
      </c>
      <c r="AE68" s="11"/>
      <c r="AF68" s="11"/>
      <c r="AG68" s="159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</row>
    <row r="69" spans="1:59" ht="24.75" x14ac:dyDescent="0.25">
      <c r="A69" s="326"/>
      <c r="B69" s="326"/>
      <c r="C69" s="48" t="s">
        <v>223</v>
      </c>
      <c r="D69" s="75" t="s">
        <v>184</v>
      </c>
      <c r="E69" s="10"/>
      <c r="F69" s="10"/>
      <c r="G69" s="11"/>
      <c r="H69" s="81"/>
      <c r="I69" s="159"/>
      <c r="J69" s="11"/>
      <c r="K69" s="160"/>
      <c r="L69" s="159"/>
      <c r="M69" s="11"/>
      <c r="N69" s="160"/>
      <c r="O69" s="159"/>
      <c r="P69" s="11"/>
      <c r="Q69" s="160"/>
      <c r="R69" s="159" t="s">
        <v>194</v>
      </c>
      <c r="S69" s="11"/>
      <c r="T69" s="160"/>
      <c r="U69" s="159"/>
      <c r="V69" s="11"/>
      <c r="W69" s="11"/>
      <c r="X69" s="159"/>
      <c r="Y69" s="11"/>
      <c r="Z69" s="11"/>
      <c r="AA69" s="159"/>
      <c r="AB69" s="11"/>
      <c r="AC69" s="11"/>
      <c r="AD69" s="90">
        <f t="shared" si="19"/>
        <v>0</v>
      </c>
      <c r="AE69" s="11"/>
      <c r="AF69" s="11"/>
      <c r="AG69" s="159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</row>
    <row r="70" spans="1:59" x14ac:dyDescent="0.25">
      <c r="A70" s="326"/>
      <c r="B70" s="326"/>
      <c r="C70" s="48" t="s">
        <v>224</v>
      </c>
      <c r="D70" s="75" t="s">
        <v>184</v>
      </c>
      <c r="E70" s="10"/>
      <c r="F70" s="10"/>
      <c r="G70" s="11"/>
      <c r="H70" s="81"/>
      <c r="I70" s="159"/>
      <c r="J70" s="11"/>
      <c r="K70" s="160"/>
      <c r="L70" s="159"/>
      <c r="M70" s="11"/>
      <c r="N70" s="160"/>
      <c r="O70" s="159"/>
      <c r="P70" s="11"/>
      <c r="Q70" s="160"/>
      <c r="R70" s="159" t="s">
        <v>194</v>
      </c>
      <c r="S70" s="11"/>
      <c r="T70" s="160"/>
      <c r="U70" s="159"/>
      <c r="V70" s="11"/>
      <c r="W70" s="11"/>
      <c r="X70" s="159"/>
      <c r="Y70" s="11"/>
      <c r="Z70" s="11"/>
      <c r="AA70" s="159"/>
      <c r="AB70" s="11"/>
      <c r="AC70" s="11"/>
      <c r="AD70" s="90">
        <f t="shared" si="19"/>
        <v>0</v>
      </c>
      <c r="AE70" s="11"/>
      <c r="AF70" s="11"/>
      <c r="AG70" s="159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</row>
    <row r="71" spans="1:59" ht="24.75" x14ac:dyDescent="0.25">
      <c r="A71" s="326"/>
      <c r="B71" s="326"/>
      <c r="C71" s="48" t="s">
        <v>225</v>
      </c>
      <c r="D71" s="75" t="s">
        <v>184</v>
      </c>
      <c r="E71" s="10"/>
      <c r="F71" s="10"/>
      <c r="G71" s="11"/>
      <c r="H71" s="81"/>
      <c r="I71" s="159"/>
      <c r="J71" s="11"/>
      <c r="K71" s="160"/>
      <c r="L71" s="159"/>
      <c r="M71" s="11"/>
      <c r="N71" s="160"/>
      <c r="O71" s="159"/>
      <c r="P71" s="11"/>
      <c r="Q71" s="160"/>
      <c r="R71" s="159" t="s">
        <v>194</v>
      </c>
      <c r="S71" s="11"/>
      <c r="T71" s="160"/>
      <c r="U71" s="159"/>
      <c r="V71" s="11"/>
      <c r="W71" s="11"/>
      <c r="X71" s="159"/>
      <c r="Y71" s="11"/>
      <c r="Z71" s="11"/>
      <c r="AA71" s="159"/>
      <c r="AB71" s="11"/>
      <c r="AC71" s="11"/>
      <c r="AD71" s="90">
        <f t="shared" si="19"/>
        <v>0</v>
      </c>
      <c r="AE71" s="11"/>
      <c r="AF71" s="11"/>
      <c r="AG71" s="159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</row>
    <row r="72" spans="1:59" ht="24.75" x14ac:dyDescent="0.25">
      <c r="A72" s="326"/>
      <c r="B72" s="326"/>
      <c r="C72" s="48" t="s">
        <v>226</v>
      </c>
      <c r="D72" s="75" t="s">
        <v>184</v>
      </c>
      <c r="E72" s="10"/>
      <c r="F72" s="10"/>
      <c r="G72" s="11"/>
      <c r="H72" s="81"/>
      <c r="I72" s="159"/>
      <c r="J72" s="11"/>
      <c r="K72" s="160"/>
      <c r="L72" s="159"/>
      <c r="M72" s="11"/>
      <c r="N72" s="160"/>
      <c r="O72" s="159"/>
      <c r="P72" s="11"/>
      <c r="Q72" s="160"/>
      <c r="R72" s="159" t="s">
        <v>194</v>
      </c>
      <c r="S72" s="11"/>
      <c r="T72" s="160"/>
      <c r="U72" s="159"/>
      <c r="V72" s="11"/>
      <c r="W72" s="11"/>
      <c r="X72" s="159"/>
      <c r="Y72" s="11"/>
      <c r="Z72" s="11"/>
      <c r="AA72" s="159"/>
      <c r="AB72" s="11"/>
      <c r="AC72" s="11"/>
      <c r="AD72" s="90">
        <f t="shared" si="19"/>
        <v>0</v>
      </c>
      <c r="AE72" s="11"/>
      <c r="AF72" s="11"/>
      <c r="AG72" s="159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</row>
    <row r="73" spans="1:59" x14ac:dyDescent="0.25">
      <c r="A73" s="326"/>
      <c r="B73" s="326"/>
      <c r="C73" s="48" t="s">
        <v>227</v>
      </c>
      <c r="D73" s="75" t="s">
        <v>184</v>
      </c>
      <c r="E73" s="10"/>
      <c r="F73" s="10"/>
      <c r="G73" s="11"/>
      <c r="H73" s="81"/>
      <c r="I73" s="159"/>
      <c r="J73" s="11"/>
      <c r="K73" s="160"/>
      <c r="L73" s="159"/>
      <c r="M73" s="11"/>
      <c r="N73" s="160"/>
      <c r="O73" s="159"/>
      <c r="P73" s="11"/>
      <c r="Q73" s="160"/>
      <c r="R73" s="159" t="s">
        <v>194</v>
      </c>
      <c r="S73" s="11"/>
      <c r="T73" s="160"/>
      <c r="U73" s="159"/>
      <c r="V73" s="11"/>
      <c r="W73" s="11"/>
      <c r="X73" s="159"/>
      <c r="Y73" s="11"/>
      <c r="Z73" s="11"/>
      <c r="AA73" s="159"/>
      <c r="AB73" s="11"/>
      <c r="AC73" s="11"/>
      <c r="AD73" s="90">
        <f t="shared" si="19"/>
        <v>0</v>
      </c>
      <c r="AE73" s="11"/>
      <c r="AF73" s="11"/>
      <c r="AG73" s="159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</row>
    <row r="74" spans="1:59" ht="3.75" customHeight="1" x14ac:dyDescent="0.25">
      <c r="I74" s="241"/>
      <c r="J74" s="242"/>
      <c r="K74" s="243"/>
      <c r="L74" s="241"/>
      <c r="M74" s="242"/>
      <c r="N74" s="243"/>
      <c r="O74" s="241"/>
      <c r="P74" s="242"/>
      <c r="Q74" s="243"/>
      <c r="R74" s="241"/>
      <c r="S74" s="242"/>
      <c r="T74" s="243"/>
      <c r="U74" s="241"/>
      <c r="V74" s="242"/>
      <c r="X74" s="241"/>
      <c r="Y74" s="242"/>
      <c r="AA74" s="241"/>
      <c r="AB74" s="242"/>
      <c r="AG74" s="241"/>
      <c r="AH74" s="242"/>
    </row>
    <row r="75" spans="1:59" ht="15" customHeight="1" x14ac:dyDescent="0.25">
      <c r="A75" s="327" t="s">
        <v>152</v>
      </c>
      <c r="B75" s="328"/>
      <c r="C75" s="48" t="s">
        <v>26</v>
      </c>
      <c r="D75" s="75" t="s">
        <v>176</v>
      </c>
      <c r="E75" s="75" t="s">
        <v>177</v>
      </c>
      <c r="F75" s="75" t="s">
        <v>177</v>
      </c>
      <c r="G75" s="11"/>
      <c r="H75" s="81"/>
      <c r="I75" s="142">
        <v>316042.09999999998</v>
      </c>
      <c r="J75" s="11">
        <v>318851</v>
      </c>
      <c r="K75" s="160"/>
      <c r="L75" s="142">
        <v>316042.09999999998</v>
      </c>
      <c r="M75" s="11">
        <v>318851</v>
      </c>
      <c r="N75" s="160"/>
      <c r="O75" s="142">
        <v>316042.09999999998</v>
      </c>
      <c r="P75" s="11">
        <v>318851</v>
      </c>
      <c r="Q75" s="160"/>
      <c r="R75" s="142">
        <f>(O75+L75+I75)/3</f>
        <v>316042.09999999998</v>
      </c>
      <c r="S75" s="107">
        <f>(P75+M75+J75)/3</f>
        <v>318851</v>
      </c>
      <c r="T75" s="160"/>
      <c r="U75" s="142">
        <v>316042.09999999998</v>
      </c>
      <c r="V75" s="11">
        <v>318851</v>
      </c>
      <c r="W75" s="11"/>
      <c r="X75" s="142">
        <v>316042.09999999998</v>
      </c>
      <c r="Y75" s="11">
        <v>318851</v>
      </c>
      <c r="Z75" s="11"/>
      <c r="AA75" s="142">
        <v>316042.09999999998</v>
      </c>
      <c r="AB75" s="11">
        <v>318851</v>
      </c>
      <c r="AC75" s="11"/>
      <c r="AD75" s="142">
        <f t="shared" ref="AD75:AD77" si="20">U75+X75+AA75</f>
        <v>948126.29999999993</v>
      </c>
      <c r="AE75" s="11"/>
      <c r="AF75" s="11"/>
      <c r="AG75" s="142">
        <v>316042.09999999998</v>
      </c>
      <c r="AH75" s="11">
        <v>318851</v>
      </c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07">
        <f>I75+L75+O75+U75+X75+AA75+AG75+AJ75+AM75+AS75+AV75+AY75</f>
        <v>2212294.7000000002</v>
      </c>
      <c r="BF75" s="11"/>
      <c r="BG75" s="11"/>
    </row>
    <row r="76" spans="1:59" x14ac:dyDescent="0.25">
      <c r="A76" s="329"/>
      <c r="B76" s="330"/>
      <c r="C76" s="48" t="s">
        <v>51</v>
      </c>
      <c r="D76" s="75" t="s">
        <v>176</v>
      </c>
      <c r="E76" s="75" t="s">
        <v>177</v>
      </c>
      <c r="F76" s="75" t="s">
        <v>177</v>
      </c>
      <c r="G76" s="11" t="s">
        <v>177</v>
      </c>
      <c r="H76" s="81"/>
      <c r="I76" s="151">
        <f>I20/I75</f>
        <v>18.693411415757584</v>
      </c>
      <c r="J76" s="102">
        <f>J20/J75</f>
        <v>15.85033448225033</v>
      </c>
      <c r="K76" s="152"/>
      <c r="L76" s="151">
        <f>L20/L75</f>
        <v>31.837546326897591</v>
      </c>
      <c r="M76" s="102">
        <f>M20/M75</f>
        <v>25.740722155489554</v>
      </c>
      <c r="N76" s="152"/>
      <c r="O76" s="151">
        <f>O20/O75</f>
        <v>24.036101519386186</v>
      </c>
      <c r="P76" s="102">
        <f>P20/P75</f>
        <v>22.125008232685488</v>
      </c>
      <c r="Q76" s="152"/>
      <c r="R76" s="142">
        <f t="shared" ref="R76:R77" si="21">(O76+L76+I76)/3</f>
        <v>24.855686420680453</v>
      </c>
      <c r="S76" s="107">
        <f t="shared" ref="S76:S77" si="22">(P76+M76+J76)/3</f>
        <v>21.238688290141791</v>
      </c>
      <c r="T76" s="152"/>
      <c r="U76" s="151">
        <f>U20/U75</f>
        <v>22.081441048518538</v>
      </c>
      <c r="V76" s="102">
        <f>V20/V75</f>
        <v>17.290144926627171</v>
      </c>
      <c r="W76" s="11"/>
      <c r="X76" s="151">
        <f>X20/X75</f>
        <v>29.16753812229447</v>
      </c>
      <c r="Y76" s="102">
        <f>Y20/Y75</f>
        <v>25.620863663592086</v>
      </c>
      <c r="Z76" s="11"/>
      <c r="AA76" s="151">
        <f>AA20/AA75</f>
        <v>18.320771188395472</v>
      </c>
      <c r="AB76" s="102">
        <f>AB20/AB75</f>
        <v>18.260598210449395</v>
      </c>
      <c r="AC76" s="11"/>
      <c r="AD76" s="142">
        <f t="shared" si="20"/>
        <v>69.569750359208484</v>
      </c>
      <c r="AE76" s="11"/>
      <c r="AF76" s="11"/>
      <c r="AG76" s="151">
        <f>AG20/AG75</f>
        <v>21.475208524433931</v>
      </c>
      <c r="AH76" s="102">
        <f>AH20/AH75</f>
        <v>0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02">
        <f>BE20/BE75</f>
        <v>23.658859735097678</v>
      </c>
      <c r="BF76" s="102"/>
      <c r="BG76" s="102"/>
    </row>
    <row r="77" spans="1:59" x14ac:dyDescent="0.25">
      <c r="A77" s="331"/>
      <c r="B77" s="332"/>
      <c r="C77" s="48" t="s">
        <v>52</v>
      </c>
      <c r="D77" s="75" t="s">
        <v>176</v>
      </c>
      <c r="E77" s="75" t="s">
        <v>177</v>
      </c>
      <c r="F77" s="75" t="s">
        <v>177</v>
      </c>
      <c r="G77" s="11" t="s">
        <v>177</v>
      </c>
      <c r="H77" s="81"/>
      <c r="I77" s="151">
        <f>I36/I75</f>
        <v>3.7969624932880782E-5</v>
      </c>
      <c r="J77" s="102">
        <f>J36/J75</f>
        <v>3.7635133651768378E-5</v>
      </c>
      <c r="K77" s="152"/>
      <c r="L77" s="151">
        <f>L36/L75</f>
        <v>3.7969624932880782E-5</v>
      </c>
      <c r="M77" s="102">
        <f>M36/M75</f>
        <v>3.7635133651768378E-5</v>
      </c>
      <c r="N77" s="152"/>
      <c r="O77" s="151">
        <f>O36/O75</f>
        <v>3.7969624932880782E-5</v>
      </c>
      <c r="P77" s="102">
        <f>P36/P75</f>
        <v>3.7635133651768378E-5</v>
      </c>
      <c r="Q77" s="152"/>
      <c r="R77" s="142">
        <f t="shared" si="21"/>
        <v>3.7969624932880782E-5</v>
      </c>
      <c r="S77" s="107">
        <f t="shared" si="22"/>
        <v>3.7635133651768378E-5</v>
      </c>
      <c r="T77" s="152"/>
      <c r="U77" s="151">
        <f>U36/U75</f>
        <v>3.7969624932880782E-5</v>
      </c>
      <c r="V77" s="102">
        <f>V36/V75</f>
        <v>3.7635133651768378E-5</v>
      </c>
      <c r="W77" s="11"/>
      <c r="X77" s="151">
        <f>X36/X75</f>
        <v>3.7969624932880782E-5</v>
      </c>
      <c r="Y77" s="102">
        <f>Y36/Y75</f>
        <v>3.7635133651768378E-5</v>
      </c>
      <c r="Z77" s="11"/>
      <c r="AA77" s="151">
        <f>AA36/AA75</f>
        <v>3.7969624932880782E-5</v>
      </c>
      <c r="AB77" s="102">
        <f>AB36/AB75</f>
        <v>3.7635133651768378E-5</v>
      </c>
      <c r="AC77" s="11"/>
      <c r="AD77" s="142">
        <f t="shared" si="20"/>
        <v>1.1390887479864235E-4</v>
      </c>
      <c r="AE77" s="11"/>
      <c r="AF77" s="11"/>
      <c r="AG77" s="151">
        <f>AG36/AG75</f>
        <v>3.7969624932880782E-5</v>
      </c>
      <c r="AH77" s="102">
        <f>AH36/AH75</f>
        <v>3.7635133651768378E-5</v>
      </c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02">
        <f>BE36/BE75</f>
        <v>3.7969624932880775E-5</v>
      </c>
      <c r="BF77" s="102"/>
      <c r="BG77" s="102"/>
    </row>
    <row r="78" spans="1:59" ht="3.75" customHeight="1" x14ac:dyDescent="0.25">
      <c r="D78" s="75" t="s">
        <v>185</v>
      </c>
      <c r="E78" s="75" t="s">
        <v>177</v>
      </c>
      <c r="F78" s="75" t="s">
        <v>177</v>
      </c>
      <c r="G78" s="11" t="s">
        <v>177</v>
      </c>
      <c r="I78" s="241"/>
      <c r="J78" s="242"/>
      <c r="K78" s="243"/>
      <c r="L78" s="241"/>
      <c r="M78" s="242"/>
      <c r="N78" s="243"/>
      <c r="O78" s="241"/>
      <c r="P78" s="242"/>
      <c r="Q78" s="243"/>
      <c r="R78" s="241"/>
      <c r="S78" s="242"/>
      <c r="T78" s="243"/>
      <c r="U78" s="241"/>
      <c r="V78" s="242"/>
      <c r="X78" s="241"/>
      <c r="Y78" s="242"/>
      <c r="AA78" s="241"/>
      <c r="AB78" s="242"/>
      <c r="AG78" s="241"/>
      <c r="AH78" s="242"/>
    </row>
    <row r="79" spans="1:59" ht="15" customHeight="1" x14ac:dyDescent="0.25">
      <c r="A79" s="326" t="s">
        <v>27</v>
      </c>
      <c r="B79" s="326"/>
      <c r="C79" s="50" t="s">
        <v>79</v>
      </c>
      <c r="D79" s="75" t="s">
        <v>176</v>
      </c>
      <c r="E79" s="10"/>
      <c r="F79" s="10"/>
      <c r="G79" s="11"/>
      <c r="H79" s="81"/>
      <c r="I79" s="142">
        <f>I36/7335</f>
        <v>1.6359918200408998E-3</v>
      </c>
      <c r="J79" s="107">
        <f>J36/7335</f>
        <v>1.6359918200408998E-3</v>
      </c>
      <c r="K79" s="189"/>
      <c r="L79" s="142">
        <f>L36/7335</f>
        <v>1.6359918200408998E-3</v>
      </c>
      <c r="M79" s="107">
        <f>M36/7335</f>
        <v>1.6359918200408998E-3</v>
      </c>
      <c r="N79" s="189"/>
      <c r="O79" s="142">
        <f>O36/7335</f>
        <v>1.6359918200408998E-3</v>
      </c>
      <c r="P79" s="107">
        <f>P36/7335</f>
        <v>1.6359918200408998E-3</v>
      </c>
      <c r="Q79" s="189"/>
      <c r="R79" s="142">
        <f>(O79+L79+I79)/3</f>
        <v>1.6359918200408998E-3</v>
      </c>
      <c r="S79" s="107">
        <f>(P79+M79+J79)/3</f>
        <v>1.6359918200408998E-3</v>
      </c>
      <c r="T79" s="189"/>
      <c r="U79" s="142">
        <f>U36/7335</f>
        <v>1.6359918200408998E-3</v>
      </c>
      <c r="V79" s="107">
        <f>V36/7335</f>
        <v>1.6359918200408998E-3</v>
      </c>
      <c r="W79" s="11"/>
      <c r="X79" s="142">
        <f>X36/7335</f>
        <v>1.6359918200408998E-3</v>
      </c>
      <c r="Y79" s="107">
        <f>Y36/7335</f>
        <v>1.6359918200408998E-3</v>
      </c>
      <c r="Z79" s="11"/>
      <c r="AA79" s="142">
        <f>AA36/7335</f>
        <v>1.6359918200408998E-3</v>
      </c>
      <c r="AB79" s="107">
        <f>AB36/7335</f>
        <v>1.6359918200408998E-3</v>
      </c>
      <c r="AC79" s="11"/>
      <c r="AD79" s="11"/>
      <c r="AE79" s="11"/>
      <c r="AF79" s="11"/>
      <c r="AG79" s="142">
        <f>AG36/7335</f>
        <v>1.6359918200408998E-3</v>
      </c>
      <c r="AH79" s="107">
        <f>AH36/7335</f>
        <v>1.6359918200408998E-3</v>
      </c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295"/>
      <c r="BF79" s="83"/>
      <c r="BG79" s="83"/>
    </row>
    <row r="80" spans="1:59" ht="15" customHeight="1" x14ac:dyDescent="0.25">
      <c r="A80" s="326"/>
      <c r="B80" s="326"/>
      <c r="C80" s="50" t="s">
        <v>80</v>
      </c>
      <c r="D80" s="75" t="s">
        <v>176</v>
      </c>
      <c r="E80" s="10"/>
      <c r="F80" s="10"/>
      <c r="G80" s="11"/>
      <c r="H80" s="81"/>
      <c r="I80" s="142">
        <f>I20/2799.94</f>
        <v>2110.0112859561277</v>
      </c>
      <c r="J80" s="107">
        <f>J20/2799.94</f>
        <v>1805.0011785966842</v>
      </c>
      <c r="K80" s="189"/>
      <c r="L80" s="142">
        <f>L20/2799.94</f>
        <v>3593.650221076166</v>
      </c>
      <c r="M80" s="107">
        <f>M20/2799.94</f>
        <v>2931.2967420730442</v>
      </c>
      <c r="N80" s="189"/>
      <c r="O80" s="142">
        <f>O20/2799.94</f>
        <v>2713.0652799702852</v>
      </c>
      <c r="P80" s="107">
        <f>P20/2799.94</f>
        <v>2519.5472045829551</v>
      </c>
      <c r="Q80" s="189"/>
      <c r="R80" s="142">
        <f>(O80+L80+I80)/3</f>
        <v>2805.5755956675262</v>
      </c>
      <c r="S80" s="107">
        <f>(P80+M80+J80)/3</f>
        <v>2418.6150417508948</v>
      </c>
      <c r="T80" s="189"/>
      <c r="U80" s="142">
        <f>U20/2799.94</f>
        <v>2492.4337664378522</v>
      </c>
      <c r="V80" s="107">
        <f>V20/2799.94</f>
        <v>1968.9636206490138</v>
      </c>
      <c r="W80" s="11"/>
      <c r="X80" s="142">
        <f>X20/2799.94</f>
        <v>3292.2741201597178</v>
      </c>
      <c r="Y80" s="107">
        <f>Y20/2799.94</f>
        <v>2917.6475210183075</v>
      </c>
      <c r="Z80" s="11"/>
      <c r="AA80" s="142">
        <f>AA20/2799.94</f>
        <v>2067.949670350079</v>
      </c>
      <c r="AB80" s="107">
        <f>AB20/2799.94</f>
        <v>2079.4767030722087</v>
      </c>
      <c r="AC80" s="11"/>
      <c r="AD80" s="11"/>
      <c r="AE80" s="11"/>
      <c r="AF80" s="11"/>
      <c r="AG80" s="142">
        <f>AG20/2799.94</f>
        <v>2424.0055144038802</v>
      </c>
      <c r="AH80" s="107">
        <f>AH20/2799.94</f>
        <v>0</v>
      </c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295"/>
      <c r="BF80" s="83"/>
      <c r="BG80" s="83"/>
    </row>
    <row r="81" spans="1:61" ht="25.5" customHeight="1" x14ac:dyDescent="0.25">
      <c r="A81" s="326"/>
      <c r="B81" s="326"/>
      <c r="C81" s="50" t="s">
        <v>616</v>
      </c>
      <c r="D81" s="75"/>
      <c r="E81" s="10"/>
      <c r="F81" s="10"/>
      <c r="G81" s="11"/>
      <c r="H81" s="81"/>
      <c r="I81" s="142"/>
      <c r="J81" s="107"/>
      <c r="K81" s="189"/>
      <c r="L81" s="142"/>
      <c r="M81" s="107"/>
      <c r="N81" s="189"/>
      <c r="O81" s="142"/>
      <c r="P81" s="107"/>
      <c r="Q81" s="189"/>
      <c r="R81" s="142"/>
      <c r="S81" s="107"/>
      <c r="T81" s="189"/>
      <c r="U81" s="142"/>
      <c r="V81" s="107"/>
      <c r="W81" s="11"/>
      <c r="X81" s="142"/>
      <c r="Y81" s="107"/>
      <c r="Z81" s="11"/>
      <c r="AA81" s="142"/>
      <c r="AB81" s="107"/>
      <c r="AC81" s="11"/>
      <c r="AD81" s="11"/>
      <c r="AE81" s="11"/>
      <c r="AF81" s="11"/>
      <c r="AG81" s="142"/>
      <c r="AH81" s="107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07"/>
      <c r="BF81" s="83"/>
      <c r="BG81" s="83"/>
    </row>
    <row r="82" spans="1:61" ht="3.75" customHeight="1" x14ac:dyDescent="0.25">
      <c r="I82" s="241"/>
      <c r="J82" s="242"/>
      <c r="K82" s="243"/>
      <c r="L82" s="241"/>
      <c r="M82" s="242"/>
      <c r="N82" s="243"/>
      <c r="O82" s="241"/>
      <c r="P82" s="242"/>
      <c r="Q82" s="243"/>
      <c r="R82" s="241"/>
      <c r="S82" s="242"/>
      <c r="T82" s="243"/>
      <c r="U82" s="241"/>
      <c r="V82" s="242"/>
      <c r="X82" s="241"/>
      <c r="Y82" s="242"/>
      <c r="AA82" s="241"/>
      <c r="AB82" s="242"/>
      <c r="AG82" s="241"/>
      <c r="AH82" s="242"/>
    </row>
    <row r="83" spans="1:61" x14ac:dyDescent="0.25">
      <c r="A83" s="14" t="s">
        <v>10</v>
      </c>
      <c r="B83" s="14"/>
      <c r="C83" s="14"/>
      <c r="D83" s="9"/>
      <c r="E83" s="9"/>
      <c r="F83" s="9"/>
      <c r="G83" s="38"/>
      <c r="H83" s="34"/>
      <c r="I83" s="155"/>
      <c r="J83" s="9"/>
      <c r="K83" s="156"/>
      <c r="L83" s="155"/>
      <c r="M83" s="9"/>
      <c r="N83" s="156"/>
      <c r="O83" s="155"/>
      <c r="P83" s="9"/>
      <c r="Q83" s="156"/>
      <c r="R83" s="155"/>
      <c r="S83" s="9"/>
      <c r="T83" s="156"/>
      <c r="U83" s="155"/>
      <c r="V83" s="9"/>
      <c r="W83" s="9"/>
      <c r="X83" s="155"/>
      <c r="Y83" s="9"/>
      <c r="Z83" s="9"/>
      <c r="AA83" s="155"/>
      <c r="AB83" s="9"/>
      <c r="AC83" s="9"/>
      <c r="AD83" s="9"/>
      <c r="AE83" s="9"/>
      <c r="AF83" s="9"/>
      <c r="AG83" s="155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</row>
    <row r="84" spans="1:61" ht="15.75" customHeight="1" thickBot="1" x14ac:dyDescent="0.3">
      <c r="A84" s="333" t="s">
        <v>89</v>
      </c>
      <c r="B84" s="334"/>
      <c r="C84" s="52" t="s">
        <v>81</v>
      </c>
      <c r="D84" s="75" t="s">
        <v>176</v>
      </c>
      <c r="E84" s="12"/>
      <c r="F84" s="10"/>
      <c r="G84" s="11"/>
      <c r="H84" s="29"/>
      <c r="I84" s="142">
        <v>0.1</v>
      </c>
      <c r="J84" s="107">
        <f>'HT Express BSC '!J53+'HT Stores BSC'!J45+'HT Fine Dining'!J23</f>
        <v>0</v>
      </c>
      <c r="K84" s="189"/>
      <c r="L84" s="142">
        <v>0.1</v>
      </c>
      <c r="M84" s="107">
        <f>'HT Express BSC '!M53+'HT Stores BSC'!M45+'HT Fine Dining'!M23</f>
        <v>0</v>
      </c>
      <c r="N84" s="189"/>
      <c r="O84" s="142">
        <v>0.1</v>
      </c>
      <c r="P84" s="107">
        <f>'HT Express BSC '!P53+'HT Stores BSC'!P45+'HT Fine Dining'!P23</f>
        <v>0</v>
      </c>
      <c r="Q84" s="189"/>
      <c r="R84" s="142">
        <f>O84+L84+I84</f>
        <v>0.30000000000000004</v>
      </c>
      <c r="S84" s="107"/>
      <c r="T84" s="189"/>
      <c r="U84" s="142">
        <v>0.1</v>
      </c>
      <c r="V84" s="107">
        <f>'HT Express BSC '!V53+'HT Stores BSC'!V45+'HT Fine Dining'!V23</f>
        <v>0</v>
      </c>
      <c r="W84" s="11"/>
      <c r="X84" s="142">
        <v>0.1</v>
      </c>
      <c r="Y84" s="107">
        <f>'HT Express BSC '!Y53+'HT Stores BSC'!Y45+'HT Fine Dining'!Y23</f>
        <v>76437</v>
      </c>
      <c r="Z84" s="11"/>
      <c r="AA84" s="142">
        <v>0.1</v>
      </c>
      <c r="AB84" s="107">
        <f>'HT Express BSC '!AB53+'HT Stores BSC'!AB45+'HT Fine Dining'!AB23</f>
        <v>59952</v>
      </c>
      <c r="AC84" s="11"/>
      <c r="AD84" s="142">
        <f t="shared" ref="AD84" si="23">U84+X84+AA84</f>
        <v>0.30000000000000004</v>
      </c>
      <c r="AE84" s="11"/>
      <c r="AF84" s="11"/>
      <c r="AG84" s="142">
        <v>0.1</v>
      </c>
      <c r="AH84" s="107">
        <f>'HT Express BSC '!AH53+'HT Stores BSC'!AH45+'HT Fine Dining'!AH23</f>
        <v>56984</v>
      </c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07">
        <f>I84+L84+O84+U84+X84+AA84+AG84+AJ84+AM84+AS84+AV84+AY84</f>
        <v>0.7</v>
      </c>
      <c r="BF84" s="83"/>
      <c r="BG84" s="83"/>
    </row>
    <row r="85" spans="1:61" ht="15.75" thickBot="1" x14ac:dyDescent="0.3">
      <c r="A85" s="335"/>
      <c r="B85" s="336"/>
      <c r="C85" s="53" t="s">
        <v>82</v>
      </c>
      <c r="D85" s="75" t="s">
        <v>176</v>
      </c>
      <c r="E85" s="12"/>
      <c r="F85" s="10"/>
      <c r="G85" s="11"/>
      <c r="H85" s="29"/>
      <c r="I85" s="244">
        <f>I4-I84</f>
        <v>19.899999999999999</v>
      </c>
      <c r="J85" s="128"/>
      <c r="K85" s="245"/>
      <c r="L85" s="244">
        <f>L4-L84</f>
        <v>19.899999999999999</v>
      </c>
      <c r="M85" s="128"/>
      <c r="N85" s="245"/>
      <c r="O85" s="244">
        <f>O4-O84</f>
        <v>19.899999999999999</v>
      </c>
      <c r="P85" s="128"/>
      <c r="Q85" s="245"/>
      <c r="R85" s="244">
        <f>R4-R84</f>
        <v>59.7</v>
      </c>
      <c r="S85" s="128"/>
      <c r="T85" s="245"/>
      <c r="U85" s="244">
        <f>U4-U84</f>
        <v>19.899999999999999</v>
      </c>
      <c r="V85" s="128"/>
      <c r="W85" s="130"/>
      <c r="X85" s="244">
        <f>X4-X84</f>
        <v>19.899999999999999</v>
      </c>
      <c r="Y85" s="128"/>
      <c r="Z85" s="130"/>
      <c r="AA85" s="244">
        <f>AA4-AA84</f>
        <v>19.899999999999999</v>
      </c>
      <c r="AB85" s="128"/>
      <c r="AC85" s="130"/>
      <c r="AD85" s="287">
        <f>AD4-AD84</f>
        <v>59.7</v>
      </c>
      <c r="AE85" s="130"/>
      <c r="AF85" s="130"/>
      <c r="AG85" s="244">
        <f>AG4-AG84</f>
        <v>19.899999999999999</v>
      </c>
      <c r="AH85" s="128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  <c r="AS85" s="130"/>
      <c r="AT85" s="130"/>
      <c r="AU85" s="130"/>
      <c r="AV85" s="130"/>
      <c r="AW85" s="130"/>
      <c r="AX85" s="130"/>
      <c r="AY85" s="130"/>
      <c r="AZ85" s="130"/>
      <c r="BA85" s="130"/>
      <c r="BB85" s="130"/>
      <c r="BC85" s="130"/>
      <c r="BD85" s="130"/>
      <c r="BE85" s="287">
        <f>BE4-BE84</f>
        <v>139.30000000000001</v>
      </c>
      <c r="BF85" s="128"/>
      <c r="BG85" s="128"/>
      <c r="BI85" s="292"/>
    </row>
    <row r="86" spans="1:61" ht="4.5" customHeight="1" x14ac:dyDescent="0.25">
      <c r="A86" s="335"/>
      <c r="B86" s="336"/>
      <c r="D86" s="75" t="s">
        <v>176</v>
      </c>
      <c r="E86" s="12"/>
      <c r="F86" s="10"/>
      <c r="G86" s="11"/>
      <c r="H86" s="29"/>
      <c r="I86" s="246"/>
      <c r="J86" s="94"/>
      <c r="K86" s="247"/>
      <c r="L86" s="246"/>
      <c r="M86" s="94"/>
      <c r="N86" s="247"/>
      <c r="O86" s="246"/>
      <c r="P86" s="94"/>
      <c r="Q86" s="247"/>
      <c r="R86" s="246"/>
      <c r="S86" s="94"/>
      <c r="T86" s="247"/>
      <c r="U86" s="246"/>
      <c r="V86" s="94"/>
      <c r="W86" s="11"/>
      <c r="X86" s="246"/>
      <c r="Y86" s="94"/>
      <c r="Z86" s="11"/>
      <c r="AA86" s="246"/>
      <c r="AB86" s="94"/>
      <c r="AC86" s="11"/>
      <c r="AD86" s="11"/>
      <c r="AE86" s="11"/>
      <c r="AF86" s="11"/>
      <c r="AG86" s="246"/>
      <c r="AH86" s="94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94"/>
      <c r="BF86" s="11"/>
      <c r="BG86" s="11"/>
      <c r="BI86" s="292"/>
    </row>
    <row r="87" spans="1:61" x14ac:dyDescent="0.25">
      <c r="A87" s="335"/>
      <c r="B87" s="336"/>
      <c r="C87" s="51" t="s">
        <v>83</v>
      </c>
      <c r="D87" s="75" t="s">
        <v>176</v>
      </c>
      <c r="E87" s="12"/>
      <c r="F87" s="10"/>
      <c r="G87" s="11"/>
      <c r="H87" s="29"/>
      <c r="I87" s="142">
        <v>3.5</v>
      </c>
      <c r="J87" s="83"/>
      <c r="K87" s="137"/>
      <c r="L87" s="142">
        <v>3.5</v>
      </c>
      <c r="M87" s="83"/>
      <c r="N87" s="137"/>
      <c r="O87" s="142">
        <v>3.5</v>
      </c>
      <c r="P87" s="83"/>
      <c r="Q87" s="137"/>
      <c r="R87" s="142">
        <f t="shared" ref="R87:R89" si="24">O87+L87+I87</f>
        <v>10.5</v>
      </c>
      <c r="S87" s="83"/>
      <c r="T87" s="137"/>
      <c r="U87" s="142">
        <v>3.5</v>
      </c>
      <c r="V87" s="83"/>
      <c r="W87" s="11"/>
      <c r="X87" s="142">
        <v>3.5</v>
      </c>
      <c r="Y87" s="83"/>
      <c r="Z87" s="11"/>
      <c r="AA87" s="142">
        <v>3.5</v>
      </c>
      <c r="AB87" s="83"/>
      <c r="AC87" s="11"/>
      <c r="AD87" s="142">
        <f t="shared" ref="AD87:AD89" si="25">U87+X87+AA87</f>
        <v>10.5</v>
      </c>
      <c r="AE87" s="11"/>
      <c r="AF87" s="11"/>
      <c r="AG87" s="142">
        <v>3.5</v>
      </c>
      <c r="AH87" s="83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07">
        <f>L87+I87+O87+U87+X87+AA87+AG87+AJ87+AM87+AS87+AV87+AY87</f>
        <v>24.5</v>
      </c>
      <c r="BF87" s="11"/>
      <c r="BG87" s="85">
        <f>BE87/$I$4</f>
        <v>1.2250000000000001</v>
      </c>
      <c r="BI87" s="292"/>
    </row>
    <row r="88" spans="1:61" x14ac:dyDescent="0.25">
      <c r="A88" s="335"/>
      <c r="B88" s="336"/>
      <c r="C88" s="51" t="s">
        <v>84</v>
      </c>
      <c r="D88" s="75" t="s">
        <v>176</v>
      </c>
      <c r="E88" s="12"/>
      <c r="F88" s="10"/>
      <c r="G88" s="11"/>
      <c r="H88" s="29"/>
      <c r="I88" s="142">
        <v>1</v>
      </c>
      <c r="J88" s="83"/>
      <c r="K88" s="137"/>
      <c r="L88" s="142">
        <v>1</v>
      </c>
      <c r="M88" s="83"/>
      <c r="N88" s="137"/>
      <c r="O88" s="142">
        <v>1</v>
      </c>
      <c r="P88" s="83"/>
      <c r="Q88" s="137"/>
      <c r="R88" s="142">
        <f t="shared" si="24"/>
        <v>3</v>
      </c>
      <c r="S88" s="83"/>
      <c r="T88" s="137"/>
      <c r="U88" s="142">
        <v>1</v>
      </c>
      <c r="V88" s="83"/>
      <c r="W88" s="11"/>
      <c r="X88" s="142">
        <v>1</v>
      </c>
      <c r="Y88" s="83"/>
      <c r="Z88" s="11"/>
      <c r="AA88" s="142">
        <v>1</v>
      </c>
      <c r="AB88" s="83"/>
      <c r="AC88" s="11"/>
      <c r="AD88" s="142">
        <f t="shared" si="25"/>
        <v>3</v>
      </c>
      <c r="AE88" s="11"/>
      <c r="AF88" s="11"/>
      <c r="AG88" s="142">
        <v>1</v>
      </c>
      <c r="AH88" s="83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07">
        <f t="shared" ref="BE88:BE89" si="26">L88+I88+O88+U88+X88+AA88+AG88+AJ88+AM88+AS88+AV88+AY88</f>
        <v>7</v>
      </c>
      <c r="BF88" s="11"/>
      <c r="BG88" s="85">
        <f>BE88/$I$4</f>
        <v>0.35</v>
      </c>
      <c r="BI88" s="292"/>
    </row>
    <row r="89" spans="1:61" ht="15.75" thickBot="1" x14ac:dyDescent="0.3">
      <c r="A89" s="335"/>
      <c r="B89" s="336"/>
      <c r="C89" s="51" t="s">
        <v>85</v>
      </c>
      <c r="D89" s="75" t="s">
        <v>176</v>
      </c>
      <c r="E89" s="12"/>
      <c r="F89" s="10"/>
      <c r="G89" s="11"/>
      <c r="H89" s="29"/>
      <c r="I89" s="142">
        <v>1</v>
      </c>
      <c r="J89" s="90">
        <f>(I87+I88+I89)/I4</f>
        <v>0.27500000000000002</v>
      </c>
      <c r="K89" s="137"/>
      <c r="L89" s="142">
        <v>1</v>
      </c>
      <c r="M89" s="90">
        <f>(L87+L88+L89)/L4</f>
        <v>0.27500000000000002</v>
      </c>
      <c r="N89" s="137"/>
      <c r="O89" s="142">
        <v>1</v>
      </c>
      <c r="P89" s="90">
        <f>(O87+O88+O89)/O4</f>
        <v>0.27500000000000002</v>
      </c>
      <c r="Q89" s="137"/>
      <c r="R89" s="142">
        <f t="shared" si="24"/>
        <v>3</v>
      </c>
      <c r="S89" s="90">
        <f>(R87+R88+R89)/R4</f>
        <v>0.27500000000000002</v>
      </c>
      <c r="T89" s="137"/>
      <c r="U89" s="142">
        <v>1</v>
      </c>
      <c r="V89" s="90">
        <f>(U87+U88+U89)/U4</f>
        <v>0.27500000000000002</v>
      </c>
      <c r="W89" s="90">
        <f>(U87+U88+U89)/U4</f>
        <v>0.27500000000000002</v>
      </c>
      <c r="X89" s="142">
        <v>1</v>
      </c>
      <c r="Y89" s="90">
        <f>(X87+X88+X89)/X4</f>
        <v>0.27500000000000002</v>
      </c>
      <c r="Z89" s="90">
        <f>(X87+X88+X89)/X4</f>
        <v>0.27500000000000002</v>
      </c>
      <c r="AA89" s="142">
        <v>1</v>
      </c>
      <c r="AB89" s="90">
        <f>(AA87+AA88+AA89)/AA4</f>
        <v>0.27500000000000002</v>
      </c>
      <c r="AC89" s="90">
        <f>(AA87+AA88+AA89)/AA4</f>
        <v>0.27500000000000002</v>
      </c>
      <c r="AD89" s="142">
        <f t="shared" si="25"/>
        <v>3</v>
      </c>
      <c r="AE89" s="11"/>
      <c r="AF89" s="11"/>
      <c r="AG89" s="142">
        <v>1</v>
      </c>
      <c r="AH89" s="90">
        <f>(AG87+AG88+AG89)/AG4</f>
        <v>0.27500000000000002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07">
        <f t="shared" si="26"/>
        <v>7</v>
      </c>
      <c r="BF89" s="11"/>
      <c r="BG89" s="85">
        <f>BE89/$I$4</f>
        <v>0.35</v>
      </c>
      <c r="BI89" s="292"/>
    </row>
    <row r="90" spans="1:61" ht="15.75" thickBot="1" x14ac:dyDescent="0.3">
      <c r="A90" s="335"/>
      <c r="B90" s="336"/>
      <c r="C90" s="53" t="s">
        <v>611</v>
      </c>
      <c r="D90" s="75" t="s">
        <v>176</v>
      </c>
      <c r="E90" s="12"/>
      <c r="F90" s="10"/>
      <c r="G90" s="11"/>
      <c r="H90" s="29"/>
      <c r="I90" s="244">
        <f>I85-I87-I88-I89</f>
        <v>14.399999999999999</v>
      </c>
      <c r="J90" s="128"/>
      <c r="K90" s="248">
        <f>I90/$I$4</f>
        <v>0.72</v>
      </c>
      <c r="L90" s="244">
        <f>L85-L87-L88-L89</f>
        <v>14.399999999999999</v>
      </c>
      <c r="M90" s="128"/>
      <c r="N90" s="248">
        <f>L90/$I$4</f>
        <v>0.72</v>
      </c>
      <c r="O90" s="244">
        <f>O85-O87-O88-O89</f>
        <v>14.399999999999999</v>
      </c>
      <c r="P90" s="128"/>
      <c r="Q90" s="248"/>
      <c r="R90" s="244">
        <f>R85-R87-R88-R89</f>
        <v>43.2</v>
      </c>
      <c r="S90" s="128"/>
      <c r="T90" s="248">
        <f>R90/R85</f>
        <v>0.72361809045226133</v>
      </c>
      <c r="U90" s="244">
        <f>U85-U87-U88-U89</f>
        <v>14.399999999999999</v>
      </c>
      <c r="V90" s="128"/>
      <c r="W90" s="130"/>
      <c r="X90" s="244">
        <f>X85-X87-X88-X89</f>
        <v>14.399999999999999</v>
      </c>
      <c r="Y90" s="128"/>
      <c r="Z90" s="130"/>
      <c r="AA90" s="244">
        <f>AA85-AA87-AA88-AA89</f>
        <v>14.399999999999999</v>
      </c>
      <c r="AB90" s="128"/>
      <c r="AC90" s="130"/>
      <c r="AD90" s="287">
        <f>AD85-SUM(AD87:AD89)</f>
        <v>43.2</v>
      </c>
      <c r="AE90" s="130"/>
      <c r="AF90" s="130"/>
      <c r="AG90" s="244">
        <f>AG85-AG87-AG88-AG89</f>
        <v>14.399999999999999</v>
      </c>
      <c r="AH90" s="128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287">
        <f>BE85-SUM(BE87:BE89)</f>
        <v>100.80000000000001</v>
      </c>
      <c r="BF90" s="131"/>
      <c r="BG90" s="129">
        <f>BE90/$I$4</f>
        <v>5.0400000000000009</v>
      </c>
      <c r="BI90" s="292"/>
    </row>
    <row r="91" spans="1:61" ht="3.75" customHeight="1" x14ac:dyDescent="0.25">
      <c r="A91" s="335"/>
      <c r="B91" s="336"/>
      <c r="D91" s="12"/>
      <c r="E91" s="12"/>
      <c r="F91" s="10"/>
      <c r="G91" s="11"/>
      <c r="H91" s="29"/>
      <c r="I91" s="246"/>
      <c r="J91" s="94"/>
      <c r="K91" s="247"/>
      <c r="L91" s="246"/>
      <c r="M91" s="94"/>
      <c r="N91" s="247"/>
      <c r="O91" s="246"/>
      <c r="P91" s="94"/>
      <c r="Q91" s="247"/>
      <c r="R91" s="246"/>
      <c r="S91" s="94"/>
      <c r="T91" s="247"/>
      <c r="U91" s="246"/>
      <c r="V91" s="94"/>
      <c r="W91" s="11"/>
      <c r="X91" s="246"/>
      <c r="Y91" s="94"/>
      <c r="Z91" s="11"/>
      <c r="AA91" s="246"/>
      <c r="AB91" s="94"/>
      <c r="AC91" s="11"/>
      <c r="AD91" s="11"/>
      <c r="AE91" s="11"/>
      <c r="AF91" s="11"/>
      <c r="AG91" s="246"/>
      <c r="AH91" s="94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94"/>
      <c r="BF91" s="11"/>
      <c r="BG91" s="94"/>
      <c r="BI91" s="292"/>
    </row>
    <row r="92" spans="1:61" x14ac:dyDescent="0.25">
      <c r="A92" s="335"/>
      <c r="B92" s="336"/>
      <c r="C92" s="195" t="s">
        <v>620</v>
      </c>
      <c r="D92" s="75" t="s">
        <v>176</v>
      </c>
      <c r="E92" s="12"/>
      <c r="F92" s="10"/>
      <c r="G92" s="11"/>
      <c r="H92" s="29"/>
      <c r="I92" s="142">
        <v>2</v>
      </c>
      <c r="J92" s="83"/>
      <c r="K92" s="137"/>
      <c r="L92" s="142">
        <v>2</v>
      </c>
      <c r="M92" s="83"/>
      <c r="N92" s="137"/>
      <c r="O92" s="142">
        <v>2</v>
      </c>
      <c r="P92" s="83"/>
      <c r="Q92" s="137"/>
      <c r="R92" s="142">
        <f t="shared" ref="R92:R97" si="27">O92+L92+I92</f>
        <v>6</v>
      </c>
      <c r="S92" s="83"/>
      <c r="T92" s="137"/>
      <c r="U92" s="142">
        <v>2</v>
      </c>
      <c r="V92" s="83"/>
      <c r="W92" s="11"/>
      <c r="X92" s="142">
        <v>2</v>
      </c>
      <c r="Y92" s="83"/>
      <c r="Z92" s="11"/>
      <c r="AA92" s="142">
        <v>2</v>
      </c>
      <c r="AB92" s="83"/>
      <c r="AC92" s="11"/>
      <c r="AD92" s="142">
        <f t="shared" ref="AD92:AD97" si="28">U92+X92+AA92</f>
        <v>6</v>
      </c>
      <c r="AE92" s="11"/>
      <c r="AF92" s="11"/>
      <c r="AG92" s="142">
        <v>2</v>
      </c>
      <c r="AH92" s="83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07">
        <f>L92+I92+O92+U92+X92+AA92+AG92+AJ92+AM92+AS92+AV92+AY92</f>
        <v>14</v>
      </c>
      <c r="BF92" s="11"/>
      <c r="BG92" s="85">
        <f>BE92/$I$4</f>
        <v>0.7</v>
      </c>
      <c r="BI92" s="292"/>
    </row>
    <row r="93" spans="1:61" x14ac:dyDescent="0.25">
      <c r="A93" s="335"/>
      <c r="B93" s="336"/>
      <c r="C93" s="195" t="s">
        <v>622</v>
      </c>
      <c r="D93" s="75" t="s">
        <v>176</v>
      </c>
      <c r="E93" s="12"/>
      <c r="F93" s="10"/>
      <c r="G93" s="11"/>
      <c r="H93" s="29"/>
      <c r="I93" s="142">
        <v>0.7</v>
      </c>
      <c r="J93" s="83"/>
      <c r="K93" s="137"/>
      <c r="L93" s="142">
        <v>0.7</v>
      </c>
      <c r="M93" s="83"/>
      <c r="N93" s="137"/>
      <c r="O93" s="142">
        <v>0.7</v>
      </c>
      <c r="P93" s="83"/>
      <c r="Q93" s="137"/>
      <c r="R93" s="142">
        <f t="shared" si="27"/>
        <v>2.0999999999999996</v>
      </c>
      <c r="S93" s="83"/>
      <c r="T93" s="137"/>
      <c r="U93" s="142">
        <v>0.7</v>
      </c>
      <c r="V93" s="83"/>
      <c r="W93" s="11"/>
      <c r="X93" s="142">
        <v>0.7</v>
      </c>
      <c r="Y93" s="83"/>
      <c r="Z93" s="11"/>
      <c r="AA93" s="142">
        <v>0.7</v>
      </c>
      <c r="AB93" s="83"/>
      <c r="AC93" s="11"/>
      <c r="AD93" s="142">
        <f t="shared" si="28"/>
        <v>2.0999999999999996</v>
      </c>
      <c r="AE93" s="11"/>
      <c r="AF93" s="11"/>
      <c r="AG93" s="142">
        <v>0.7</v>
      </c>
      <c r="AH93" s="83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07">
        <f t="shared" ref="BE93:BE98" si="29">L93+I93+O93+U93+X93+AA93+AG93+AJ93+AM93+AS93+AV93+AY93</f>
        <v>4.9000000000000004</v>
      </c>
      <c r="BF93" s="11"/>
      <c r="BG93" s="85">
        <f t="shared" ref="BG93:BG100" si="30">BE93/$I$4</f>
        <v>0.24500000000000002</v>
      </c>
      <c r="BI93" s="292"/>
    </row>
    <row r="94" spans="1:61" x14ac:dyDescent="0.25">
      <c r="A94" s="335"/>
      <c r="B94" s="336"/>
      <c r="C94" s="195" t="s">
        <v>623</v>
      </c>
      <c r="D94" s="75" t="s">
        <v>176</v>
      </c>
      <c r="E94" s="12"/>
      <c r="F94" s="10"/>
      <c r="G94" s="11"/>
      <c r="H94" s="29"/>
      <c r="I94" s="142">
        <v>0.75</v>
      </c>
      <c r="J94" s="83"/>
      <c r="K94" s="137"/>
      <c r="L94" s="142">
        <v>0.75</v>
      </c>
      <c r="M94" s="83"/>
      <c r="N94" s="137"/>
      <c r="O94" s="142">
        <v>0.75</v>
      </c>
      <c r="P94" s="83"/>
      <c r="Q94" s="137"/>
      <c r="R94" s="142">
        <f t="shared" si="27"/>
        <v>2.25</v>
      </c>
      <c r="S94" s="83"/>
      <c r="T94" s="137"/>
      <c r="U94" s="142">
        <v>0.75</v>
      </c>
      <c r="V94" s="83"/>
      <c r="W94" s="11"/>
      <c r="X94" s="142">
        <v>0.75</v>
      </c>
      <c r="Y94" s="83"/>
      <c r="Z94" s="11"/>
      <c r="AA94" s="142">
        <v>0.75</v>
      </c>
      <c r="AB94" s="83"/>
      <c r="AC94" s="11"/>
      <c r="AD94" s="142">
        <f t="shared" si="28"/>
        <v>2.25</v>
      </c>
      <c r="AE94" s="11"/>
      <c r="AF94" s="11"/>
      <c r="AG94" s="142">
        <v>0.75</v>
      </c>
      <c r="AH94" s="83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07">
        <f t="shared" si="29"/>
        <v>5.25</v>
      </c>
      <c r="BF94" s="83"/>
      <c r="BG94" s="85">
        <f t="shared" si="30"/>
        <v>0.26250000000000001</v>
      </c>
      <c r="BI94" s="292"/>
    </row>
    <row r="95" spans="1:61" x14ac:dyDescent="0.25">
      <c r="A95" s="335"/>
      <c r="B95" s="336"/>
      <c r="C95" s="51" t="s">
        <v>621</v>
      </c>
      <c r="D95" s="75" t="s">
        <v>176</v>
      </c>
      <c r="E95" s="12"/>
      <c r="F95" s="10"/>
      <c r="G95" s="11"/>
      <c r="H95" s="29"/>
      <c r="I95" s="142">
        <v>0.6</v>
      </c>
      <c r="J95" s="83"/>
      <c r="K95" s="137"/>
      <c r="L95" s="142">
        <v>0.6</v>
      </c>
      <c r="M95" s="83"/>
      <c r="N95" s="137"/>
      <c r="O95" s="142">
        <v>0.6</v>
      </c>
      <c r="P95" s="83"/>
      <c r="Q95" s="137"/>
      <c r="R95" s="142">
        <f t="shared" si="27"/>
        <v>1.7999999999999998</v>
      </c>
      <c r="S95" s="83"/>
      <c r="T95" s="137"/>
      <c r="U95" s="142">
        <v>0.6</v>
      </c>
      <c r="V95" s="83"/>
      <c r="W95" s="11"/>
      <c r="X95" s="142">
        <v>0.6</v>
      </c>
      <c r="Y95" s="83"/>
      <c r="Z95" s="11"/>
      <c r="AA95" s="142">
        <v>0.6</v>
      </c>
      <c r="AB95" s="83"/>
      <c r="AC95" s="11"/>
      <c r="AD95" s="142">
        <f t="shared" si="28"/>
        <v>1.7999999999999998</v>
      </c>
      <c r="AE95" s="11"/>
      <c r="AF95" s="11"/>
      <c r="AG95" s="142">
        <v>0.6</v>
      </c>
      <c r="AH95" s="83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07">
        <f t="shared" si="29"/>
        <v>4.2</v>
      </c>
      <c r="BF95" s="11"/>
      <c r="BG95" s="85">
        <f t="shared" si="30"/>
        <v>0.21000000000000002</v>
      </c>
      <c r="BI95" s="292"/>
    </row>
    <row r="96" spans="1:61" x14ac:dyDescent="0.25">
      <c r="A96" s="335"/>
      <c r="B96" s="336"/>
      <c r="C96" s="51" t="s">
        <v>619</v>
      </c>
      <c r="D96" s="75" t="s">
        <v>176</v>
      </c>
      <c r="E96" s="12"/>
      <c r="F96" s="10"/>
      <c r="G96" s="11"/>
      <c r="H96" s="29"/>
      <c r="I96" s="142">
        <v>0.2</v>
      </c>
      <c r="J96" s="83"/>
      <c r="K96" s="137"/>
      <c r="L96" s="142">
        <v>0.2</v>
      </c>
      <c r="M96" s="83"/>
      <c r="N96" s="137"/>
      <c r="O96" s="142">
        <v>0.2</v>
      </c>
      <c r="P96" s="83"/>
      <c r="Q96" s="137"/>
      <c r="R96" s="142">
        <f t="shared" si="27"/>
        <v>0.60000000000000009</v>
      </c>
      <c r="S96" s="83"/>
      <c r="T96" s="137"/>
      <c r="U96" s="142">
        <v>0.2</v>
      </c>
      <c r="V96" s="83"/>
      <c r="W96" s="11"/>
      <c r="X96" s="142">
        <v>0.2</v>
      </c>
      <c r="Y96" s="83"/>
      <c r="Z96" s="11"/>
      <c r="AA96" s="142">
        <v>0.2</v>
      </c>
      <c r="AB96" s="83"/>
      <c r="AC96" s="11"/>
      <c r="AD96" s="142">
        <f t="shared" si="28"/>
        <v>0.60000000000000009</v>
      </c>
      <c r="AE96" s="11"/>
      <c r="AF96" s="11"/>
      <c r="AG96" s="142">
        <v>0.2</v>
      </c>
      <c r="AH96" s="83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07">
        <f t="shared" si="29"/>
        <v>1.4</v>
      </c>
      <c r="BF96" s="11"/>
      <c r="BG96" s="85">
        <f t="shared" si="30"/>
        <v>6.9999999999999993E-2</v>
      </c>
      <c r="BI96" s="292"/>
    </row>
    <row r="97" spans="1:61" x14ac:dyDescent="0.25">
      <c r="A97" s="335"/>
      <c r="B97" s="336"/>
      <c r="C97" s="51" t="s">
        <v>644</v>
      </c>
      <c r="D97" s="75"/>
      <c r="E97" s="12"/>
      <c r="F97" s="10"/>
      <c r="G97" s="11"/>
      <c r="H97" s="29"/>
      <c r="I97" s="142">
        <v>0.3</v>
      </c>
      <c r="J97" s="83"/>
      <c r="K97" s="137"/>
      <c r="L97" s="142">
        <v>0.3</v>
      </c>
      <c r="M97" s="83"/>
      <c r="N97" s="137"/>
      <c r="O97" s="142">
        <v>0.3</v>
      </c>
      <c r="P97" s="83"/>
      <c r="Q97" s="137"/>
      <c r="R97" s="142">
        <f t="shared" si="27"/>
        <v>0.89999999999999991</v>
      </c>
      <c r="S97" s="83"/>
      <c r="T97" s="137"/>
      <c r="U97" s="142">
        <v>0.3</v>
      </c>
      <c r="V97" s="83"/>
      <c r="W97" s="11"/>
      <c r="X97" s="142">
        <v>0.3</v>
      </c>
      <c r="Y97" s="83"/>
      <c r="Z97" s="11"/>
      <c r="AA97" s="142">
        <v>0.3</v>
      </c>
      <c r="AB97" s="83"/>
      <c r="AC97" s="11"/>
      <c r="AD97" s="142">
        <f t="shared" si="28"/>
        <v>0.89999999999999991</v>
      </c>
      <c r="AE97" s="11"/>
      <c r="AF97" s="11"/>
      <c r="AG97" s="142">
        <v>0.3</v>
      </c>
      <c r="AH97" s="83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07">
        <f t="shared" si="29"/>
        <v>2.1</v>
      </c>
      <c r="BF97" s="11"/>
      <c r="BG97" s="85"/>
      <c r="BI97" s="292"/>
    </row>
    <row r="98" spans="1:61" x14ac:dyDescent="0.25">
      <c r="A98" s="335"/>
      <c r="B98" s="336"/>
      <c r="C98" s="96" t="s">
        <v>640</v>
      </c>
      <c r="D98" s="95"/>
      <c r="E98" s="95"/>
      <c r="F98" s="95"/>
      <c r="G98" s="95"/>
      <c r="H98" s="239"/>
      <c r="I98" s="225">
        <f>-2128261*0</f>
        <v>0</v>
      </c>
      <c r="J98" s="97"/>
      <c r="K98" s="137"/>
      <c r="L98" s="225">
        <f>-2128261*0</f>
        <v>0</v>
      </c>
      <c r="M98" s="97"/>
      <c r="N98" s="137"/>
      <c r="O98" s="225">
        <f>-2128261*0</f>
        <v>0</v>
      </c>
      <c r="P98" s="97"/>
      <c r="Q98" s="137"/>
      <c r="R98" s="225"/>
      <c r="S98" s="97"/>
      <c r="T98" s="137"/>
      <c r="U98" s="225">
        <f>-2128261*0</f>
        <v>0</v>
      </c>
      <c r="V98" s="97"/>
      <c r="W98" s="11"/>
      <c r="X98" s="225">
        <f>-2128261*0</f>
        <v>0</v>
      </c>
      <c r="Y98" s="97"/>
      <c r="Z98" s="11"/>
      <c r="AA98" s="225">
        <f>-2128261*0</f>
        <v>0</v>
      </c>
      <c r="AB98" s="97"/>
      <c r="AC98" s="11"/>
      <c r="AD98" s="11"/>
      <c r="AE98" s="11"/>
      <c r="AF98" s="11"/>
      <c r="AG98" s="225">
        <f>-2128261*0</f>
        <v>0</v>
      </c>
      <c r="AH98" s="97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07">
        <f t="shared" si="29"/>
        <v>0</v>
      </c>
      <c r="BF98" s="88"/>
      <c r="BG98" s="85"/>
      <c r="BI98" s="292"/>
    </row>
    <row r="99" spans="1:61" ht="3.75" customHeight="1" x14ac:dyDescent="0.25">
      <c r="A99" s="335"/>
      <c r="B99" s="336"/>
      <c r="C99" s="91"/>
      <c r="D99" s="92"/>
      <c r="E99" s="92"/>
      <c r="F99" s="93"/>
      <c r="G99" s="94"/>
      <c r="H99" s="29"/>
      <c r="I99" s="249"/>
      <c r="J99" s="94"/>
      <c r="K99" s="250"/>
      <c r="L99" s="249"/>
      <c r="M99" s="94"/>
      <c r="N99" s="250"/>
      <c r="O99" s="249"/>
      <c r="P99" s="94"/>
      <c r="Q99" s="250"/>
      <c r="R99" s="249"/>
      <c r="S99" s="94"/>
      <c r="T99" s="250"/>
      <c r="U99" s="249"/>
      <c r="V99" s="94"/>
      <c r="W99" s="11"/>
      <c r="X99" s="249"/>
      <c r="Y99" s="94"/>
      <c r="Z99" s="11"/>
      <c r="AA99" s="249"/>
      <c r="AB99" s="94"/>
      <c r="AC99" s="11"/>
      <c r="AD99" s="11"/>
      <c r="AE99" s="11"/>
      <c r="AF99" s="11"/>
      <c r="AG99" s="249"/>
      <c r="AH99" s="94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09"/>
      <c r="BF99" s="11"/>
      <c r="BG99" s="127"/>
    </row>
    <row r="100" spans="1:61" ht="15.75" thickBot="1" x14ac:dyDescent="0.3">
      <c r="A100" s="335"/>
      <c r="B100" s="336"/>
      <c r="C100" s="55" t="s">
        <v>612</v>
      </c>
      <c r="D100" s="75" t="s">
        <v>176</v>
      </c>
      <c r="E100" s="12"/>
      <c r="F100" s="10"/>
      <c r="G100" s="11"/>
      <c r="H100" s="29"/>
      <c r="I100" s="244">
        <f>I90-SUM(I92:I98)</f>
        <v>9.8499999999999979</v>
      </c>
      <c r="J100" s="128"/>
      <c r="K100" s="248"/>
      <c r="L100" s="244">
        <f>L90-SUM(L92:L98)</f>
        <v>9.8499999999999979</v>
      </c>
      <c r="M100" s="128"/>
      <c r="N100" s="248">
        <f t="shared" ref="N100" si="31">L100/$I$4</f>
        <v>0.49249999999999988</v>
      </c>
      <c r="O100" s="244">
        <f>O90-SUM(O92:O98)</f>
        <v>9.8499999999999979</v>
      </c>
      <c r="P100" s="128"/>
      <c r="Q100" s="248"/>
      <c r="R100" s="244">
        <f>R90-SUM(R92:R98)</f>
        <v>29.550000000000004</v>
      </c>
      <c r="S100" s="128"/>
      <c r="T100" s="248"/>
      <c r="U100" s="244">
        <f>U90-SUM(U92:U98)</f>
        <v>9.8499999999999979</v>
      </c>
      <c r="V100" s="128"/>
      <c r="W100" s="130"/>
      <c r="X100" s="244">
        <f>X90-SUM(X92:X98)</f>
        <v>9.8499999999999979</v>
      </c>
      <c r="Y100" s="128"/>
      <c r="Z100" s="130"/>
      <c r="AA100" s="244">
        <f>AA90-SUM(AA92:AA98)</f>
        <v>9.8499999999999979</v>
      </c>
      <c r="AB100" s="128"/>
      <c r="AC100" s="130"/>
      <c r="AD100" s="287">
        <f>AD90-SUM(AD92:AD98)</f>
        <v>29.550000000000004</v>
      </c>
      <c r="AE100" s="130"/>
      <c r="AF100" s="130"/>
      <c r="AG100" s="244">
        <f>AG90-SUM(AG92:AG98)</f>
        <v>9.8499999999999979</v>
      </c>
      <c r="AH100" s="128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30"/>
      <c r="BB100" s="130"/>
      <c r="BC100" s="130"/>
      <c r="BD100" s="130"/>
      <c r="BE100" s="287">
        <f>BE90-SUM(BE92:BE98)</f>
        <v>68.950000000000017</v>
      </c>
      <c r="BF100" s="130"/>
      <c r="BG100" s="129">
        <f t="shared" si="30"/>
        <v>3.4475000000000007</v>
      </c>
      <c r="BI100" s="292"/>
    </row>
    <row r="101" spans="1:61" ht="5.25" customHeight="1" thickBot="1" x14ac:dyDescent="0.3">
      <c r="A101" s="335"/>
      <c r="B101" s="336"/>
      <c r="D101" s="12"/>
      <c r="E101" s="12"/>
      <c r="F101" s="10"/>
      <c r="G101" s="11"/>
      <c r="H101" s="29"/>
      <c r="I101" s="159"/>
      <c r="J101" s="11"/>
      <c r="K101" s="247"/>
      <c r="L101" s="159"/>
      <c r="M101" s="11"/>
      <c r="N101" s="247"/>
      <c r="O101" s="159"/>
      <c r="P101" s="11"/>
      <c r="Q101" s="247"/>
      <c r="R101" s="159"/>
      <c r="S101" s="11"/>
      <c r="T101" s="247"/>
      <c r="U101" s="159"/>
      <c r="V101" s="11"/>
      <c r="W101" s="11"/>
      <c r="X101" s="159"/>
      <c r="Y101" s="11"/>
      <c r="Z101" s="11"/>
      <c r="AA101" s="159"/>
      <c r="AB101" s="11"/>
      <c r="AC101" s="11"/>
      <c r="AD101" s="11"/>
      <c r="AE101" s="11"/>
      <c r="AF101" s="11"/>
      <c r="AG101" s="159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</row>
    <row r="102" spans="1:61" ht="15.75" thickBot="1" x14ac:dyDescent="0.3">
      <c r="A102" s="337"/>
      <c r="B102" s="338"/>
      <c r="C102" s="53" t="s">
        <v>613</v>
      </c>
      <c r="D102" s="75" t="s">
        <v>176</v>
      </c>
      <c r="E102" s="12"/>
      <c r="F102" s="10"/>
      <c r="G102" s="11"/>
      <c r="H102" s="29"/>
      <c r="I102" s="251">
        <f>I100/I85</f>
        <v>0.49497487437185922</v>
      </c>
      <c r="J102" s="129"/>
      <c r="K102" s="248"/>
      <c r="L102" s="251">
        <f>L100/L85</f>
        <v>0.49497487437185922</v>
      </c>
      <c r="M102" s="129"/>
      <c r="N102" s="248"/>
      <c r="O102" s="251">
        <f>O100/O85</f>
        <v>0.49497487437185922</v>
      </c>
      <c r="P102" s="129"/>
      <c r="Q102" s="248"/>
      <c r="R102" s="251">
        <f>R100/R85</f>
        <v>0.49497487437185933</v>
      </c>
      <c r="S102" s="129"/>
      <c r="T102" s="248"/>
      <c r="U102" s="251">
        <f>U100/U85</f>
        <v>0.49497487437185922</v>
      </c>
      <c r="V102" s="129"/>
      <c r="W102" s="130"/>
      <c r="X102" s="251">
        <f>X100/X85</f>
        <v>0.49497487437185922</v>
      </c>
      <c r="Y102" s="129"/>
      <c r="Z102" s="130"/>
      <c r="AA102" s="251">
        <f>AA100/AA85</f>
        <v>0.49497487437185922</v>
      </c>
      <c r="AB102" s="129"/>
      <c r="AC102" s="130"/>
      <c r="AD102" s="299">
        <f>AD100/AD85</f>
        <v>0.49497487437185933</v>
      </c>
      <c r="AE102" s="130"/>
      <c r="AF102" s="130"/>
      <c r="AG102" s="251">
        <f>AG100/AG85</f>
        <v>0.49497487437185922</v>
      </c>
      <c r="AH102" s="129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  <c r="AS102" s="130"/>
      <c r="AT102" s="130"/>
      <c r="AU102" s="130"/>
      <c r="AV102" s="130"/>
      <c r="AW102" s="130"/>
      <c r="AX102" s="130"/>
      <c r="AY102" s="130"/>
      <c r="AZ102" s="130"/>
      <c r="BA102" s="130"/>
      <c r="BB102" s="130"/>
      <c r="BC102" s="130"/>
      <c r="BD102" s="130"/>
      <c r="BE102" s="251">
        <f>BE100/BE85</f>
        <v>0.49497487437185939</v>
      </c>
      <c r="BF102" s="130"/>
      <c r="BG102" s="130"/>
    </row>
    <row r="103" spans="1:61" ht="3.75" customHeight="1" x14ac:dyDescent="0.25">
      <c r="I103" s="241"/>
      <c r="J103" s="242"/>
      <c r="K103" s="243"/>
      <c r="L103" s="241"/>
      <c r="M103" s="242"/>
      <c r="N103" s="243"/>
      <c r="O103" s="241"/>
      <c r="P103" s="242"/>
      <c r="Q103" s="243"/>
      <c r="R103" s="241"/>
      <c r="S103" s="242"/>
      <c r="T103" s="243"/>
      <c r="U103" s="241"/>
      <c r="V103" s="242"/>
      <c r="X103" s="241"/>
      <c r="Y103" s="242"/>
      <c r="AA103" s="241"/>
      <c r="AB103" s="242"/>
      <c r="AG103" s="241"/>
      <c r="AH103" s="242"/>
    </row>
    <row r="104" spans="1:61" x14ac:dyDescent="0.25">
      <c r="A104" s="322" t="s">
        <v>90</v>
      </c>
      <c r="B104" s="322"/>
      <c r="C104" s="48" t="s">
        <v>91</v>
      </c>
      <c r="D104" s="75" t="s">
        <v>176</v>
      </c>
      <c r="E104" s="12"/>
      <c r="F104" s="10"/>
      <c r="G104" s="11"/>
      <c r="H104" s="29"/>
      <c r="I104" s="161">
        <v>-4.7374607982104272E-2</v>
      </c>
      <c r="J104" s="90"/>
      <c r="K104" s="162"/>
      <c r="L104" s="161">
        <v>-4.7374607982104272E-2</v>
      </c>
      <c r="M104" s="90"/>
      <c r="N104" s="162"/>
      <c r="O104" s="161">
        <v>-4.7374607982104272E-2</v>
      </c>
      <c r="P104" s="90"/>
      <c r="Q104" s="162"/>
      <c r="R104" s="136">
        <f t="shared" ref="R104:R119" si="32">(O104+L104+I104)/3</f>
        <v>-4.7374607982104272E-2</v>
      </c>
      <c r="S104" s="90"/>
      <c r="T104" s="162"/>
      <c r="U104" s="161">
        <v>-4.7374607982104272E-2</v>
      </c>
      <c r="V104" s="90"/>
      <c r="W104" s="11"/>
      <c r="X104" s="161">
        <v>-4.7374607982104272E-2</v>
      </c>
      <c r="Y104" s="90"/>
      <c r="Z104" s="11"/>
      <c r="AA104" s="161">
        <v>-4.7374607982104272E-2</v>
      </c>
      <c r="AB104" s="90"/>
      <c r="AC104" s="11"/>
      <c r="AD104" s="11"/>
      <c r="AE104" s="11"/>
      <c r="AF104" s="11"/>
      <c r="AG104" s="161">
        <v>-4.7374607982104272E-2</v>
      </c>
      <c r="AH104" s="90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36"/>
      <c r="BF104" s="98"/>
      <c r="BG104" s="98"/>
    </row>
    <row r="105" spans="1:61" x14ac:dyDescent="0.25">
      <c r="A105" s="322"/>
      <c r="B105" s="322"/>
      <c r="C105" s="48" t="s">
        <v>92</v>
      </c>
      <c r="D105" s="75" t="s">
        <v>176</v>
      </c>
      <c r="E105" s="12"/>
      <c r="F105" s="10"/>
      <c r="G105" s="11"/>
      <c r="H105" s="29"/>
      <c r="I105" s="161">
        <v>0.3</v>
      </c>
      <c r="J105" s="90"/>
      <c r="K105" s="162"/>
      <c r="L105" s="161">
        <v>0.3</v>
      </c>
      <c r="M105" s="90"/>
      <c r="N105" s="162"/>
      <c r="O105" s="161">
        <v>0.3</v>
      </c>
      <c r="P105" s="90"/>
      <c r="Q105" s="162"/>
      <c r="R105" s="136">
        <f t="shared" si="32"/>
        <v>0.3</v>
      </c>
      <c r="S105" s="90"/>
      <c r="T105" s="162"/>
      <c r="U105" s="161">
        <v>0.3</v>
      </c>
      <c r="V105" s="90"/>
      <c r="W105" s="11"/>
      <c r="X105" s="161">
        <v>0.3</v>
      </c>
      <c r="Y105" s="90"/>
      <c r="Z105" s="11"/>
      <c r="AA105" s="161">
        <v>0.3</v>
      </c>
      <c r="AB105" s="90"/>
      <c r="AC105" s="11"/>
      <c r="AD105" s="11"/>
      <c r="AE105" s="11"/>
      <c r="AF105" s="11"/>
      <c r="AG105" s="161">
        <v>0.3</v>
      </c>
      <c r="AH105" s="90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36"/>
      <c r="BF105" s="98"/>
      <c r="BG105" s="98"/>
    </row>
    <row r="106" spans="1:61" x14ac:dyDescent="0.25">
      <c r="A106" s="322"/>
      <c r="B106" s="322"/>
      <c r="C106" s="48" t="s">
        <v>93</v>
      </c>
      <c r="D106" s="75" t="s">
        <v>176</v>
      </c>
      <c r="E106" s="12"/>
      <c r="F106" s="10"/>
      <c r="G106" s="11"/>
      <c r="H106" s="29"/>
      <c r="I106" s="161">
        <v>0.25</v>
      </c>
      <c r="J106" s="90"/>
      <c r="K106" s="162"/>
      <c r="L106" s="161">
        <v>0.25</v>
      </c>
      <c r="M106" s="90"/>
      <c r="N106" s="162"/>
      <c r="O106" s="161">
        <v>0.25</v>
      </c>
      <c r="P106" s="90"/>
      <c r="Q106" s="162"/>
      <c r="R106" s="136">
        <f t="shared" si="32"/>
        <v>0.25</v>
      </c>
      <c r="S106" s="90"/>
      <c r="T106" s="162"/>
      <c r="U106" s="161">
        <v>0.25</v>
      </c>
      <c r="V106" s="90"/>
      <c r="W106" s="11"/>
      <c r="X106" s="161">
        <v>0.25</v>
      </c>
      <c r="Y106" s="90"/>
      <c r="Z106" s="11"/>
      <c r="AA106" s="161">
        <v>0.25</v>
      </c>
      <c r="AB106" s="90"/>
      <c r="AC106" s="11"/>
      <c r="AD106" s="11"/>
      <c r="AE106" s="11"/>
      <c r="AF106" s="11"/>
      <c r="AG106" s="161">
        <v>0.25</v>
      </c>
      <c r="AH106" s="90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36"/>
      <c r="BF106" s="98"/>
      <c r="BG106" s="98"/>
    </row>
    <row r="107" spans="1:61" ht="6" customHeight="1" x14ac:dyDescent="0.25">
      <c r="I107" s="241"/>
      <c r="J107" s="242"/>
      <c r="K107" s="243"/>
      <c r="L107" s="241"/>
      <c r="M107" s="242"/>
      <c r="N107" s="243"/>
      <c r="O107" s="241"/>
      <c r="P107" s="242"/>
      <c r="Q107" s="243"/>
      <c r="R107" s="241"/>
      <c r="S107" s="242"/>
      <c r="T107" s="243"/>
      <c r="U107" s="241"/>
      <c r="V107" s="242"/>
      <c r="X107" s="241"/>
      <c r="Y107" s="242"/>
      <c r="AA107" s="241"/>
      <c r="AB107" s="242"/>
      <c r="AG107" s="241"/>
      <c r="AH107" s="242"/>
    </row>
    <row r="108" spans="1:61" ht="16.5" customHeight="1" x14ac:dyDescent="0.25">
      <c r="A108" s="342" t="s">
        <v>102</v>
      </c>
      <c r="B108" s="343" t="s">
        <v>614</v>
      </c>
      <c r="C108" s="48" t="s">
        <v>94</v>
      </c>
      <c r="D108" s="75" t="s">
        <v>176</v>
      </c>
      <c r="E108" s="12"/>
      <c r="F108" s="10"/>
      <c r="G108" s="11"/>
      <c r="H108" s="29"/>
      <c r="I108" s="136">
        <f>'HT Express BSC '!I72</f>
        <v>-0.11</v>
      </c>
      <c r="J108" s="85"/>
      <c r="K108" s="137"/>
      <c r="L108" s="136">
        <f>'HT Express BSC '!L72</f>
        <v>0.26</v>
      </c>
      <c r="M108" s="85"/>
      <c r="N108" s="137"/>
      <c r="O108" s="136">
        <f>'HT Express BSC '!O72</f>
        <v>0.08</v>
      </c>
      <c r="P108" s="85"/>
      <c r="Q108" s="137"/>
      <c r="R108" s="136">
        <f t="shared" si="32"/>
        <v>7.6666666666666675E-2</v>
      </c>
      <c r="S108" s="85"/>
      <c r="T108" s="137"/>
      <c r="U108" s="136">
        <f>'HT Express BSC '!U72</f>
        <v>-0.15910961060923268</v>
      </c>
      <c r="V108" s="85"/>
      <c r="W108" s="11"/>
      <c r="X108" s="136">
        <f>'HT Express BSC '!X72</f>
        <v>2.2728076307240535E-2</v>
      </c>
      <c r="Y108" s="85"/>
      <c r="Z108" s="11"/>
      <c r="AA108" s="136">
        <f>'HT Express BSC '!AA72</f>
        <v>0</v>
      </c>
      <c r="AB108" s="85"/>
      <c r="AC108" s="11"/>
      <c r="AD108" s="11"/>
      <c r="AE108" s="11"/>
      <c r="AF108" s="11"/>
      <c r="AG108" s="136">
        <f>'HT Express BSC '!AG72</f>
        <v>2.8653723367258507E-2</v>
      </c>
      <c r="AH108" s="85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</row>
    <row r="109" spans="1:61" ht="16.5" customHeight="1" x14ac:dyDescent="0.25">
      <c r="A109" s="342"/>
      <c r="B109" s="344"/>
      <c r="C109" s="48" t="s">
        <v>95</v>
      </c>
      <c r="D109" s="75" t="s">
        <v>176</v>
      </c>
      <c r="E109" s="12"/>
      <c r="F109" s="10"/>
      <c r="G109" s="11"/>
      <c r="H109" s="29"/>
      <c r="I109" s="136">
        <f>'HT Express BSC '!I73</f>
        <v>0.34</v>
      </c>
      <c r="J109" s="85"/>
      <c r="K109" s="137"/>
      <c r="L109" s="136">
        <f>'HT Express BSC '!L73</f>
        <v>0.22</v>
      </c>
      <c r="M109" s="85"/>
      <c r="N109" s="137"/>
      <c r="O109" s="136">
        <f>'HT Express BSC '!O73</f>
        <v>0.22</v>
      </c>
      <c r="P109" s="85"/>
      <c r="Q109" s="137"/>
      <c r="R109" s="136">
        <f t="shared" si="32"/>
        <v>0.26</v>
      </c>
      <c r="S109" s="85"/>
      <c r="T109" s="137"/>
      <c r="U109" s="136">
        <f>'HT Express BSC '!U73</f>
        <v>0.13168570236352636</v>
      </c>
      <c r="V109" s="85"/>
      <c r="W109" s="11"/>
      <c r="X109" s="136">
        <f>'HT Express BSC '!X73</f>
        <v>-0.15429544561372865</v>
      </c>
      <c r="Y109" s="85"/>
      <c r="Z109" s="11"/>
      <c r="AA109" s="136">
        <f>'HT Express BSC '!AA73</f>
        <v>0</v>
      </c>
      <c r="AB109" s="85"/>
      <c r="AC109" s="11"/>
      <c r="AD109" s="11"/>
      <c r="AE109" s="11"/>
      <c r="AF109" s="11"/>
      <c r="AG109" s="136">
        <f>'HT Express BSC '!AG73</f>
        <v>0</v>
      </c>
      <c r="AH109" s="85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</row>
    <row r="110" spans="1:61" ht="16.5" customHeight="1" x14ac:dyDescent="0.25">
      <c r="A110" s="342"/>
      <c r="B110" s="344"/>
      <c r="C110" s="48" t="s">
        <v>96</v>
      </c>
      <c r="D110" s="75" t="s">
        <v>176</v>
      </c>
      <c r="E110" s="12"/>
      <c r="F110" s="10"/>
      <c r="G110" s="11"/>
      <c r="H110" s="29"/>
      <c r="I110" s="136">
        <f>'HT Express BSC '!I74</f>
        <v>0.05</v>
      </c>
      <c r="J110" s="85"/>
      <c r="K110" s="137"/>
      <c r="L110" s="136">
        <f>'HT Express BSC '!L74</f>
        <v>0.18</v>
      </c>
      <c r="M110" s="85"/>
      <c r="N110" s="137"/>
      <c r="O110" s="136">
        <f>'HT Express BSC '!O74</f>
        <v>0.16</v>
      </c>
      <c r="P110" s="85"/>
      <c r="Q110" s="137"/>
      <c r="R110" s="136">
        <f t="shared" si="32"/>
        <v>0.12999999999999998</v>
      </c>
      <c r="S110" s="85"/>
      <c r="T110" s="137"/>
      <c r="U110" s="136">
        <f>'HT Express BSC '!U74</f>
        <v>0.10225109086423245</v>
      </c>
      <c r="V110" s="85"/>
      <c r="W110" s="11"/>
      <c r="X110" s="136">
        <f>'HT Express BSC '!X74</f>
        <v>4.0174666557038295E-2</v>
      </c>
      <c r="Y110" s="85"/>
      <c r="Z110" s="11"/>
      <c r="AA110" s="136">
        <f>'HT Express BSC '!AA74</f>
        <v>0</v>
      </c>
      <c r="AB110" s="85"/>
      <c r="AC110" s="11"/>
      <c r="AD110" s="11"/>
      <c r="AE110" s="11"/>
      <c r="AF110" s="11"/>
      <c r="AG110" s="136">
        <f>'HT Express BSC '!AG74</f>
        <v>0</v>
      </c>
      <c r="AH110" s="85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</row>
    <row r="111" spans="1:61" ht="16.5" customHeight="1" x14ac:dyDescent="0.25">
      <c r="A111" s="342"/>
      <c r="B111" s="345"/>
      <c r="C111" s="48" t="s">
        <v>97</v>
      </c>
      <c r="D111" s="75" t="s">
        <v>176</v>
      </c>
      <c r="E111" s="12"/>
      <c r="F111" s="10"/>
      <c r="G111" s="11"/>
      <c r="H111" s="29"/>
      <c r="I111" s="136">
        <f>'HT Express BSC '!I75</f>
        <v>0.21</v>
      </c>
      <c r="J111" s="85"/>
      <c r="K111" s="137"/>
      <c r="L111" s="136">
        <f>'HT Express BSC '!L75</f>
        <v>0.18</v>
      </c>
      <c r="M111" s="85"/>
      <c r="N111" s="137"/>
      <c r="O111" s="136">
        <f>'HT Express BSC '!O75</f>
        <v>0.2</v>
      </c>
      <c r="P111" s="85"/>
      <c r="Q111" s="137"/>
      <c r="R111" s="136">
        <f t="shared" si="32"/>
        <v>0.19666666666666666</v>
      </c>
      <c r="S111" s="85"/>
      <c r="T111" s="137"/>
      <c r="U111" s="136">
        <f>'HT Express BSC '!U75</f>
        <v>5.0294600964015619E-2</v>
      </c>
      <c r="V111" s="85"/>
      <c r="W111" s="11"/>
      <c r="X111" s="136">
        <f>'HT Express BSC '!X75</f>
        <v>-0.14892793724812001</v>
      </c>
      <c r="Y111" s="85"/>
      <c r="Z111" s="11"/>
      <c r="AA111" s="136">
        <f>'HT Express BSC '!AA75</f>
        <v>0</v>
      </c>
      <c r="AB111" s="85"/>
      <c r="AC111" s="11"/>
      <c r="AD111" s="11"/>
      <c r="AE111" s="11"/>
      <c r="AF111" s="11"/>
      <c r="AG111" s="136">
        <f>'HT Express BSC '!AG75</f>
        <v>0</v>
      </c>
      <c r="AH111" s="85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</row>
    <row r="112" spans="1:61" ht="4.5" customHeight="1" x14ac:dyDescent="0.25">
      <c r="A112" s="342"/>
      <c r="B112" s="44"/>
      <c r="C112" s="39"/>
      <c r="D112" s="40"/>
      <c r="E112" s="40"/>
      <c r="F112" s="40"/>
      <c r="G112" s="40"/>
      <c r="H112" s="41"/>
      <c r="I112" s="252"/>
      <c r="J112" s="29"/>
      <c r="K112" s="253"/>
      <c r="L112" s="252"/>
      <c r="M112" s="29"/>
      <c r="N112" s="253"/>
      <c r="O112" s="252"/>
      <c r="P112" s="29"/>
      <c r="Q112" s="253"/>
      <c r="R112" s="252"/>
      <c r="S112" s="29"/>
      <c r="T112" s="253"/>
      <c r="U112" s="252"/>
      <c r="V112" s="29"/>
      <c r="W112" s="41"/>
      <c r="X112" s="252"/>
      <c r="Y112" s="29"/>
      <c r="Z112" s="41"/>
      <c r="AA112" s="252"/>
      <c r="AB112" s="29"/>
      <c r="AC112" s="41"/>
      <c r="AD112" s="41"/>
      <c r="AE112" s="41"/>
      <c r="AF112" s="41"/>
      <c r="AG112" s="252"/>
      <c r="AH112" s="29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</row>
    <row r="113" spans="1:59" ht="19.5" customHeight="1" x14ac:dyDescent="0.25">
      <c r="A113" s="342"/>
      <c r="B113" s="346" t="s">
        <v>98</v>
      </c>
      <c r="C113" s="48" t="s">
        <v>99</v>
      </c>
      <c r="D113" s="75" t="s">
        <v>176</v>
      </c>
      <c r="E113" s="12"/>
      <c r="F113" s="10"/>
      <c r="G113" s="11"/>
      <c r="H113" s="29"/>
      <c r="I113" s="136">
        <f>'HT Stores BSC'!I65</f>
        <v>-0.42</v>
      </c>
      <c r="J113" s="85"/>
      <c r="K113" s="137"/>
      <c r="L113" s="136">
        <f>'HT Stores BSC'!L65</f>
        <v>0.08</v>
      </c>
      <c r="M113" s="85"/>
      <c r="N113" s="137"/>
      <c r="O113" s="136">
        <f>'HT Stores BSC'!O65</f>
        <v>0.12</v>
      </c>
      <c r="P113" s="85"/>
      <c r="Q113" s="137"/>
      <c r="R113" s="136">
        <f t="shared" si="32"/>
        <v>-7.333333333333332E-2</v>
      </c>
      <c r="S113" s="85"/>
      <c r="T113" s="137"/>
      <c r="U113" s="136">
        <f>'HT Stores BSC'!U65</f>
        <v>0.13508738644333987</v>
      </c>
      <c r="V113" s="85"/>
      <c r="W113" s="11"/>
      <c r="X113" s="136">
        <f>'HT Stores BSC'!X65</f>
        <v>0.13237718998358175</v>
      </c>
      <c r="Y113" s="85"/>
      <c r="Z113" s="11"/>
      <c r="AA113" s="136">
        <f>'HT Stores BSC'!AA65</f>
        <v>6.6488918259455118E-2</v>
      </c>
      <c r="AB113" s="85"/>
      <c r="AC113" s="11"/>
      <c r="AD113" s="11"/>
      <c r="AE113" s="11"/>
      <c r="AF113" s="11"/>
      <c r="AG113" s="136">
        <f>'HT Stores BSC'!AG65</f>
        <v>0.15845678295024049</v>
      </c>
      <c r="AH113" s="85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</row>
    <row r="114" spans="1:59" x14ac:dyDescent="0.25">
      <c r="A114" s="342"/>
      <c r="B114" s="346"/>
      <c r="C114" s="48" t="s">
        <v>100</v>
      </c>
      <c r="D114" s="75" t="s">
        <v>176</v>
      </c>
      <c r="E114" s="12"/>
      <c r="F114" s="10"/>
      <c r="G114" s="11"/>
      <c r="H114" s="29"/>
      <c r="I114" s="136">
        <f>'HT Stores BSC'!I66</f>
        <v>0.52</v>
      </c>
      <c r="J114" s="99"/>
      <c r="K114" s="254"/>
      <c r="L114" s="136">
        <f>'HT Stores BSC'!L66</f>
        <v>0.5</v>
      </c>
      <c r="M114" s="99"/>
      <c r="N114" s="254"/>
      <c r="O114" s="136">
        <f>'HT Stores BSC'!O66</f>
        <v>0.54</v>
      </c>
      <c r="P114" s="99"/>
      <c r="Q114" s="254"/>
      <c r="R114" s="136">
        <f t="shared" si="32"/>
        <v>0.52</v>
      </c>
      <c r="S114" s="99"/>
      <c r="T114" s="254"/>
      <c r="U114" s="136">
        <f>'HT Stores BSC'!U66</f>
        <v>0.4590885854928215</v>
      </c>
      <c r="V114" s="99"/>
      <c r="W114" s="11"/>
      <c r="X114" s="136">
        <f>'HT Stores BSC'!X66</f>
        <v>0.49548524273255962</v>
      </c>
      <c r="Y114" s="99"/>
      <c r="Z114" s="11"/>
      <c r="AA114" s="136">
        <f>'HT Stores BSC'!AA66</f>
        <v>0.52</v>
      </c>
      <c r="AB114" s="99"/>
      <c r="AC114" s="11"/>
      <c r="AD114" s="11"/>
      <c r="AE114" s="11"/>
      <c r="AF114" s="11"/>
      <c r="AG114" s="136">
        <f>'HT Stores BSC'!AG66</f>
        <v>0.54732796331848654</v>
      </c>
      <c r="AH114" s="99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</row>
    <row r="115" spans="1:59" ht="19.5" customHeight="1" x14ac:dyDescent="0.25">
      <c r="A115" s="342"/>
      <c r="B115" s="346"/>
      <c r="C115" s="48" t="s">
        <v>101</v>
      </c>
      <c r="D115" s="75" t="s">
        <v>176</v>
      </c>
      <c r="E115" s="12"/>
      <c r="F115" s="10"/>
      <c r="G115" s="11"/>
      <c r="H115" s="29"/>
      <c r="I115" s="136">
        <f>'HT Stores BSC'!I67</f>
        <v>0.4</v>
      </c>
      <c r="J115" s="85"/>
      <c r="K115" s="137"/>
      <c r="L115" s="136">
        <f>'HT Stores BSC'!L67</f>
        <v>0.47</v>
      </c>
      <c r="M115" s="85"/>
      <c r="N115" s="137"/>
      <c r="O115" s="136">
        <f>'HT Stores BSC'!O67</f>
        <v>0.28999999999999998</v>
      </c>
      <c r="P115" s="85"/>
      <c r="Q115" s="137"/>
      <c r="R115" s="136">
        <f t="shared" si="32"/>
        <v>0.38666666666666671</v>
      </c>
      <c r="S115" s="85"/>
      <c r="T115" s="137"/>
      <c r="U115" s="136">
        <f>'HT Stores BSC'!U67</f>
        <v>0.08</v>
      </c>
      <c r="V115" s="85"/>
      <c r="W115" s="11"/>
      <c r="X115" s="136">
        <f>'HT Stores BSC'!X67</f>
        <v>0.50197066877704888</v>
      </c>
      <c r="Y115" s="85"/>
      <c r="Z115" s="11"/>
      <c r="AA115" s="136">
        <f>'HT Stores BSC'!AA67</f>
        <v>0.39739906178805634</v>
      </c>
      <c r="AB115" s="85"/>
      <c r="AC115" s="11"/>
      <c r="AD115" s="11"/>
      <c r="AE115" s="11"/>
      <c r="AF115" s="11"/>
      <c r="AG115" s="136">
        <f>'HT Stores BSC'!AG67</f>
        <v>4.1297987842622938E-2</v>
      </c>
      <c r="AH115" s="85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</row>
    <row r="116" spans="1:59" ht="6" customHeight="1" x14ac:dyDescent="0.25">
      <c r="I116" s="241"/>
      <c r="J116" s="242"/>
      <c r="K116" s="243"/>
      <c r="L116" s="241"/>
      <c r="M116" s="242"/>
      <c r="N116" s="243"/>
      <c r="O116" s="241"/>
      <c r="P116" s="242"/>
      <c r="Q116" s="243"/>
      <c r="R116" s="241"/>
      <c r="S116" s="242"/>
      <c r="T116" s="243"/>
      <c r="U116" s="241"/>
      <c r="V116" s="242"/>
      <c r="X116" s="241"/>
      <c r="Y116" s="242"/>
      <c r="AA116" s="241"/>
      <c r="AB116" s="242"/>
      <c r="AG116" s="241"/>
      <c r="AH116" s="242"/>
    </row>
    <row r="117" spans="1:59" x14ac:dyDescent="0.25">
      <c r="A117" s="347" t="s">
        <v>54</v>
      </c>
      <c r="B117" s="322"/>
      <c r="C117" s="48" t="s">
        <v>103</v>
      </c>
      <c r="D117" s="75" t="s">
        <v>176</v>
      </c>
      <c r="E117" s="12"/>
      <c r="F117" s="10"/>
      <c r="G117" s="11"/>
      <c r="H117" s="29"/>
      <c r="I117" s="161">
        <f>'HT Express BSC '!I77</f>
        <v>0.55032716285134298</v>
      </c>
      <c r="J117" s="90"/>
      <c r="K117" s="162"/>
      <c r="L117" s="161">
        <f>'HT Express BSC '!L77</f>
        <v>0.47215217321840641</v>
      </c>
      <c r="M117" s="90"/>
      <c r="N117" s="162"/>
      <c r="O117" s="161">
        <f>'HT Express BSC '!O77</f>
        <v>0.5390392027442118</v>
      </c>
      <c r="P117" s="90"/>
      <c r="Q117" s="162"/>
      <c r="R117" s="136">
        <f t="shared" si="32"/>
        <v>0.52050617960465362</v>
      </c>
      <c r="S117" s="90"/>
      <c r="T117" s="162"/>
      <c r="U117" s="161">
        <f>'HT Express BSC '!U77</f>
        <v>0.55837077632172427</v>
      </c>
      <c r="V117" s="90"/>
      <c r="W117" s="11"/>
      <c r="X117" s="161">
        <f>'HT Express BSC '!X77</f>
        <v>0.58486534566355508</v>
      </c>
      <c r="Y117" s="90"/>
      <c r="Z117" s="11"/>
      <c r="AA117" s="161">
        <f>'HT Express BSC '!AA77</f>
        <v>0.49732197289619617</v>
      </c>
      <c r="AB117" s="90"/>
      <c r="AC117" s="11"/>
      <c r="AD117" s="11"/>
      <c r="AE117" s="11"/>
      <c r="AF117" s="11"/>
      <c r="AG117" s="161">
        <f>'HT Express BSC '!AG77</f>
        <v>0.40475431045575527</v>
      </c>
      <c r="AH117" s="90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</row>
    <row r="118" spans="1:59" x14ac:dyDescent="0.25">
      <c r="A118" s="322"/>
      <c r="B118" s="322"/>
      <c r="C118" s="48" t="s">
        <v>104</v>
      </c>
      <c r="D118" s="75" t="s">
        <v>176</v>
      </c>
      <c r="E118" s="12"/>
      <c r="F118" s="10"/>
      <c r="G118" s="11"/>
      <c r="H118" s="29"/>
      <c r="I118" s="161">
        <f>'HT Stores BSC'!I69</f>
        <v>0.40785152012287834</v>
      </c>
      <c r="J118" s="90"/>
      <c r="K118" s="162"/>
      <c r="L118" s="161">
        <f>'HT Stores BSC'!L69</f>
        <v>0.41019333490332344</v>
      </c>
      <c r="M118" s="90"/>
      <c r="N118" s="162"/>
      <c r="O118" s="161">
        <f>'HT Stores BSC'!O69</f>
        <v>0.33740162520478367</v>
      </c>
      <c r="P118" s="90"/>
      <c r="Q118" s="162"/>
      <c r="R118" s="136">
        <f t="shared" si="32"/>
        <v>0.3851488267436618</v>
      </c>
      <c r="S118" s="90"/>
      <c r="T118" s="162"/>
      <c r="U118" s="161">
        <f>'HT Stores BSC'!U69</f>
        <v>0.4437857342337026</v>
      </c>
      <c r="V118" s="90"/>
      <c r="W118" s="11"/>
      <c r="X118" s="161">
        <f>'HT Stores BSC'!X69</f>
        <v>0.42063597681087234</v>
      </c>
      <c r="Y118" s="90"/>
      <c r="Z118" s="11"/>
      <c r="AA118" s="161">
        <f>'HT Stores BSC'!AA69</f>
        <v>0.37595340411377398</v>
      </c>
      <c r="AB118" s="90"/>
      <c r="AC118" s="11"/>
      <c r="AD118" s="11"/>
      <c r="AE118" s="11"/>
      <c r="AF118" s="11"/>
      <c r="AG118" s="161">
        <f>'HT Stores BSC'!AG69</f>
        <v>0.48070183436833747</v>
      </c>
      <c r="AH118" s="90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</row>
    <row r="119" spans="1:59" x14ac:dyDescent="0.25">
      <c r="A119" s="322"/>
      <c r="B119" s="322"/>
      <c r="C119" s="48" t="s">
        <v>105</v>
      </c>
      <c r="D119" s="75" t="s">
        <v>176</v>
      </c>
      <c r="E119" s="12"/>
      <c r="F119" s="10"/>
      <c r="G119" s="11"/>
      <c r="H119" s="29"/>
      <c r="I119" s="136">
        <f>'HT Fine Dining'!I42</f>
        <v>0.29204139969740439</v>
      </c>
      <c r="J119" s="85"/>
      <c r="K119" s="137"/>
      <c r="L119" s="136">
        <f>'HT Fine Dining'!L42</f>
        <v>0.33310364713819279</v>
      </c>
      <c r="M119" s="85"/>
      <c r="N119" s="137"/>
      <c r="O119" s="136">
        <f>'HT Fine Dining'!O42</f>
        <v>0.30286831776985185</v>
      </c>
      <c r="P119" s="85"/>
      <c r="Q119" s="137"/>
      <c r="R119" s="136">
        <f t="shared" si="32"/>
        <v>0.30933778820181634</v>
      </c>
      <c r="S119" s="85"/>
      <c r="T119" s="137"/>
      <c r="U119" s="136">
        <f>'HT Fine Dining'!U42</f>
        <v>0.32680045496440002</v>
      </c>
      <c r="V119" s="85"/>
      <c r="W119" s="11"/>
      <c r="X119" s="136">
        <f>'HT Fine Dining'!X42</f>
        <v>0.30261647913438655</v>
      </c>
      <c r="Y119" s="85"/>
      <c r="Z119" s="11"/>
      <c r="AA119" s="136">
        <f>'HT Fine Dining'!AA42</f>
        <v>0.44506616862591281</v>
      </c>
      <c r="AB119" s="85"/>
      <c r="AC119" s="11"/>
      <c r="AD119" s="11"/>
      <c r="AE119" s="11"/>
      <c r="AF119" s="11"/>
      <c r="AG119" s="136">
        <f>'HT Fine Dining'!AG42</f>
        <v>0.34083631757875038</v>
      </c>
      <c r="AH119" s="85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</row>
    <row r="120" spans="1:59" ht="5.25" customHeight="1" x14ac:dyDescent="0.25">
      <c r="I120" s="241"/>
      <c r="J120" s="242"/>
      <c r="K120" s="243"/>
      <c r="L120" s="241"/>
      <c r="M120" s="242"/>
      <c r="N120" s="243"/>
      <c r="O120" s="241"/>
      <c r="P120" s="242"/>
      <c r="Q120" s="243"/>
      <c r="R120" s="241"/>
      <c r="S120" s="242"/>
      <c r="T120" s="243"/>
      <c r="U120" s="241"/>
      <c r="V120" s="242"/>
      <c r="X120" s="241"/>
      <c r="Y120" s="242"/>
      <c r="AA120" s="241"/>
      <c r="AB120" s="242"/>
      <c r="AG120" s="241"/>
      <c r="AH120" s="242"/>
    </row>
    <row r="121" spans="1:59" x14ac:dyDescent="0.25">
      <c r="A121" s="342" t="s">
        <v>113</v>
      </c>
      <c r="B121" s="348"/>
      <c r="C121" s="48" t="s">
        <v>106</v>
      </c>
      <c r="D121" s="75" t="s">
        <v>184</v>
      </c>
      <c r="E121" s="12"/>
      <c r="F121" s="10"/>
      <c r="G121" s="11"/>
      <c r="H121" s="29"/>
      <c r="I121" s="159"/>
      <c r="J121" s="11"/>
      <c r="K121" s="160"/>
      <c r="L121" s="159"/>
      <c r="M121" s="11"/>
      <c r="N121" s="160"/>
      <c r="O121" s="159"/>
      <c r="P121" s="11"/>
      <c r="Q121" s="160"/>
      <c r="R121" s="159" t="s">
        <v>194</v>
      </c>
      <c r="S121" s="11"/>
      <c r="T121" s="160"/>
      <c r="U121" s="159"/>
      <c r="V121" s="11"/>
      <c r="W121" s="11"/>
      <c r="X121" s="159"/>
      <c r="Y121" s="11"/>
      <c r="Z121" s="11"/>
      <c r="AA121" s="159"/>
      <c r="AB121" s="11"/>
      <c r="AC121" s="11"/>
      <c r="AD121" s="11"/>
      <c r="AE121" s="11"/>
      <c r="AF121" s="11"/>
      <c r="AG121" s="159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</row>
    <row r="122" spans="1:59" ht="5.25" customHeight="1" x14ac:dyDescent="0.25">
      <c r="A122" s="342"/>
      <c r="B122" s="348"/>
      <c r="C122" s="54"/>
      <c r="D122" s="12"/>
      <c r="E122" s="12"/>
      <c r="F122" s="10"/>
      <c r="G122" s="11"/>
      <c r="H122" s="29"/>
      <c r="I122" s="159"/>
      <c r="J122" s="11"/>
      <c r="K122" s="160"/>
      <c r="L122" s="159"/>
      <c r="M122" s="11"/>
      <c r="N122" s="160"/>
      <c r="O122" s="159"/>
      <c r="P122" s="11"/>
      <c r="Q122" s="160"/>
      <c r="R122" s="159"/>
      <c r="S122" s="11"/>
      <c r="T122" s="160"/>
      <c r="U122" s="159"/>
      <c r="V122" s="11"/>
      <c r="W122" s="11"/>
      <c r="X122" s="159"/>
      <c r="Y122" s="11"/>
      <c r="Z122" s="11"/>
      <c r="AA122" s="159"/>
      <c r="AB122" s="11"/>
      <c r="AC122" s="11"/>
      <c r="AD122" s="11"/>
      <c r="AE122" s="11"/>
      <c r="AF122" s="11"/>
      <c r="AG122" s="159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</row>
    <row r="123" spans="1:59" x14ac:dyDescent="0.25">
      <c r="A123" s="348"/>
      <c r="B123" s="348"/>
      <c r="C123" s="48" t="s">
        <v>107</v>
      </c>
      <c r="D123" s="75" t="s">
        <v>184</v>
      </c>
      <c r="E123" s="12"/>
      <c r="F123" s="10"/>
      <c r="G123" s="11"/>
      <c r="H123" s="29"/>
      <c r="I123" s="159"/>
      <c r="J123" s="11"/>
      <c r="K123" s="160"/>
      <c r="L123" s="159"/>
      <c r="M123" s="11"/>
      <c r="N123" s="160"/>
      <c r="O123" s="159"/>
      <c r="P123" s="11"/>
      <c r="Q123" s="160"/>
      <c r="R123" s="159" t="s">
        <v>194</v>
      </c>
      <c r="S123" s="11"/>
      <c r="T123" s="160"/>
      <c r="U123" s="159"/>
      <c r="V123" s="11"/>
      <c r="W123" s="11"/>
      <c r="X123" s="159"/>
      <c r="Y123" s="11"/>
      <c r="Z123" s="11"/>
      <c r="AA123" s="159"/>
      <c r="AB123" s="11"/>
      <c r="AC123" s="11"/>
      <c r="AD123" s="11"/>
      <c r="AE123" s="11"/>
      <c r="AF123" s="11"/>
      <c r="AG123" s="159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</row>
    <row r="124" spans="1:59" ht="4.5" customHeight="1" x14ac:dyDescent="0.25">
      <c r="A124" s="348"/>
      <c r="B124" s="348"/>
      <c r="C124" s="54"/>
      <c r="D124" s="12"/>
      <c r="E124" s="12"/>
      <c r="F124" s="10"/>
      <c r="G124" s="11"/>
      <c r="H124" s="29"/>
      <c r="I124" s="159"/>
      <c r="J124" s="11"/>
      <c r="K124" s="160"/>
      <c r="L124" s="159"/>
      <c r="M124" s="11"/>
      <c r="N124" s="160"/>
      <c r="O124" s="159"/>
      <c r="P124" s="11"/>
      <c r="Q124" s="160"/>
      <c r="R124" s="159"/>
      <c r="S124" s="11"/>
      <c r="T124" s="160"/>
      <c r="U124" s="159"/>
      <c r="V124" s="11"/>
      <c r="W124" s="11"/>
      <c r="X124" s="159"/>
      <c r="Y124" s="11"/>
      <c r="Z124" s="11"/>
      <c r="AA124" s="159"/>
      <c r="AB124" s="11"/>
      <c r="AC124" s="11"/>
      <c r="AD124" s="11"/>
      <c r="AE124" s="11"/>
      <c r="AF124" s="11"/>
      <c r="AG124" s="159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</row>
    <row r="125" spans="1:59" x14ac:dyDescent="0.25">
      <c r="A125" s="348"/>
      <c r="B125" s="348"/>
      <c r="C125" s="48" t="s">
        <v>108</v>
      </c>
      <c r="D125" s="75" t="s">
        <v>184</v>
      </c>
      <c r="E125" s="12"/>
      <c r="F125" s="10"/>
      <c r="G125" s="11"/>
      <c r="H125" s="29"/>
      <c r="I125" s="159"/>
      <c r="J125" s="11"/>
      <c r="K125" s="160"/>
      <c r="L125" s="159"/>
      <c r="M125" s="11"/>
      <c r="N125" s="160"/>
      <c r="O125" s="159"/>
      <c r="P125" s="11"/>
      <c r="Q125" s="160"/>
      <c r="R125" s="159" t="s">
        <v>194</v>
      </c>
      <c r="S125" s="11"/>
      <c r="T125" s="160"/>
      <c r="U125" s="159"/>
      <c r="V125" s="11"/>
      <c r="W125" s="11"/>
      <c r="X125" s="159"/>
      <c r="Y125" s="11"/>
      <c r="Z125" s="11"/>
      <c r="AA125" s="159"/>
      <c r="AB125" s="11"/>
      <c r="AC125" s="11"/>
      <c r="AD125" s="11"/>
      <c r="AE125" s="11"/>
      <c r="AF125" s="11"/>
      <c r="AG125" s="159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</row>
    <row r="126" spans="1:59" x14ac:dyDescent="0.25">
      <c r="A126" s="348"/>
      <c r="B126" s="348"/>
      <c r="C126" s="48" t="s">
        <v>109</v>
      </c>
      <c r="D126" s="75" t="s">
        <v>184</v>
      </c>
      <c r="E126" s="12"/>
      <c r="F126" s="10"/>
      <c r="G126" s="11"/>
      <c r="H126" s="29"/>
      <c r="I126" s="159"/>
      <c r="J126" s="11"/>
      <c r="K126" s="160"/>
      <c r="L126" s="159"/>
      <c r="M126" s="11"/>
      <c r="N126" s="160"/>
      <c r="O126" s="159"/>
      <c r="P126" s="11"/>
      <c r="Q126" s="160"/>
      <c r="R126" s="159" t="s">
        <v>194</v>
      </c>
      <c r="S126" s="11"/>
      <c r="T126" s="160"/>
      <c r="U126" s="159"/>
      <c r="V126" s="11"/>
      <c r="W126" s="11"/>
      <c r="X126" s="159"/>
      <c r="Y126" s="11"/>
      <c r="Z126" s="11"/>
      <c r="AA126" s="159"/>
      <c r="AB126" s="11"/>
      <c r="AC126" s="11"/>
      <c r="AD126" s="11"/>
      <c r="AE126" s="11"/>
      <c r="AF126" s="11"/>
      <c r="AG126" s="159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</row>
    <row r="127" spans="1:59" x14ac:dyDescent="0.25">
      <c r="A127" s="348"/>
      <c r="B127" s="348"/>
      <c r="C127" s="48" t="s">
        <v>110</v>
      </c>
      <c r="D127" s="75" t="s">
        <v>184</v>
      </c>
      <c r="E127" s="12"/>
      <c r="F127" s="10"/>
      <c r="G127" s="11"/>
      <c r="H127" s="29"/>
      <c r="I127" s="159"/>
      <c r="J127" s="11"/>
      <c r="K127" s="160"/>
      <c r="L127" s="159"/>
      <c r="M127" s="11"/>
      <c r="N127" s="160"/>
      <c r="O127" s="159"/>
      <c r="P127" s="11"/>
      <c r="Q127" s="160"/>
      <c r="R127" s="159" t="s">
        <v>194</v>
      </c>
      <c r="S127" s="11"/>
      <c r="T127" s="160"/>
      <c r="U127" s="159"/>
      <c r="V127" s="11"/>
      <c r="W127" s="11"/>
      <c r="X127" s="159"/>
      <c r="Y127" s="11"/>
      <c r="Z127" s="11"/>
      <c r="AA127" s="159"/>
      <c r="AB127" s="11"/>
      <c r="AC127" s="11"/>
      <c r="AD127" s="11"/>
      <c r="AE127" s="11"/>
      <c r="AF127" s="11"/>
      <c r="AG127" s="159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</row>
    <row r="128" spans="1:59" x14ac:dyDescent="0.25">
      <c r="A128" s="348"/>
      <c r="B128" s="348"/>
      <c r="C128" s="48" t="s">
        <v>111</v>
      </c>
      <c r="D128" s="75" t="s">
        <v>176</v>
      </c>
      <c r="E128" s="12"/>
      <c r="F128" s="10"/>
      <c r="G128" s="11"/>
      <c r="H128" s="29"/>
      <c r="I128" s="159"/>
      <c r="J128" s="11"/>
      <c r="K128" s="160"/>
      <c r="L128" s="159"/>
      <c r="M128" s="11"/>
      <c r="N128" s="160"/>
      <c r="O128" s="159"/>
      <c r="P128" s="11"/>
      <c r="Q128" s="160"/>
      <c r="R128" s="159" t="s">
        <v>194</v>
      </c>
      <c r="S128" s="11"/>
      <c r="T128" s="160"/>
      <c r="U128" s="159"/>
      <c r="V128" s="11"/>
      <c r="W128" s="11"/>
      <c r="X128" s="159"/>
      <c r="Y128" s="11"/>
      <c r="Z128" s="11"/>
      <c r="AA128" s="159"/>
      <c r="AB128" s="11"/>
      <c r="AC128" s="11"/>
      <c r="AD128" s="11"/>
      <c r="AE128" s="11"/>
      <c r="AF128" s="11"/>
      <c r="AG128" s="159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</row>
    <row r="129" spans="1:59" ht="5.25" customHeight="1" x14ac:dyDescent="0.25">
      <c r="A129" s="348"/>
      <c r="B129" s="348"/>
      <c r="C129" s="54"/>
      <c r="D129" s="12"/>
      <c r="E129" s="12"/>
      <c r="F129" s="10"/>
      <c r="G129" s="11"/>
      <c r="H129" s="29"/>
      <c r="I129" s="159"/>
      <c r="J129" s="11"/>
      <c r="K129" s="160"/>
      <c r="L129" s="159"/>
      <c r="M129" s="11"/>
      <c r="N129" s="160"/>
      <c r="O129" s="159"/>
      <c r="P129" s="11"/>
      <c r="Q129" s="160"/>
      <c r="R129" s="159"/>
      <c r="S129" s="11"/>
      <c r="T129" s="160"/>
      <c r="U129" s="159"/>
      <c r="V129" s="11"/>
      <c r="W129" s="11"/>
      <c r="X129" s="159"/>
      <c r="Y129" s="11"/>
      <c r="Z129" s="11"/>
      <c r="AA129" s="159"/>
      <c r="AB129" s="11"/>
      <c r="AC129" s="11"/>
      <c r="AD129" s="11"/>
      <c r="AE129" s="11"/>
      <c r="AF129" s="11"/>
      <c r="AG129" s="159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</row>
    <row r="130" spans="1:59" x14ac:dyDescent="0.25">
      <c r="A130" s="348"/>
      <c r="B130" s="348"/>
      <c r="C130" s="48" t="s">
        <v>112</v>
      </c>
      <c r="D130" s="75" t="s">
        <v>176</v>
      </c>
      <c r="E130" s="12"/>
      <c r="F130" s="10"/>
      <c r="G130" s="11"/>
      <c r="H130" s="29"/>
      <c r="I130" s="159"/>
      <c r="J130" s="11"/>
      <c r="K130" s="160"/>
      <c r="L130" s="159"/>
      <c r="M130" s="11"/>
      <c r="N130" s="160"/>
      <c r="O130" s="159"/>
      <c r="P130" s="11"/>
      <c r="Q130" s="160"/>
      <c r="R130" s="159" t="s">
        <v>194</v>
      </c>
      <c r="S130" s="11"/>
      <c r="T130" s="160"/>
      <c r="U130" s="159"/>
      <c r="V130" s="11"/>
      <c r="W130" s="11"/>
      <c r="X130" s="159"/>
      <c r="Y130" s="11"/>
      <c r="Z130" s="11"/>
      <c r="AA130" s="159"/>
      <c r="AB130" s="11"/>
      <c r="AC130" s="11"/>
      <c r="AD130" s="11"/>
      <c r="AE130" s="11"/>
      <c r="AF130" s="11"/>
      <c r="AG130" s="159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</row>
    <row r="131" spans="1:59" ht="5.25" customHeight="1" x14ac:dyDescent="0.25">
      <c r="I131" s="241"/>
      <c r="J131" s="242"/>
      <c r="K131" s="243"/>
      <c r="L131" s="241"/>
      <c r="M131" s="242"/>
      <c r="N131" s="243"/>
      <c r="O131" s="241"/>
      <c r="P131" s="242"/>
      <c r="Q131" s="243"/>
      <c r="R131" s="241"/>
      <c r="S131" s="242"/>
      <c r="T131" s="243"/>
      <c r="U131" s="241"/>
      <c r="V131" s="242"/>
      <c r="X131" s="241"/>
      <c r="Y131" s="242"/>
      <c r="AA131" s="241"/>
      <c r="AB131" s="242"/>
      <c r="AG131" s="241"/>
      <c r="AH131" s="242"/>
    </row>
    <row r="132" spans="1:59" ht="15" customHeight="1" x14ac:dyDescent="0.25">
      <c r="A132" s="347" t="s">
        <v>42</v>
      </c>
      <c r="B132" s="356" t="s">
        <v>28</v>
      </c>
      <c r="C132" s="48" t="s">
        <v>28</v>
      </c>
      <c r="D132" s="75" t="s">
        <v>176</v>
      </c>
      <c r="E132" s="12"/>
      <c r="F132" s="10"/>
      <c r="G132" s="11"/>
      <c r="H132" s="29"/>
      <c r="I132" s="225">
        <v>9</v>
      </c>
      <c r="J132" s="107">
        <v>8.5</v>
      </c>
      <c r="K132" s="160"/>
      <c r="L132" s="225">
        <v>9</v>
      </c>
      <c r="M132" s="107">
        <v>8.5</v>
      </c>
      <c r="N132" s="160"/>
      <c r="O132" s="225">
        <v>9</v>
      </c>
      <c r="P132" s="107">
        <v>8.5</v>
      </c>
      <c r="Q132" s="160"/>
      <c r="R132" s="225">
        <f t="shared" ref="R132:R134" si="33">(O132+L132+I132)/3</f>
        <v>9</v>
      </c>
      <c r="S132" s="107">
        <f>(P132+M132+J132)/3</f>
        <v>8.5</v>
      </c>
      <c r="T132" s="160"/>
      <c r="U132" s="225">
        <v>9</v>
      </c>
      <c r="V132" s="107">
        <v>8.5</v>
      </c>
      <c r="W132" s="11"/>
      <c r="X132" s="225">
        <v>9</v>
      </c>
      <c r="Y132" s="107">
        <v>8.5</v>
      </c>
      <c r="Z132" s="11"/>
      <c r="AA132" s="225">
        <v>9</v>
      </c>
      <c r="AB132" s="107">
        <v>8.5</v>
      </c>
      <c r="AC132" s="11"/>
      <c r="AD132" s="11"/>
      <c r="AE132" s="11"/>
      <c r="AF132" s="11"/>
      <c r="AG132" s="225">
        <v>9</v>
      </c>
      <c r="AH132" s="107">
        <v>8.5</v>
      </c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84"/>
      <c r="BF132" s="11"/>
      <c r="BG132" s="11"/>
    </row>
    <row r="133" spans="1:59" x14ac:dyDescent="0.25">
      <c r="A133" s="347"/>
      <c r="B133" s="357"/>
      <c r="C133" s="48" t="s">
        <v>55</v>
      </c>
      <c r="D133" s="75" t="s">
        <v>176</v>
      </c>
      <c r="E133" s="12"/>
      <c r="F133" s="10"/>
      <c r="G133" s="11"/>
      <c r="H133" s="29"/>
      <c r="I133" s="136">
        <f>I132/I85</f>
        <v>0.45226130653266333</v>
      </c>
      <c r="J133" s="85"/>
      <c r="K133" s="137"/>
      <c r="L133" s="136">
        <f>L132/L85</f>
        <v>0.45226130653266333</v>
      </c>
      <c r="M133" s="85"/>
      <c r="N133" s="137"/>
      <c r="O133" s="136">
        <f>O132/O85</f>
        <v>0.45226130653266333</v>
      </c>
      <c r="P133" s="85"/>
      <c r="Q133" s="137"/>
      <c r="R133" s="136">
        <f t="shared" si="33"/>
        <v>0.45226130653266333</v>
      </c>
      <c r="S133" s="85"/>
      <c r="T133" s="137"/>
      <c r="U133" s="136">
        <f>U132/U85</f>
        <v>0.45226130653266333</v>
      </c>
      <c r="V133" s="85"/>
      <c r="W133" s="11"/>
      <c r="X133" s="136">
        <f>X132/X85</f>
        <v>0.45226130653266333</v>
      </c>
      <c r="Y133" s="85"/>
      <c r="Z133" s="11"/>
      <c r="AA133" s="136">
        <f>AA132/AA85</f>
        <v>0.45226130653266333</v>
      </c>
      <c r="AB133" s="85"/>
      <c r="AC133" s="11"/>
      <c r="AD133" s="11"/>
      <c r="AE133" s="11"/>
      <c r="AF133" s="11"/>
      <c r="AG133" s="136">
        <f>AG132/AG85</f>
        <v>0.45226130653266333</v>
      </c>
      <c r="AH133" s="85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85"/>
      <c r="BF133" s="85"/>
      <c r="BG133" s="85"/>
    </row>
    <row r="134" spans="1:59" x14ac:dyDescent="0.25">
      <c r="A134" s="347"/>
      <c r="B134" s="355" t="s">
        <v>29</v>
      </c>
      <c r="C134" s="48" t="s">
        <v>35</v>
      </c>
      <c r="D134" s="75" t="s">
        <v>176</v>
      </c>
      <c r="E134" s="12"/>
      <c r="F134" s="10"/>
      <c r="G134" s="11"/>
      <c r="H134" s="29"/>
      <c r="I134" s="225">
        <v>7</v>
      </c>
      <c r="J134" s="107">
        <v>8</v>
      </c>
      <c r="K134" s="160"/>
      <c r="L134" s="225">
        <v>7</v>
      </c>
      <c r="M134" s="107">
        <v>8</v>
      </c>
      <c r="N134" s="160"/>
      <c r="O134" s="225">
        <v>7</v>
      </c>
      <c r="P134" s="107">
        <v>8</v>
      </c>
      <c r="Q134" s="160"/>
      <c r="R134" s="225">
        <f t="shared" si="33"/>
        <v>7</v>
      </c>
      <c r="S134" s="107">
        <f>(P134+M134+J134)/3</f>
        <v>8</v>
      </c>
      <c r="T134" s="160"/>
      <c r="U134" s="225">
        <v>7</v>
      </c>
      <c r="V134" s="107">
        <v>8</v>
      </c>
      <c r="W134" s="11"/>
      <c r="X134" s="225">
        <v>7</v>
      </c>
      <c r="Y134" s="107">
        <v>8</v>
      </c>
      <c r="Z134" s="11"/>
      <c r="AA134" s="225">
        <v>7</v>
      </c>
      <c r="AB134" s="107">
        <v>8</v>
      </c>
      <c r="AC134" s="11"/>
      <c r="AD134" s="11"/>
      <c r="AE134" s="11"/>
      <c r="AF134" s="11"/>
      <c r="AG134" s="225">
        <v>7</v>
      </c>
      <c r="AH134" s="107">
        <v>8</v>
      </c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84"/>
      <c r="BF134" s="11"/>
      <c r="BG134" s="11"/>
    </row>
    <row r="135" spans="1:59" x14ac:dyDescent="0.25">
      <c r="A135" s="347"/>
      <c r="B135" s="355"/>
      <c r="C135" s="48" t="s">
        <v>36</v>
      </c>
      <c r="D135" s="75" t="s">
        <v>176</v>
      </c>
      <c r="E135" s="12"/>
      <c r="F135" s="10"/>
      <c r="G135" s="11"/>
      <c r="H135" s="29"/>
      <c r="I135" s="225"/>
      <c r="J135" s="11"/>
      <c r="K135" s="160"/>
      <c r="L135" s="225"/>
      <c r="M135" s="11"/>
      <c r="N135" s="160"/>
      <c r="O135" s="225"/>
      <c r="P135" s="11"/>
      <c r="Q135" s="160"/>
      <c r="R135" s="225"/>
      <c r="S135" s="11"/>
      <c r="T135" s="160"/>
      <c r="U135" s="225"/>
      <c r="V135" s="11"/>
      <c r="W135" s="11"/>
      <c r="X135" s="225"/>
      <c r="Y135" s="11"/>
      <c r="Z135" s="11"/>
      <c r="AA135" s="225"/>
      <c r="AB135" s="11"/>
      <c r="AC135" s="11"/>
      <c r="AD135" s="11"/>
      <c r="AE135" s="11"/>
      <c r="AF135" s="11"/>
      <c r="AG135" s="225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84"/>
      <c r="BF135" s="11"/>
      <c r="BG135" s="11"/>
    </row>
    <row r="136" spans="1:59" x14ac:dyDescent="0.25">
      <c r="A136" s="347"/>
      <c r="B136" s="355"/>
      <c r="C136" s="48" t="s">
        <v>37</v>
      </c>
      <c r="D136" s="75" t="s">
        <v>176</v>
      </c>
      <c r="E136" s="12"/>
      <c r="F136" s="10"/>
      <c r="G136" s="11"/>
      <c r="H136" s="29"/>
      <c r="I136" s="225"/>
      <c r="J136" s="11"/>
      <c r="K136" s="160"/>
      <c r="L136" s="225"/>
      <c r="M136" s="11"/>
      <c r="N136" s="160"/>
      <c r="O136" s="225"/>
      <c r="P136" s="11"/>
      <c r="Q136" s="160"/>
      <c r="R136" s="225"/>
      <c r="S136" s="11"/>
      <c r="T136" s="160"/>
      <c r="U136" s="225"/>
      <c r="V136" s="11"/>
      <c r="W136" s="11"/>
      <c r="X136" s="225"/>
      <c r="Y136" s="11"/>
      <c r="Z136" s="11"/>
      <c r="AA136" s="225"/>
      <c r="AB136" s="11"/>
      <c r="AC136" s="11"/>
      <c r="AD136" s="11"/>
      <c r="AE136" s="11"/>
      <c r="AF136" s="11"/>
      <c r="AG136" s="225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84"/>
      <c r="BF136" s="11"/>
      <c r="BG136" s="11"/>
    </row>
    <row r="137" spans="1:59" x14ac:dyDescent="0.25">
      <c r="A137" s="347"/>
      <c r="B137" s="355"/>
      <c r="C137" s="48" t="s">
        <v>38</v>
      </c>
      <c r="D137" s="75" t="s">
        <v>176</v>
      </c>
      <c r="E137" s="12"/>
      <c r="F137" s="10"/>
      <c r="G137" s="11"/>
      <c r="H137" s="29"/>
      <c r="I137" s="225"/>
      <c r="J137" s="11"/>
      <c r="K137" s="160"/>
      <c r="L137" s="225"/>
      <c r="M137" s="11"/>
      <c r="N137" s="160"/>
      <c r="O137" s="225"/>
      <c r="P137" s="11"/>
      <c r="Q137" s="160"/>
      <c r="R137" s="225"/>
      <c r="S137" s="11"/>
      <c r="T137" s="160"/>
      <c r="U137" s="225"/>
      <c r="V137" s="11"/>
      <c r="W137" s="11"/>
      <c r="X137" s="225"/>
      <c r="Y137" s="11"/>
      <c r="Z137" s="11"/>
      <c r="AA137" s="225"/>
      <c r="AB137" s="11"/>
      <c r="AC137" s="11"/>
      <c r="AD137" s="11"/>
      <c r="AE137" s="11"/>
      <c r="AF137" s="11"/>
      <c r="AG137" s="225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84"/>
      <c r="BF137" s="11"/>
      <c r="BG137" s="11"/>
    </row>
    <row r="138" spans="1:59" ht="4.5" customHeight="1" x14ac:dyDescent="0.25">
      <c r="A138" s="347"/>
      <c r="B138" s="56"/>
      <c r="I138" s="241"/>
      <c r="J138" s="242"/>
      <c r="K138" s="243"/>
      <c r="L138" s="241"/>
      <c r="M138" s="242"/>
      <c r="N138" s="243"/>
      <c r="O138" s="241"/>
      <c r="P138" s="242"/>
      <c r="Q138" s="243"/>
      <c r="R138" s="241"/>
      <c r="S138" s="242"/>
      <c r="T138" s="243"/>
      <c r="U138" s="241"/>
      <c r="V138" s="242"/>
      <c r="X138" s="241"/>
      <c r="Y138" s="242"/>
      <c r="AA138" s="241"/>
      <c r="AB138" s="242"/>
      <c r="AG138" s="241"/>
      <c r="AH138" s="242"/>
    </row>
    <row r="139" spans="1:59" ht="18" customHeight="1" x14ac:dyDescent="0.25">
      <c r="A139" s="347"/>
      <c r="B139" s="358" t="s">
        <v>116</v>
      </c>
      <c r="C139" s="48" t="s">
        <v>253</v>
      </c>
      <c r="D139" s="75" t="s">
        <v>176</v>
      </c>
      <c r="E139" s="12"/>
      <c r="F139" s="10"/>
      <c r="G139" s="11"/>
      <c r="H139" s="29"/>
      <c r="I139" s="225">
        <v>8</v>
      </c>
      <c r="J139" s="90"/>
      <c r="K139" s="162"/>
      <c r="L139" s="225">
        <v>8</v>
      </c>
      <c r="M139" s="90"/>
      <c r="N139" s="162"/>
      <c r="O139" s="225">
        <v>8</v>
      </c>
      <c r="P139" s="90"/>
      <c r="Q139" s="162"/>
      <c r="R139" s="225">
        <f t="shared" ref="R139:R141" si="34">(O139+L139+I139)/3</f>
        <v>8</v>
      </c>
      <c r="S139" s="90"/>
      <c r="T139" s="162"/>
      <c r="U139" s="225">
        <v>8</v>
      </c>
      <c r="V139" s="90"/>
      <c r="W139" s="11"/>
      <c r="X139" s="225">
        <v>8</v>
      </c>
      <c r="Y139" s="90"/>
      <c r="Z139" s="11"/>
      <c r="AA139" s="225">
        <v>8</v>
      </c>
      <c r="AB139" s="90"/>
      <c r="AC139" s="11"/>
      <c r="AD139" s="11"/>
      <c r="AE139" s="11"/>
      <c r="AF139" s="11"/>
      <c r="AG139" s="225">
        <v>8</v>
      </c>
      <c r="AH139" s="90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84"/>
      <c r="BF139" s="90"/>
      <c r="BG139" s="90"/>
    </row>
    <row r="140" spans="1:59" x14ac:dyDescent="0.25">
      <c r="A140" s="347"/>
      <c r="B140" s="359"/>
      <c r="C140" s="48" t="s">
        <v>254</v>
      </c>
      <c r="D140" s="75" t="s">
        <v>176</v>
      </c>
      <c r="E140" s="12"/>
      <c r="F140" s="10"/>
      <c r="G140" s="11"/>
      <c r="H140" s="29"/>
      <c r="I140" s="225">
        <v>1</v>
      </c>
      <c r="J140" s="90"/>
      <c r="K140" s="162"/>
      <c r="L140" s="225">
        <v>1</v>
      </c>
      <c r="M140" s="90"/>
      <c r="N140" s="162"/>
      <c r="O140" s="225">
        <v>1</v>
      </c>
      <c r="P140" s="90"/>
      <c r="Q140" s="162"/>
      <c r="R140" s="225">
        <f t="shared" si="34"/>
        <v>1</v>
      </c>
      <c r="S140" s="90"/>
      <c r="T140" s="162"/>
      <c r="U140" s="225">
        <v>1</v>
      </c>
      <c r="V140" s="90"/>
      <c r="W140" s="11"/>
      <c r="X140" s="225">
        <v>1</v>
      </c>
      <c r="Y140" s="90"/>
      <c r="Z140" s="11"/>
      <c r="AA140" s="225">
        <v>1</v>
      </c>
      <c r="AB140" s="90"/>
      <c r="AC140" s="11"/>
      <c r="AD140" s="11"/>
      <c r="AE140" s="11"/>
      <c r="AF140" s="11"/>
      <c r="AG140" s="225">
        <v>1</v>
      </c>
      <c r="AH140" s="90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84"/>
      <c r="BF140" s="90"/>
      <c r="BG140" s="90"/>
    </row>
    <row r="141" spans="1:59" x14ac:dyDescent="0.25">
      <c r="A141" s="347"/>
      <c r="B141" s="359"/>
      <c r="C141" s="48" t="s">
        <v>255</v>
      </c>
      <c r="D141" s="75" t="s">
        <v>176</v>
      </c>
      <c r="E141" s="12"/>
      <c r="F141" s="10"/>
      <c r="G141" s="11"/>
      <c r="H141" s="29"/>
      <c r="I141" s="225">
        <v>3</v>
      </c>
      <c r="J141" s="90"/>
      <c r="K141" s="162"/>
      <c r="L141" s="225">
        <v>3</v>
      </c>
      <c r="M141" s="90"/>
      <c r="N141" s="162"/>
      <c r="O141" s="225">
        <v>3</v>
      </c>
      <c r="P141" s="90"/>
      <c r="Q141" s="162"/>
      <c r="R141" s="225">
        <f t="shared" si="34"/>
        <v>3</v>
      </c>
      <c r="S141" s="90"/>
      <c r="T141" s="162"/>
      <c r="U141" s="225">
        <v>3</v>
      </c>
      <c r="V141" s="90"/>
      <c r="W141" s="11"/>
      <c r="X141" s="225">
        <v>3</v>
      </c>
      <c r="Y141" s="90"/>
      <c r="Z141" s="11"/>
      <c r="AA141" s="225">
        <v>3</v>
      </c>
      <c r="AB141" s="90"/>
      <c r="AC141" s="11"/>
      <c r="AD141" s="11"/>
      <c r="AE141" s="11"/>
      <c r="AF141" s="11"/>
      <c r="AG141" s="225">
        <v>3</v>
      </c>
      <c r="AH141" s="90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84"/>
      <c r="BF141" s="90"/>
      <c r="BG141" s="90"/>
    </row>
    <row r="142" spans="1:59" ht="4.5" customHeight="1" x14ac:dyDescent="0.25">
      <c r="A142" s="347"/>
      <c r="B142" s="24"/>
      <c r="C142" s="19"/>
      <c r="D142" s="20"/>
      <c r="E142" s="20"/>
      <c r="F142" s="20"/>
      <c r="G142" s="21"/>
      <c r="H142" s="29"/>
      <c r="I142" s="163"/>
      <c r="J142" s="21"/>
      <c r="K142" s="164"/>
      <c r="L142" s="163"/>
      <c r="M142" s="21"/>
      <c r="N142" s="164"/>
      <c r="O142" s="163"/>
      <c r="P142" s="21"/>
      <c r="Q142" s="164"/>
      <c r="R142" s="163"/>
      <c r="S142" s="21"/>
      <c r="T142" s="164"/>
      <c r="U142" s="163"/>
      <c r="V142" s="21"/>
      <c r="W142" s="21"/>
      <c r="X142" s="163"/>
      <c r="Y142" s="21"/>
      <c r="Z142" s="21"/>
      <c r="AA142" s="163"/>
      <c r="AB142" s="21"/>
      <c r="AC142" s="21"/>
      <c r="AD142" s="22"/>
      <c r="AE142" s="22"/>
      <c r="AF142" s="22"/>
      <c r="AG142" s="163"/>
      <c r="AH142" s="21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1"/>
      <c r="BF142" s="21"/>
      <c r="BG142" s="21"/>
    </row>
    <row r="143" spans="1:59" x14ac:dyDescent="0.25">
      <c r="A143" s="347"/>
      <c r="B143" s="355" t="s">
        <v>34</v>
      </c>
      <c r="C143" s="58" t="s">
        <v>228</v>
      </c>
      <c r="D143" s="75" t="s">
        <v>176</v>
      </c>
      <c r="E143" s="12"/>
      <c r="F143" s="10"/>
      <c r="G143" s="11"/>
      <c r="H143" s="29"/>
      <c r="I143" s="157">
        <f>SUM(I144:I147)</f>
        <v>298</v>
      </c>
      <c r="J143" s="11">
        <v>260</v>
      </c>
      <c r="K143" s="160"/>
      <c r="L143" s="157">
        <f>SUM(L144:L147)</f>
        <v>298</v>
      </c>
      <c r="M143" s="11">
        <v>260</v>
      </c>
      <c r="N143" s="160"/>
      <c r="O143" s="157">
        <f>SUM(O144:O147)</f>
        <v>298</v>
      </c>
      <c r="P143" s="11">
        <v>260</v>
      </c>
      <c r="Q143" s="160"/>
      <c r="R143" s="157">
        <f>O143</f>
        <v>298</v>
      </c>
      <c r="S143" s="11">
        <f>P143</f>
        <v>260</v>
      </c>
      <c r="T143" s="160"/>
      <c r="U143" s="157">
        <f>SUM(U144:U147)</f>
        <v>298</v>
      </c>
      <c r="V143" s="11">
        <v>260</v>
      </c>
      <c r="W143" s="11"/>
      <c r="X143" s="157">
        <f>SUM(X144:X147)</f>
        <v>298</v>
      </c>
      <c r="Y143" s="11">
        <v>260</v>
      </c>
      <c r="Z143" s="11"/>
      <c r="AA143" s="157">
        <f>SUM(AA144:AA147)</f>
        <v>298</v>
      </c>
      <c r="AB143" s="11">
        <v>260</v>
      </c>
      <c r="AC143" s="11"/>
      <c r="AD143" s="11"/>
      <c r="AE143" s="11"/>
      <c r="AF143" s="11"/>
      <c r="AG143" s="157">
        <f>SUM(AG144:AG147)</f>
        <v>298</v>
      </c>
      <c r="AH143" s="11">
        <v>260</v>
      </c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88"/>
      <c r="BF143" s="11"/>
      <c r="BG143" s="11"/>
    </row>
    <row r="144" spans="1:59" x14ac:dyDescent="0.25">
      <c r="A144" s="347"/>
      <c r="B144" s="355"/>
      <c r="C144" s="58" t="s">
        <v>30</v>
      </c>
      <c r="D144" s="75"/>
      <c r="E144" s="12"/>
      <c r="F144" s="10"/>
      <c r="G144" s="11"/>
      <c r="H144" s="29"/>
      <c r="I144" s="225">
        <v>256</v>
      </c>
      <c r="J144" s="11">
        <v>236</v>
      </c>
      <c r="K144" s="160"/>
      <c r="L144" s="225">
        <v>256</v>
      </c>
      <c r="M144" s="11">
        <v>236</v>
      </c>
      <c r="N144" s="160"/>
      <c r="O144" s="225">
        <v>256</v>
      </c>
      <c r="P144" s="11">
        <v>236</v>
      </c>
      <c r="Q144" s="160"/>
      <c r="R144" s="157">
        <f t="shared" ref="R144:R145" si="35">O144</f>
        <v>256</v>
      </c>
      <c r="S144" s="11">
        <f t="shared" ref="S144:S145" si="36">P144</f>
        <v>236</v>
      </c>
      <c r="T144" s="160"/>
      <c r="U144" s="225">
        <v>256</v>
      </c>
      <c r="V144" s="11">
        <v>236</v>
      </c>
      <c r="W144" s="11"/>
      <c r="X144" s="225">
        <v>256</v>
      </c>
      <c r="Y144" s="11">
        <v>236</v>
      </c>
      <c r="Z144" s="11"/>
      <c r="AA144" s="225">
        <v>256</v>
      </c>
      <c r="AB144" s="11">
        <v>236</v>
      </c>
      <c r="AC144" s="11"/>
      <c r="AD144" s="11"/>
      <c r="AE144" s="11"/>
      <c r="AF144" s="11"/>
      <c r="AG144" s="225">
        <v>256</v>
      </c>
      <c r="AH144" s="11">
        <v>236</v>
      </c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84"/>
      <c r="BF144" s="11"/>
      <c r="BG144" s="11"/>
    </row>
    <row r="145" spans="1:59" x14ac:dyDescent="0.25">
      <c r="A145" s="347"/>
      <c r="B145" s="355"/>
      <c r="C145" s="58" t="s">
        <v>31</v>
      </c>
      <c r="D145" s="75" t="s">
        <v>176</v>
      </c>
      <c r="E145" s="12"/>
      <c r="F145" s="10"/>
      <c r="G145" s="11"/>
      <c r="H145" s="29"/>
      <c r="I145" s="225">
        <v>34</v>
      </c>
      <c r="J145" s="11">
        <v>24</v>
      </c>
      <c r="K145" s="160"/>
      <c r="L145" s="225">
        <v>34</v>
      </c>
      <c r="M145" s="11">
        <v>24</v>
      </c>
      <c r="N145" s="160"/>
      <c r="O145" s="225">
        <v>34</v>
      </c>
      <c r="P145" s="11">
        <v>24</v>
      </c>
      <c r="Q145" s="160"/>
      <c r="R145" s="157">
        <f t="shared" si="35"/>
        <v>34</v>
      </c>
      <c r="S145" s="11">
        <f t="shared" si="36"/>
        <v>24</v>
      </c>
      <c r="T145" s="160"/>
      <c r="U145" s="225">
        <v>34</v>
      </c>
      <c r="V145" s="11">
        <v>24</v>
      </c>
      <c r="W145" s="11"/>
      <c r="X145" s="225">
        <v>34</v>
      </c>
      <c r="Y145" s="11">
        <v>24</v>
      </c>
      <c r="Z145" s="11"/>
      <c r="AA145" s="225">
        <v>34</v>
      </c>
      <c r="AB145" s="11">
        <v>24</v>
      </c>
      <c r="AC145" s="11"/>
      <c r="AD145" s="11"/>
      <c r="AE145" s="11"/>
      <c r="AF145" s="11"/>
      <c r="AG145" s="225">
        <v>34</v>
      </c>
      <c r="AH145" s="11">
        <v>24</v>
      </c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84"/>
      <c r="BF145" s="11"/>
      <c r="BG145" s="11"/>
    </row>
    <row r="146" spans="1:59" x14ac:dyDescent="0.25">
      <c r="A146" s="347"/>
      <c r="B146" s="355"/>
      <c r="C146" s="48" t="s">
        <v>32</v>
      </c>
      <c r="D146" s="75" t="s">
        <v>176</v>
      </c>
      <c r="E146" s="12"/>
      <c r="F146" s="10"/>
      <c r="G146" s="11"/>
      <c r="H146" s="29"/>
      <c r="I146" s="225">
        <v>6</v>
      </c>
      <c r="J146" s="11"/>
      <c r="K146" s="160"/>
      <c r="L146" s="225">
        <v>6</v>
      </c>
      <c r="M146" s="11"/>
      <c r="N146" s="160"/>
      <c r="O146" s="225">
        <v>6</v>
      </c>
      <c r="P146" s="11"/>
      <c r="Q146" s="160"/>
      <c r="R146" s="225"/>
      <c r="S146" s="11"/>
      <c r="T146" s="160"/>
      <c r="U146" s="225">
        <v>6</v>
      </c>
      <c r="V146" s="11"/>
      <c r="W146" s="11"/>
      <c r="X146" s="225">
        <v>6</v>
      </c>
      <c r="Y146" s="11"/>
      <c r="Z146" s="11"/>
      <c r="AA146" s="225">
        <v>6</v>
      </c>
      <c r="AB146" s="11"/>
      <c r="AC146" s="11"/>
      <c r="AD146" s="11"/>
      <c r="AE146" s="11"/>
      <c r="AF146" s="11"/>
      <c r="AG146" s="225">
        <v>6</v>
      </c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84"/>
      <c r="BF146" s="11"/>
      <c r="BG146" s="11"/>
    </row>
    <row r="147" spans="1:59" x14ac:dyDescent="0.25">
      <c r="A147" s="347"/>
      <c r="B147" s="355"/>
      <c r="C147" s="48" t="s">
        <v>33</v>
      </c>
      <c r="D147" s="75" t="s">
        <v>176</v>
      </c>
      <c r="E147" s="12"/>
      <c r="F147" s="10"/>
      <c r="G147" s="11"/>
      <c r="H147" s="29"/>
      <c r="I147" s="225">
        <v>2</v>
      </c>
      <c r="J147" s="11"/>
      <c r="K147" s="160"/>
      <c r="L147" s="225">
        <v>2</v>
      </c>
      <c r="M147" s="11"/>
      <c r="N147" s="160"/>
      <c r="O147" s="225">
        <v>2</v>
      </c>
      <c r="P147" s="11"/>
      <c r="Q147" s="160"/>
      <c r="R147" s="225"/>
      <c r="S147" s="11"/>
      <c r="T147" s="160"/>
      <c r="U147" s="225">
        <v>2</v>
      </c>
      <c r="V147" s="11"/>
      <c r="W147" s="11"/>
      <c r="X147" s="225">
        <v>2</v>
      </c>
      <c r="Y147" s="11"/>
      <c r="Z147" s="11"/>
      <c r="AA147" s="225">
        <v>2</v>
      </c>
      <c r="AB147" s="11"/>
      <c r="AC147" s="11"/>
      <c r="AD147" s="11"/>
      <c r="AE147" s="11"/>
      <c r="AF147" s="11"/>
      <c r="AG147" s="225">
        <v>2</v>
      </c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84"/>
      <c r="BF147" s="11"/>
      <c r="BG147" s="11"/>
    </row>
    <row r="148" spans="1:59" ht="4.5" customHeight="1" x14ac:dyDescent="0.25">
      <c r="A148" s="347"/>
      <c r="I148" s="241"/>
      <c r="J148" s="242"/>
      <c r="K148" s="243"/>
      <c r="L148" s="241"/>
      <c r="M148" s="242"/>
      <c r="N148" s="243"/>
      <c r="O148" s="241"/>
      <c r="P148" s="242"/>
      <c r="Q148" s="243"/>
      <c r="R148" s="241"/>
      <c r="S148" s="242"/>
      <c r="T148" s="243"/>
      <c r="U148" s="241"/>
      <c r="V148" s="242"/>
      <c r="X148" s="241"/>
      <c r="Y148" s="242"/>
      <c r="AA148" s="241"/>
      <c r="AB148" s="242"/>
      <c r="AG148" s="241"/>
      <c r="AH148" s="242"/>
    </row>
    <row r="149" spans="1:59" x14ac:dyDescent="0.25">
      <c r="A149" s="347"/>
      <c r="B149" s="355" t="s">
        <v>39</v>
      </c>
      <c r="C149" s="48" t="s">
        <v>40</v>
      </c>
      <c r="D149" s="75" t="s">
        <v>176</v>
      </c>
      <c r="E149" s="12"/>
      <c r="F149" s="10"/>
      <c r="G149" s="11"/>
      <c r="H149" s="29"/>
      <c r="I149" s="142">
        <v>3906</v>
      </c>
      <c r="J149" s="11"/>
      <c r="K149" s="160"/>
      <c r="L149" s="142">
        <v>3906</v>
      </c>
      <c r="M149" s="11"/>
      <c r="N149" s="160"/>
      <c r="O149" s="142">
        <v>3906</v>
      </c>
      <c r="P149" s="11"/>
      <c r="Q149" s="160"/>
      <c r="R149" s="225">
        <f t="shared" ref="R149:R150" si="37">(O149+L149+I149)/3</f>
        <v>3906</v>
      </c>
      <c r="S149" s="11"/>
      <c r="T149" s="160"/>
      <c r="U149" s="142">
        <v>3906</v>
      </c>
      <c r="V149" s="11"/>
      <c r="W149" s="11"/>
      <c r="X149" s="142">
        <v>3906</v>
      </c>
      <c r="Y149" s="11"/>
      <c r="Z149" s="11"/>
      <c r="AA149" s="142">
        <v>3906</v>
      </c>
      <c r="AB149" s="11"/>
      <c r="AC149" s="11"/>
      <c r="AD149" s="11"/>
      <c r="AE149" s="11"/>
      <c r="AF149" s="11"/>
      <c r="AG149" s="142">
        <v>3906</v>
      </c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07"/>
      <c r="BF149" s="11"/>
      <c r="BG149" s="11"/>
    </row>
    <row r="150" spans="1:59" x14ac:dyDescent="0.25">
      <c r="A150" s="347"/>
      <c r="B150" s="355"/>
      <c r="C150" s="48" t="s">
        <v>41</v>
      </c>
      <c r="D150" s="75" t="s">
        <v>176</v>
      </c>
      <c r="E150" s="12"/>
      <c r="F150" s="10"/>
      <c r="G150" s="11"/>
      <c r="H150" s="29"/>
      <c r="I150" s="236">
        <v>280438</v>
      </c>
      <c r="J150" s="11"/>
      <c r="K150" s="160"/>
      <c r="L150" s="236">
        <v>280438</v>
      </c>
      <c r="M150" s="11"/>
      <c r="N150" s="160"/>
      <c r="O150" s="236">
        <v>280438</v>
      </c>
      <c r="P150" s="11"/>
      <c r="Q150" s="160"/>
      <c r="R150" s="225">
        <f t="shared" si="37"/>
        <v>280438</v>
      </c>
      <c r="S150" s="11"/>
      <c r="T150" s="160"/>
      <c r="U150" s="236">
        <v>280438</v>
      </c>
      <c r="V150" s="11"/>
      <c r="W150" s="11"/>
      <c r="X150" s="236">
        <v>280438</v>
      </c>
      <c r="Y150" s="11"/>
      <c r="Z150" s="11"/>
      <c r="AA150" s="236">
        <v>280438</v>
      </c>
      <c r="AB150" s="11"/>
      <c r="AC150" s="11"/>
      <c r="AD150" s="11"/>
      <c r="AE150" s="11"/>
      <c r="AF150" s="11"/>
      <c r="AG150" s="236">
        <v>280438</v>
      </c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3"/>
      <c r="BF150" s="11"/>
      <c r="BG150" s="11"/>
    </row>
    <row r="151" spans="1:59" ht="27.75" customHeight="1" x14ac:dyDescent="0.25">
      <c r="A151" s="347"/>
      <c r="B151" s="355"/>
      <c r="C151" s="48" t="s">
        <v>56</v>
      </c>
      <c r="D151" s="75" t="s">
        <v>176</v>
      </c>
      <c r="E151" s="12"/>
      <c r="F151" s="10"/>
      <c r="G151" s="11"/>
      <c r="H151" s="29"/>
      <c r="I151" s="238" t="s">
        <v>256</v>
      </c>
      <c r="J151" s="11"/>
      <c r="K151" s="160"/>
      <c r="L151" s="238" t="s">
        <v>256</v>
      </c>
      <c r="M151" s="11"/>
      <c r="N151" s="160"/>
      <c r="O151" s="238" t="s">
        <v>256</v>
      </c>
      <c r="P151" s="11"/>
      <c r="Q151" s="160"/>
      <c r="R151" s="238" t="s">
        <v>618</v>
      </c>
      <c r="S151" s="11"/>
      <c r="T151" s="160"/>
      <c r="U151" s="238" t="s">
        <v>256</v>
      </c>
      <c r="V151" s="11"/>
      <c r="W151" s="11"/>
      <c r="X151" s="238" t="s">
        <v>256</v>
      </c>
      <c r="Y151" s="11"/>
      <c r="Z151" s="11"/>
      <c r="AA151" s="238" t="s">
        <v>256</v>
      </c>
      <c r="AB151" s="11"/>
      <c r="AC151" s="11"/>
      <c r="AD151" s="11"/>
      <c r="AE151" s="11"/>
      <c r="AF151" s="11"/>
      <c r="AG151" s="238" t="s">
        <v>256</v>
      </c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7"/>
      <c r="BF151" s="11"/>
      <c r="BG151" s="11"/>
    </row>
    <row r="152" spans="1:59" ht="5.25" customHeight="1" x14ac:dyDescent="0.25">
      <c r="A152" s="347"/>
      <c r="I152" s="241"/>
      <c r="J152" s="242"/>
      <c r="K152" s="243"/>
      <c r="L152" s="241"/>
      <c r="M152" s="242"/>
      <c r="N152" s="243"/>
      <c r="O152" s="241"/>
      <c r="P152" s="242"/>
      <c r="Q152" s="243"/>
      <c r="R152" s="241"/>
      <c r="S152" s="242"/>
      <c r="T152" s="243"/>
      <c r="U152" s="241"/>
      <c r="V152" s="242"/>
      <c r="X152" s="241"/>
      <c r="Y152" s="242"/>
      <c r="AA152" s="241"/>
      <c r="AB152" s="242"/>
      <c r="AG152" s="241"/>
      <c r="AH152" s="242"/>
    </row>
    <row r="153" spans="1:59" x14ac:dyDescent="0.25">
      <c r="A153" s="347"/>
      <c r="B153" s="57" t="s">
        <v>117</v>
      </c>
      <c r="C153" s="48" t="s">
        <v>230</v>
      </c>
      <c r="D153" s="75" t="s">
        <v>176</v>
      </c>
      <c r="E153" s="12"/>
      <c r="F153" s="10"/>
      <c r="G153" s="11"/>
      <c r="H153" s="29"/>
      <c r="I153" s="255">
        <v>2.06E-2</v>
      </c>
      <c r="J153" s="11"/>
      <c r="K153" s="160"/>
      <c r="L153" s="255">
        <v>2.06E-2</v>
      </c>
      <c r="M153" s="11"/>
      <c r="N153" s="160"/>
      <c r="O153" s="255">
        <v>2.06E-2</v>
      </c>
      <c r="P153" s="11"/>
      <c r="Q153" s="160"/>
      <c r="R153" s="255"/>
      <c r="S153" s="11"/>
      <c r="T153" s="160"/>
      <c r="U153" s="255">
        <v>2.06E-2</v>
      </c>
      <c r="V153" s="11"/>
      <c r="W153" s="11"/>
      <c r="X153" s="255">
        <v>2.06E-2</v>
      </c>
      <c r="Y153" s="11"/>
      <c r="Z153" s="11"/>
      <c r="AA153" s="255">
        <v>2.06E-2</v>
      </c>
      <c r="AB153" s="11"/>
      <c r="AC153" s="11"/>
      <c r="AD153" s="11"/>
      <c r="AE153" s="11"/>
      <c r="AF153" s="11"/>
      <c r="AG153" s="255">
        <v>2.06E-2</v>
      </c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2"/>
      <c r="BF153" s="11"/>
      <c r="BG153" s="11"/>
    </row>
    <row r="154" spans="1:59" ht="4.5" customHeight="1" x14ac:dyDescent="0.25">
      <c r="A154" s="347"/>
      <c r="C154" s="78" t="s">
        <v>184</v>
      </c>
      <c r="D154" s="31"/>
      <c r="E154" s="31"/>
      <c r="F154" s="32"/>
      <c r="G154" s="30"/>
      <c r="H154" s="29"/>
      <c r="I154" s="165"/>
      <c r="J154" s="30"/>
      <c r="K154" s="166"/>
      <c r="L154" s="165"/>
      <c r="M154" s="30"/>
      <c r="N154" s="166"/>
      <c r="O154" s="165"/>
      <c r="P154" s="30"/>
      <c r="Q154" s="166"/>
      <c r="R154" s="165"/>
      <c r="S154" s="30"/>
      <c r="T154" s="166"/>
      <c r="U154" s="165"/>
      <c r="V154" s="30"/>
      <c r="W154" s="30"/>
      <c r="X154" s="165"/>
      <c r="Y154" s="30"/>
      <c r="Z154" s="30"/>
      <c r="AA154" s="165"/>
      <c r="AB154" s="30"/>
      <c r="AC154" s="30"/>
      <c r="AD154" s="30"/>
      <c r="AE154" s="30"/>
      <c r="AF154" s="30"/>
      <c r="AG154" s="165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</row>
    <row r="155" spans="1:59" x14ac:dyDescent="0.25">
      <c r="A155" s="347"/>
      <c r="B155" s="356" t="s">
        <v>119</v>
      </c>
      <c r="C155" s="48" t="s">
        <v>120</v>
      </c>
      <c r="D155" s="75" t="s">
        <v>176</v>
      </c>
      <c r="E155" s="12"/>
      <c r="F155" s="10"/>
      <c r="G155" s="11"/>
      <c r="H155" s="29"/>
      <c r="I155" s="237">
        <v>240902</v>
      </c>
      <c r="J155" s="11"/>
      <c r="K155" s="160"/>
      <c r="L155" s="237">
        <v>240902</v>
      </c>
      <c r="M155" s="11"/>
      <c r="N155" s="160"/>
      <c r="O155" s="237">
        <v>240902</v>
      </c>
      <c r="P155" s="11"/>
      <c r="Q155" s="160"/>
      <c r="R155" s="225">
        <f t="shared" ref="R155:R156" si="38">(O155+L155+I155)/3</f>
        <v>240902</v>
      </c>
      <c r="S155" s="11"/>
      <c r="T155" s="160"/>
      <c r="U155" s="237">
        <v>240902</v>
      </c>
      <c r="V155" s="11"/>
      <c r="W155" s="11"/>
      <c r="X155" s="237">
        <v>240902</v>
      </c>
      <c r="Y155" s="11"/>
      <c r="Z155" s="11"/>
      <c r="AA155" s="237">
        <v>240902</v>
      </c>
      <c r="AB155" s="11"/>
      <c r="AC155" s="11"/>
      <c r="AD155" s="11"/>
      <c r="AE155" s="11"/>
      <c r="AF155" s="11"/>
      <c r="AG155" s="237">
        <v>240902</v>
      </c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07"/>
      <c r="BF155" s="11"/>
      <c r="BG155" s="11"/>
    </row>
    <row r="156" spans="1:59" x14ac:dyDescent="0.25">
      <c r="A156" s="347"/>
      <c r="B156" s="357"/>
      <c r="C156" s="48" t="s">
        <v>121</v>
      </c>
      <c r="D156" s="75" t="s">
        <v>176</v>
      </c>
      <c r="E156" s="12"/>
      <c r="F156" s="10"/>
      <c r="G156" s="11"/>
      <c r="H156" s="29"/>
      <c r="I156" s="238">
        <v>68</v>
      </c>
      <c r="J156" s="11"/>
      <c r="K156" s="160"/>
      <c r="L156" s="238">
        <v>68</v>
      </c>
      <c r="M156" s="11"/>
      <c r="N156" s="160"/>
      <c r="O156" s="238">
        <v>68</v>
      </c>
      <c r="P156" s="11"/>
      <c r="Q156" s="160"/>
      <c r="R156" s="225">
        <f t="shared" si="38"/>
        <v>68</v>
      </c>
      <c r="S156" s="11"/>
      <c r="T156" s="160"/>
      <c r="U156" s="238">
        <v>68</v>
      </c>
      <c r="V156" s="11"/>
      <c r="W156" s="11"/>
      <c r="X156" s="238">
        <v>68</v>
      </c>
      <c r="Y156" s="11"/>
      <c r="Z156" s="11"/>
      <c r="AA156" s="238">
        <v>68</v>
      </c>
      <c r="AB156" s="11"/>
      <c r="AC156" s="11"/>
      <c r="AD156" s="11"/>
      <c r="AE156" s="11"/>
      <c r="AF156" s="11"/>
      <c r="AG156" s="238">
        <v>68</v>
      </c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7"/>
      <c r="BF156" s="11"/>
      <c r="BG156" s="11"/>
    </row>
    <row r="157" spans="1:59" ht="4.5" hidden="1" customHeight="1" x14ac:dyDescent="0.25">
      <c r="A157" s="347"/>
      <c r="D157" s="31"/>
      <c r="E157" s="31"/>
      <c r="F157" s="32"/>
      <c r="G157" s="30"/>
      <c r="H157" s="29"/>
      <c r="I157" s="165"/>
      <c r="J157" s="30"/>
      <c r="K157" s="166"/>
      <c r="L157" s="165"/>
      <c r="M157" s="30"/>
      <c r="N157" s="166"/>
      <c r="O157" s="165"/>
      <c r="P157" s="30"/>
      <c r="Q157" s="166"/>
      <c r="R157" s="165"/>
      <c r="S157" s="30"/>
      <c r="T157" s="166"/>
      <c r="U157" s="165"/>
      <c r="V157" s="30"/>
      <c r="W157" s="30"/>
      <c r="X157" s="165"/>
      <c r="Y157" s="30"/>
      <c r="Z157" s="30"/>
      <c r="AA157" s="165"/>
      <c r="AB157" s="30"/>
      <c r="AC157" s="30"/>
      <c r="AD157" s="30"/>
      <c r="AE157" s="30"/>
      <c r="AF157" s="30"/>
      <c r="AG157" s="165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</row>
    <row r="158" spans="1:59" ht="15" hidden="1" customHeight="1" x14ac:dyDescent="0.25">
      <c r="A158" s="347"/>
      <c r="B158" s="355" t="s">
        <v>122</v>
      </c>
      <c r="C158" s="48" t="s">
        <v>123</v>
      </c>
      <c r="D158" s="75" t="s">
        <v>176</v>
      </c>
      <c r="E158" s="12"/>
      <c r="F158" s="10"/>
      <c r="G158" s="11"/>
      <c r="H158" s="29"/>
      <c r="I158" s="236">
        <v>124486.83333333333</v>
      </c>
      <c r="J158" s="11"/>
      <c r="K158" s="160"/>
      <c r="L158" s="236">
        <v>124486.83333333333</v>
      </c>
      <c r="M158" s="11"/>
      <c r="N158" s="160"/>
      <c r="O158" s="236">
        <v>124486.83333333333</v>
      </c>
      <c r="P158" s="11"/>
      <c r="Q158" s="160"/>
      <c r="R158" s="236"/>
      <c r="S158" s="11"/>
      <c r="T158" s="160"/>
      <c r="U158" s="236">
        <v>124486.83333333333</v>
      </c>
      <c r="V158" s="11"/>
      <c r="W158" s="11"/>
      <c r="X158" s="236">
        <v>124486.83333333333</v>
      </c>
      <c r="Y158" s="11"/>
      <c r="Z158" s="11"/>
      <c r="AA158" s="236">
        <v>124486.83333333333</v>
      </c>
      <c r="AB158" s="11"/>
      <c r="AC158" s="11"/>
      <c r="AD158" s="11"/>
      <c r="AE158" s="11"/>
      <c r="AF158" s="11"/>
      <c r="AG158" s="236">
        <v>124486.83333333333</v>
      </c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0"/>
      <c r="BF158" s="11"/>
      <c r="BG158" s="11"/>
    </row>
    <row r="159" spans="1:59" ht="15" hidden="1" customHeight="1" x14ac:dyDescent="0.25">
      <c r="A159" s="347"/>
      <c r="B159" s="355"/>
      <c r="C159" s="48" t="s">
        <v>124</v>
      </c>
      <c r="D159" s="75" t="s">
        <v>176</v>
      </c>
      <c r="E159" s="12"/>
      <c r="F159" s="10"/>
      <c r="G159" s="11"/>
      <c r="H159" s="29"/>
      <c r="I159" s="159" t="s">
        <v>229</v>
      </c>
      <c r="J159" s="11"/>
      <c r="K159" s="160"/>
      <c r="L159" s="159" t="s">
        <v>229</v>
      </c>
      <c r="M159" s="11"/>
      <c r="N159" s="160"/>
      <c r="O159" s="159" t="s">
        <v>229</v>
      </c>
      <c r="P159" s="11"/>
      <c r="Q159" s="160"/>
      <c r="R159" s="159"/>
      <c r="S159" s="11"/>
      <c r="T159" s="160"/>
      <c r="U159" s="159" t="s">
        <v>229</v>
      </c>
      <c r="V159" s="11"/>
      <c r="W159" s="11"/>
      <c r="X159" s="159" t="s">
        <v>229</v>
      </c>
      <c r="Y159" s="11"/>
      <c r="Z159" s="11"/>
      <c r="AA159" s="159" t="s">
        <v>229</v>
      </c>
      <c r="AB159" s="11"/>
      <c r="AC159" s="11"/>
      <c r="AD159" s="11"/>
      <c r="AE159" s="11"/>
      <c r="AF159" s="11"/>
      <c r="AG159" s="159" t="s">
        <v>229</v>
      </c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</row>
    <row r="160" spans="1:59" ht="4.5" customHeight="1" x14ac:dyDescent="0.25">
      <c r="I160" s="241"/>
      <c r="J160" s="242"/>
      <c r="K160" s="243"/>
      <c r="L160" s="241"/>
      <c r="M160" s="242"/>
      <c r="N160" s="243"/>
      <c r="O160" s="241"/>
      <c r="P160" s="242"/>
      <c r="Q160" s="243"/>
      <c r="R160" s="241"/>
      <c r="S160" s="242"/>
      <c r="T160" s="243"/>
      <c r="U160" s="241"/>
      <c r="V160" s="242"/>
      <c r="X160" s="241"/>
      <c r="Y160" s="242"/>
      <c r="AA160" s="241"/>
      <c r="AB160" s="242"/>
      <c r="AG160" s="241"/>
      <c r="AH160" s="242"/>
    </row>
    <row r="161" spans="1:59" ht="15" customHeight="1" x14ac:dyDescent="0.25">
      <c r="A161" s="325" t="s">
        <v>53</v>
      </c>
      <c r="B161" s="325"/>
      <c r="C161" s="61" t="s">
        <v>13</v>
      </c>
      <c r="D161" s="75" t="s">
        <v>176</v>
      </c>
      <c r="E161" s="12"/>
      <c r="F161" s="10"/>
      <c r="G161" s="11"/>
      <c r="H161" s="29"/>
      <c r="I161" s="159">
        <v>0</v>
      </c>
      <c r="J161" s="11"/>
      <c r="K161" s="160"/>
      <c r="L161" s="159">
        <v>0</v>
      </c>
      <c r="M161" s="11"/>
      <c r="N161" s="160"/>
      <c r="O161" s="159">
        <v>0</v>
      </c>
      <c r="P161" s="11"/>
      <c r="Q161" s="160"/>
      <c r="R161" s="159">
        <v>0</v>
      </c>
      <c r="S161" s="11"/>
      <c r="T161" s="160"/>
      <c r="U161" s="159">
        <v>0</v>
      </c>
      <c r="V161" s="11"/>
      <c r="W161" s="11"/>
      <c r="X161" s="159">
        <v>0</v>
      </c>
      <c r="Y161" s="11"/>
      <c r="Z161" s="11"/>
      <c r="AA161" s="159">
        <v>0</v>
      </c>
      <c r="AB161" s="11"/>
      <c r="AC161" s="11"/>
      <c r="AD161" s="11"/>
      <c r="AE161" s="11"/>
      <c r="AF161" s="11"/>
      <c r="AG161" s="159">
        <v>0</v>
      </c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</row>
    <row r="162" spans="1:59" ht="24" x14ac:dyDescent="0.25">
      <c r="A162" s="325"/>
      <c r="B162" s="325"/>
      <c r="C162" s="61" t="s">
        <v>18</v>
      </c>
      <c r="D162" s="75" t="s">
        <v>176</v>
      </c>
      <c r="E162" s="12"/>
      <c r="F162" s="10"/>
      <c r="G162" s="11"/>
      <c r="H162" s="29"/>
      <c r="I162" s="159">
        <v>0</v>
      </c>
      <c r="J162" s="11"/>
      <c r="K162" s="160"/>
      <c r="L162" s="159">
        <v>0</v>
      </c>
      <c r="M162" s="11"/>
      <c r="N162" s="160"/>
      <c r="O162" s="159">
        <v>0</v>
      </c>
      <c r="P162" s="11"/>
      <c r="Q162" s="160"/>
      <c r="R162" s="159">
        <v>0</v>
      </c>
      <c r="S162" s="11"/>
      <c r="T162" s="160"/>
      <c r="U162" s="159">
        <v>0</v>
      </c>
      <c r="V162" s="11"/>
      <c r="W162" s="11"/>
      <c r="X162" s="159">
        <v>0</v>
      </c>
      <c r="Y162" s="11"/>
      <c r="Z162" s="11"/>
      <c r="AA162" s="159">
        <v>0</v>
      </c>
      <c r="AB162" s="11"/>
      <c r="AC162" s="11"/>
      <c r="AD162" s="11"/>
      <c r="AE162" s="11"/>
      <c r="AF162" s="11"/>
      <c r="AG162" s="159">
        <v>0</v>
      </c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</row>
    <row r="163" spans="1:59" ht="5.25" customHeight="1" x14ac:dyDescent="0.25">
      <c r="D163" s="59"/>
      <c r="E163" s="59"/>
      <c r="F163" s="59"/>
      <c r="I163" s="241"/>
      <c r="J163" s="242"/>
      <c r="K163" s="243"/>
      <c r="L163" s="241"/>
      <c r="M163" s="242"/>
      <c r="N163" s="243"/>
      <c r="O163" s="241"/>
      <c r="P163" s="242"/>
      <c r="Q163" s="243"/>
      <c r="R163" s="241"/>
      <c r="S163" s="242"/>
      <c r="T163" s="243"/>
      <c r="U163" s="241"/>
      <c r="V163" s="242"/>
      <c r="X163" s="241"/>
      <c r="Y163" s="242"/>
      <c r="AA163" s="241"/>
      <c r="AB163" s="242"/>
      <c r="AG163" s="241"/>
      <c r="AH163" s="242"/>
    </row>
    <row r="164" spans="1:59" x14ac:dyDescent="0.25">
      <c r="A164" s="14" t="s">
        <v>11</v>
      </c>
      <c r="B164" s="14"/>
      <c r="C164" s="14"/>
      <c r="D164" s="9"/>
      <c r="E164" s="9"/>
      <c r="F164" s="9"/>
      <c r="G164" s="38"/>
      <c r="H164" s="34"/>
      <c r="I164" s="169"/>
      <c r="J164" s="9"/>
      <c r="K164" s="156"/>
      <c r="L164" s="169"/>
      <c r="M164" s="9"/>
      <c r="N164" s="156"/>
      <c r="O164" s="169"/>
      <c r="P164" s="9"/>
      <c r="Q164" s="156"/>
      <c r="R164" s="169"/>
      <c r="S164" s="9"/>
      <c r="T164" s="156"/>
      <c r="U164" s="169"/>
      <c r="V164" s="9"/>
      <c r="W164" s="9"/>
      <c r="X164" s="169"/>
      <c r="Y164" s="9"/>
      <c r="Z164" s="9"/>
      <c r="AA164" s="169"/>
      <c r="AB164" s="9"/>
      <c r="AC164" s="9"/>
      <c r="AD164" s="9"/>
      <c r="AE164" s="9"/>
      <c r="AF164" s="9"/>
      <c r="AG164" s="16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</row>
    <row r="165" spans="1:59" ht="4.5" customHeight="1" x14ac:dyDescent="0.25">
      <c r="A165" s="18"/>
      <c r="B165" s="24"/>
      <c r="C165" s="19"/>
      <c r="D165" s="20"/>
      <c r="E165" s="20"/>
      <c r="F165" s="20"/>
      <c r="G165" s="21"/>
      <c r="H165" s="29"/>
      <c r="I165" s="163"/>
      <c r="J165" s="21"/>
      <c r="K165" s="164"/>
      <c r="L165" s="163"/>
      <c r="M165" s="21"/>
      <c r="N165" s="164"/>
      <c r="O165" s="163"/>
      <c r="P165" s="21"/>
      <c r="Q165" s="164"/>
      <c r="R165" s="163"/>
      <c r="S165" s="21"/>
      <c r="T165" s="164"/>
      <c r="U165" s="163"/>
      <c r="V165" s="21"/>
      <c r="W165" s="21"/>
      <c r="X165" s="163"/>
      <c r="Y165" s="21"/>
      <c r="Z165" s="21"/>
      <c r="AA165" s="163"/>
      <c r="AB165" s="21"/>
      <c r="AC165" s="21"/>
      <c r="AD165" s="22"/>
      <c r="AE165" s="22"/>
      <c r="AF165" s="22"/>
      <c r="AG165" s="163"/>
      <c r="AH165" s="21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1"/>
      <c r="BF165" s="21"/>
      <c r="BG165" s="21"/>
    </row>
    <row r="166" spans="1:59" x14ac:dyDescent="0.25">
      <c r="A166" s="325" t="s">
        <v>57</v>
      </c>
      <c r="B166" s="325"/>
      <c r="C166" s="48" t="s">
        <v>44</v>
      </c>
      <c r="D166" s="75" t="s">
        <v>184</v>
      </c>
      <c r="E166" s="10"/>
      <c r="F166" s="10"/>
      <c r="G166" s="11"/>
      <c r="H166" s="29"/>
      <c r="I166" s="159" t="s">
        <v>229</v>
      </c>
      <c r="J166" s="11"/>
      <c r="K166" s="160"/>
      <c r="L166" s="159" t="s">
        <v>229</v>
      </c>
      <c r="M166" s="11"/>
      <c r="N166" s="160"/>
      <c r="O166" s="159" t="s">
        <v>229</v>
      </c>
      <c r="P166" s="11"/>
      <c r="Q166" s="160"/>
      <c r="R166" s="159" t="s">
        <v>194</v>
      </c>
      <c r="S166" s="11"/>
      <c r="T166" s="160"/>
      <c r="U166" s="159" t="s">
        <v>229</v>
      </c>
      <c r="V166" s="11"/>
      <c r="W166" s="11"/>
      <c r="X166" s="159" t="s">
        <v>229</v>
      </c>
      <c r="Y166" s="11"/>
      <c r="Z166" s="11"/>
      <c r="AA166" s="159" t="s">
        <v>229</v>
      </c>
      <c r="AB166" s="11"/>
      <c r="AC166" s="11"/>
      <c r="AD166" s="11"/>
      <c r="AE166" s="11"/>
      <c r="AF166" s="11"/>
      <c r="AG166" s="159" t="s">
        <v>229</v>
      </c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</row>
    <row r="167" spans="1:59" ht="24.75" x14ac:dyDescent="0.25">
      <c r="A167" s="325"/>
      <c r="B167" s="325"/>
      <c r="C167" s="48" t="s">
        <v>43</v>
      </c>
      <c r="D167" s="75" t="s">
        <v>184</v>
      </c>
      <c r="E167" s="10"/>
      <c r="F167" s="10"/>
      <c r="G167" s="11"/>
      <c r="H167" s="29"/>
      <c r="I167" s="159" t="s">
        <v>229</v>
      </c>
      <c r="J167" s="11"/>
      <c r="K167" s="160"/>
      <c r="L167" s="159" t="s">
        <v>229</v>
      </c>
      <c r="M167" s="11"/>
      <c r="N167" s="160"/>
      <c r="O167" s="159" t="s">
        <v>229</v>
      </c>
      <c r="P167" s="11"/>
      <c r="Q167" s="160"/>
      <c r="R167" s="159" t="s">
        <v>194</v>
      </c>
      <c r="S167" s="11"/>
      <c r="T167" s="160"/>
      <c r="U167" s="159" t="s">
        <v>229</v>
      </c>
      <c r="V167" s="11"/>
      <c r="W167" s="11"/>
      <c r="X167" s="159" t="s">
        <v>229</v>
      </c>
      <c r="Y167" s="11"/>
      <c r="Z167" s="11"/>
      <c r="AA167" s="159" t="s">
        <v>229</v>
      </c>
      <c r="AB167" s="11"/>
      <c r="AC167" s="11"/>
      <c r="AD167" s="11"/>
      <c r="AE167" s="11"/>
      <c r="AF167" s="11"/>
      <c r="AG167" s="159" t="s">
        <v>229</v>
      </c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</row>
    <row r="168" spans="1:59" ht="4.5" customHeight="1" x14ac:dyDescent="0.25">
      <c r="D168" s="75" t="s">
        <v>177</v>
      </c>
      <c r="E168" s="59"/>
      <c r="F168" s="59"/>
      <c r="I168" s="241"/>
      <c r="J168" s="242"/>
      <c r="K168" s="243"/>
      <c r="L168" s="241"/>
      <c r="M168" s="242"/>
      <c r="N168" s="243"/>
      <c r="O168" s="241"/>
      <c r="P168" s="242"/>
      <c r="Q168" s="243"/>
      <c r="R168" s="241"/>
      <c r="S168" s="242"/>
      <c r="T168" s="243"/>
      <c r="U168" s="241"/>
      <c r="V168" s="242"/>
      <c r="X168" s="241"/>
      <c r="Y168" s="242"/>
      <c r="AA168" s="241"/>
      <c r="AB168" s="242"/>
      <c r="AG168" s="241"/>
      <c r="AH168" s="242"/>
    </row>
    <row r="169" spans="1:59" x14ac:dyDescent="0.25">
      <c r="A169" s="14" t="s">
        <v>20</v>
      </c>
      <c r="B169" s="14"/>
      <c r="C169" s="14"/>
      <c r="D169" s="9"/>
      <c r="E169" s="9"/>
      <c r="F169" s="9"/>
      <c r="G169" s="38"/>
      <c r="H169" s="34"/>
      <c r="I169" s="169"/>
      <c r="J169" s="9"/>
      <c r="K169" s="156"/>
      <c r="L169" s="169"/>
      <c r="M169" s="9"/>
      <c r="N169" s="156"/>
      <c r="O169" s="169"/>
      <c r="P169" s="9"/>
      <c r="Q169" s="156"/>
      <c r="R169" s="169"/>
      <c r="S169" s="9"/>
      <c r="T169" s="156"/>
      <c r="U169" s="169"/>
      <c r="V169" s="9"/>
      <c r="W169" s="9"/>
      <c r="X169" s="169"/>
      <c r="Y169" s="9"/>
      <c r="Z169" s="9"/>
      <c r="AA169" s="169"/>
      <c r="AB169" s="9"/>
      <c r="AC169" s="9"/>
      <c r="AD169" s="9"/>
      <c r="AE169" s="9"/>
      <c r="AF169" s="9"/>
      <c r="AG169" s="16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</row>
    <row r="170" spans="1:59" ht="4.5" customHeight="1" x14ac:dyDescent="0.25">
      <c r="D170" s="60"/>
      <c r="E170" s="60"/>
      <c r="F170" s="60"/>
      <c r="I170" s="241"/>
      <c r="J170" s="242"/>
      <c r="K170" s="243"/>
      <c r="L170" s="241"/>
      <c r="M170" s="242"/>
      <c r="N170" s="243"/>
      <c r="O170" s="241"/>
      <c r="P170" s="242"/>
      <c r="Q170" s="243"/>
      <c r="R170" s="241"/>
      <c r="S170" s="242"/>
      <c r="T170" s="243"/>
      <c r="U170" s="241"/>
      <c r="V170" s="242"/>
      <c r="X170" s="241"/>
      <c r="Y170" s="242"/>
      <c r="AA170" s="241"/>
      <c r="AB170" s="242"/>
      <c r="AG170" s="241"/>
      <c r="AH170" s="242"/>
    </row>
    <row r="171" spans="1:59" x14ac:dyDescent="0.25">
      <c r="A171" s="349" t="s">
        <v>125</v>
      </c>
      <c r="B171" s="350"/>
      <c r="C171" s="62" t="s">
        <v>126</v>
      </c>
      <c r="D171" s="79" t="s">
        <v>176</v>
      </c>
      <c r="E171" s="10"/>
      <c r="F171" s="10"/>
      <c r="G171" s="11"/>
      <c r="H171" s="29"/>
      <c r="I171" s="142">
        <v>7950329</v>
      </c>
      <c r="J171" s="11"/>
      <c r="K171" s="160"/>
      <c r="L171" s="142">
        <v>7950329</v>
      </c>
      <c r="M171" s="11"/>
      <c r="N171" s="160"/>
      <c r="O171" s="142">
        <v>7950329</v>
      </c>
      <c r="P171" s="11"/>
      <c r="Q171" s="160"/>
      <c r="R171" s="142">
        <f>O171</f>
        <v>7950329</v>
      </c>
      <c r="S171" s="11"/>
      <c r="T171" s="160"/>
      <c r="U171" s="142">
        <v>7950329</v>
      </c>
      <c r="V171" s="11"/>
      <c r="W171" s="11"/>
      <c r="X171" s="142">
        <v>7950329</v>
      </c>
      <c r="Y171" s="11"/>
      <c r="Z171" s="11"/>
      <c r="AA171" s="142">
        <v>7950329</v>
      </c>
      <c r="AB171" s="11"/>
      <c r="AC171" s="11"/>
      <c r="AD171" s="11"/>
      <c r="AE171" s="11"/>
      <c r="AF171" s="11"/>
      <c r="AG171" s="142">
        <v>7950329</v>
      </c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07"/>
      <c r="BF171" s="11"/>
      <c r="BG171" s="11"/>
    </row>
    <row r="172" spans="1:59" x14ac:dyDescent="0.25">
      <c r="A172" s="351"/>
      <c r="B172" s="352"/>
      <c r="C172" s="62" t="s">
        <v>127</v>
      </c>
      <c r="D172" s="10"/>
      <c r="E172" s="10"/>
      <c r="F172" s="10"/>
      <c r="G172" s="11"/>
      <c r="H172" s="29"/>
      <c r="I172" s="142"/>
      <c r="J172" s="11"/>
      <c r="K172" s="160"/>
      <c r="L172" s="142"/>
      <c r="M172" s="11"/>
      <c r="N172" s="160"/>
      <c r="O172" s="142"/>
      <c r="P172" s="11"/>
      <c r="Q172" s="160"/>
      <c r="R172" s="142"/>
      <c r="S172" s="11"/>
      <c r="T172" s="160"/>
      <c r="U172" s="142"/>
      <c r="V172" s="11"/>
      <c r="W172" s="11"/>
      <c r="X172" s="142"/>
      <c r="Y172" s="11"/>
      <c r="Z172" s="11"/>
      <c r="AA172" s="142"/>
      <c r="AB172" s="11"/>
      <c r="AC172" s="11"/>
      <c r="AD172" s="11"/>
      <c r="AE172" s="11"/>
      <c r="AF172" s="11"/>
      <c r="AG172" s="142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07"/>
      <c r="BF172" s="11"/>
      <c r="BG172" s="11"/>
    </row>
    <row r="173" spans="1:59" x14ac:dyDescent="0.25">
      <c r="A173" s="351"/>
      <c r="B173" s="352"/>
      <c r="C173" s="62" t="s">
        <v>128</v>
      </c>
      <c r="D173" s="79" t="s">
        <v>176</v>
      </c>
      <c r="E173" s="10"/>
      <c r="F173" s="10"/>
      <c r="G173" s="11"/>
      <c r="H173" s="29"/>
      <c r="I173" s="142"/>
      <c r="J173" s="11"/>
      <c r="K173" s="160"/>
      <c r="L173" s="142"/>
      <c r="M173" s="11"/>
      <c r="N173" s="160"/>
      <c r="O173" s="142"/>
      <c r="P173" s="11"/>
      <c r="Q173" s="160"/>
      <c r="R173" s="142"/>
      <c r="S173" s="11"/>
      <c r="T173" s="160"/>
      <c r="U173" s="142"/>
      <c r="V173" s="11"/>
      <c r="W173" s="11"/>
      <c r="X173" s="142"/>
      <c r="Y173" s="11"/>
      <c r="Z173" s="11"/>
      <c r="AA173" s="142"/>
      <c r="AB173" s="11"/>
      <c r="AC173" s="11"/>
      <c r="AD173" s="11"/>
      <c r="AE173" s="11"/>
      <c r="AF173" s="11"/>
      <c r="AG173" s="142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07"/>
      <c r="BF173" s="11"/>
      <c r="BG173" s="11"/>
    </row>
    <row r="174" spans="1:59" x14ac:dyDescent="0.25">
      <c r="A174" s="353"/>
      <c r="B174" s="354"/>
      <c r="C174" s="62" t="s">
        <v>129</v>
      </c>
      <c r="D174" s="79" t="s">
        <v>176</v>
      </c>
      <c r="E174" s="10"/>
      <c r="F174" s="10"/>
      <c r="G174" s="11"/>
      <c r="H174" s="29"/>
      <c r="I174" s="142"/>
      <c r="J174" s="11"/>
      <c r="K174" s="160"/>
      <c r="L174" s="142"/>
      <c r="M174" s="11"/>
      <c r="N174" s="160"/>
      <c r="O174" s="142"/>
      <c r="P174" s="11"/>
      <c r="Q174" s="160"/>
      <c r="R174" s="142"/>
      <c r="S174" s="11"/>
      <c r="T174" s="160"/>
      <c r="U174" s="142"/>
      <c r="V174" s="11"/>
      <c r="W174" s="11"/>
      <c r="X174" s="142"/>
      <c r="Y174" s="11"/>
      <c r="Z174" s="11"/>
      <c r="AA174" s="142"/>
      <c r="AB174" s="11"/>
      <c r="AC174" s="11"/>
      <c r="AD174" s="11"/>
      <c r="AE174" s="11"/>
      <c r="AF174" s="11"/>
      <c r="AG174" s="142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01"/>
      <c r="BF174" s="101"/>
      <c r="BG174" s="101"/>
    </row>
    <row r="175" spans="1:59" ht="4.5" customHeight="1" x14ac:dyDescent="0.25">
      <c r="A175" s="31"/>
      <c r="B175" s="31"/>
      <c r="C175" s="32"/>
      <c r="D175" s="60"/>
      <c r="E175" s="60"/>
      <c r="F175" s="60"/>
      <c r="I175" s="241"/>
      <c r="J175" s="242"/>
      <c r="K175" s="243"/>
      <c r="L175" s="241"/>
      <c r="M175" s="242"/>
      <c r="N175" s="243"/>
      <c r="O175" s="241"/>
      <c r="P175" s="242"/>
      <c r="Q175" s="243"/>
      <c r="R175" s="241"/>
      <c r="S175" s="242"/>
      <c r="T175" s="243"/>
      <c r="U175" s="241"/>
      <c r="V175" s="242"/>
      <c r="X175" s="241"/>
      <c r="Y175" s="242"/>
      <c r="AA175" s="241"/>
      <c r="AB175" s="242"/>
      <c r="AG175" s="241"/>
      <c r="AH175" s="242"/>
    </row>
    <row r="176" spans="1:59" x14ac:dyDescent="0.25">
      <c r="A176" s="327" t="s">
        <v>45</v>
      </c>
      <c r="B176" s="328"/>
      <c r="C176" s="62" t="s">
        <v>157</v>
      </c>
      <c r="D176" s="79" t="s">
        <v>176</v>
      </c>
      <c r="E176" s="10"/>
      <c r="F176" s="10"/>
      <c r="G176" s="11"/>
      <c r="H176" s="29"/>
      <c r="I176" s="159"/>
      <c r="J176" s="11"/>
      <c r="K176" s="160"/>
      <c r="L176" s="159"/>
      <c r="M176" s="11"/>
      <c r="N176" s="160"/>
      <c r="O176" s="159"/>
      <c r="P176" s="11"/>
      <c r="Q176" s="160"/>
      <c r="R176" s="159"/>
      <c r="S176" s="11"/>
      <c r="T176" s="160"/>
      <c r="U176" s="159"/>
      <c r="V176" s="11"/>
      <c r="W176" s="11"/>
      <c r="X176" s="159"/>
      <c r="Y176" s="11"/>
      <c r="Z176" s="11"/>
      <c r="AA176" s="159"/>
      <c r="AB176" s="11"/>
      <c r="AC176" s="11"/>
      <c r="AD176" s="11"/>
      <c r="AE176" s="11"/>
      <c r="AF176" s="11"/>
      <c r="AG176" s="159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</row>
    <row r="177" spans="1:59" ht="24" x14ac:dyDescent="0.25">
      <c r="A177" s="329"/>
      <c r="B177" s="330"/>
      <c r="C177" s="62" t="s">
        <v>130</v>
      </c>
      <c r="D177" s="79" t="s">
        <v>176</v>
      </c>
      <c r="E177" s="10"/>
      <c r="F177" s="10"/>
      <c r="G177" s="11"/>
      <c r="H177" s="29"/>
      <c r="I177" s="159"/>
      <c r="J177" s="11"/>
      <c r="K177" s="160"/>
      <c r="L177" s="159"/>
      <c r="M177" s="11"/>
      <c r="N177" s="160"/>
      <c r="O177" s="159"/>
      <c r="P177" s="11"/>
      <c r="Q177" s="160"/>
      <c r="R177" s="159"/>
      <c r="S177" s="11"/>
      <c r="T177" s="160"/>
      <c r="U177" s="159"/>
      <c r="V177" s="11"/>
      <c r="W177" s="11"/>
      <c r="X177" s="159"/>
      <c r="Y177" s="11"/>
      <c r="Z177" s="11"/>
      <c r="AA177" s="159"/>
      <c r="AB177" s="11"/>
      <c r="AC177" s="11"/>
      <c r="AD177" s="11"/>
      <c r="AE177" s="11"/>
      <c r="AF177" s="11"/>
      <c r="AG177" s="159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</row>
    <row r="178" spans="1:59" x14ac:dyDescent="0.25">
      <c r="A178" s="329"/>
      <c r="B178" s="330"/>
      <c r="C178" s="62" t="s">
        <v>45</v>
      </c>
      <c r="D178" s="79"/>
      <c r="E178" s="10"/>
      <c r="F178" s="10"/>
      <c r="G178" s="11"/>
      <c r="H178" s="29"/>
      <c r="I178" s="199">
        <v>5286914</v>
      </c>
      <c r="J178" s="197"/>
      <c r="K178" s="256"/>
      <c r="L178" s="199">
        <v>5286914</v>
      </c>
      <c r="M178" s="197"/>
      <c r="N178" s="256"/>
      <c r="O178" s="199">
        <v>5286914</v>
      </c>
      <c r="P178" s="197"/>
      <c r="Q178" s="256"/>
      <c r="R178" s="199">
        <f>O178</f>
        <v>5286914</v>
      </c>
      <c r="S178" s="197"/>
      <c r="T178" s="256"/>
      <c r="U178" s="199">
        <v>5286914</v>
      </c>
      <c r="V178" s="197"/>
      <c r="W178" s="11"/>
      <c r="X178" s="199">
        <v>5286914</v>
      </c>
      <c r="Y178" s="197"/>
      <c r="Z178" s="11"/>
      <c r="AA178" s="199">
        <v>5286914</v>
      </c>
      <c r="AB178" s="197"/>
      <c r="AC178" s="11"/>
      <c r="AD178" s="11"/>
      <c r="AE178" s="11"/>
      <c r="AF178" s="11"/>
      <c r="AG178" s="199">
        <v>5286914</v>
      </c>
      <c r="AH178" s="197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07"/>
      <c r="BF178" s="11"/>
      <c r="BG178" s="11"/>
    </row>
    <row r="179" spans="1:59" x14ac:dyDescent="0.25">
      <c r="A179" s="331"/>
      <c r="B179" s="332"/>
      <c r="C179" s="62" t="s">
        <v>131</v>
      </c>
      <c r="D179" s="79" t="s">
        <v>176</v>
      </c>
      <c r="E179" s="10"/>
      <c r="F179" s="10"/>
      <c r="G179" s="11"/>
      <c r="H179" s="29"/>
      <c r="I179" s="257">
        <f>I178/I4</f>
        <v>264345.7</v>
      </c>
      <c r="J179" s="11"/>
      <c r="K179" s="160"/>
      <c r="L179" s="257">
        <f>L178/L4</f>
        <v>264345.7</v>
      </c>
      <c r="M179" s="11"/>
      <c r="N179" s="160"/>
      <c r="O179" s="257">
        <f>O178/O4</f>
        <v>264345.7</v>
      </c>
      <c r="P179" s="11"/>
      <c r="Q179" s="160"/>
      <c r="R179" s="257">
        <f>O179</f>
        <v>264345.7</v>
      </c>
      <c r="S179" s="11"/>
      <c r="T179" s="160"/>
      <c r="U179" s="257">
        <f>U178/U4</f>
        <v>264345.7</v>
      </c>
      <c r="V179" s="11"/>
      <c r="W179" s="11"/>
      <c r="X179" s="257">
        <f>X178/X4</f>
        <v>264345.7</v>
      </c>
      <c r="Y179" s="11"/>
      <c r="Z179" s="11"/>
      <c r="AA179" s="257">
        <f>AA178/AA4</f>
        <v>264345.7</v>
      </c>
      <c r="AB179" s="11"/>
      <c r="AC179" s="11"/>
      <c r="AD179" s="11"/>
      <c r="AE179" s="11"/>
      <c r="AF179" s="11"/>
      <c r="AG179" s="257">
        <f>AG178/AG4</f>
        <v>264345.7</v>
      </c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1"/>
      <c r="BF179" s="11"/>
      <c r="BG179" s="11"/>
    </row>
    <row r="180" spans="1:59" ht="3.75" customHeight="1" x14ac:dyDescent="0.25">
      <c r="D180" s="60"/>
      <c r="E180" s="60"/>
      <c r="F180" s="60"/>
      <c r="I180" s="241"/>
      <c r="J180" s="242"/>
      <c r="K180" s="243"/>
      <c r="L180" s="241"/>
      <c r="M180" s="242"/>
      <c r="N180" s="243"/>
      <c r="O180" s="241"/>
      <c r="P180" s="242"/>
      <c r="Q180" s="243"/>
      <c r="R180" s="241"/>
      <c r="S180" s="242"/>
      <c r="T180" s="243"/>
      <c r="U180" s="241"/>
      <c r="V180" s="242"/>
      <c r="X180" s="241"/>
      <c r="Y180" s="242"/>
      <c r="AA180" s="241"/>
      <c r="AB180" s="242"/>
      <c r="AG180" s="241"/>
      <c r="AH180" s="242"/>
    </row>
    <row r="181" spans="1:59" x14ac:dyDescent="0.25">
      <c r="A181" s="360" t="s">
        <v>132</v>
      </c>
      <c r="B181" s="360"/>
      <c r="C181" s="62" t="s">
        <v>133</v>
      </c>
      <c r="D181" s="79" t="s">
        <v>176</v>
      </c>
      <c r="E181" s="10"/>
      <c r="F181" s="10"/>
      <c r="G181" s="11"/>
      <c r="H181" s="29"/>
      <c r="I181" s="159">
        <f>'HT Express BSC '!I125+'HT Stores BSC'!I118</f>
        <v>13</v>
      </c>
      <c r="J181" s="11"/>
      <c r="K181" s="160"/>
      <c r="L181" s="159">
        <f>'HT Express BSC '!L125+'HT Stores BSC'!L118</f>
        <v>0</v>
      </c>
      <c r="M181" s="11"/>
      <c r="N181" s="160"/>
      <c r="O181" s="159">
        <f>'HT Express BSC '!O125+'HT Stores BSC'!O118</f>
        <v>3</v>
      </c>
      <c r="P181" s="11"/>
      <c r="Q181" s="160"/>
      <c r="R181" s="159">
        <f>O181</f>
        <v>3</v>
      </c>
      <c r="S181" s="11"/>
      <c r="T181" s="160"/>
      <c r="U181" s="159" t="e">
        <f>'HT Express BSC '!U125+'HT Stores BSC'!U118</f>
        <v>#VALUE!</v>
      </c>
      <c r="V181" s="11"/>
      <c r="W181" s="11"/>
      <c r="X181" s="159">
        <f>'HT Express BSC '!X125+'HT Stores BSC'!X118</f>
        <v>0</v>
      </c>
      <c r="Y181" s="11"/>
      <c r="Z181" s="11"/>
      <c r="AA181" s="159">
        <f>'HT Express BSC '!AA125+'HT Stores BSC'!AA118</f>
        <v>0</v>
      </c>
      <c r="AB181" s="11"/>
      <c r="AC181" s="11"/>
      <c r="AD181" s="11"/>
      <c r="AE181" s="11"/>
      <c r="AF181" s="11"/>
      <c r="AG181" s="159">
        <f>'HT Express BSC '!AG125+'HT Stores BSC'!AG118</f>
        <v>0</v>
      </c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</row>
    <row r="182" spans="1:59" x14ac:dyDescent="0.25">
      <c r="A182" s="360"/>
      <c r="B182" s="360"/>
      <c r="C182" s="62" t="s">
        <v>134</v>
      </c>
      <c r="D182" s="79" t="s">
        <v>176</v>
      </c>
      <c r="E182" s="10"/>
      <c r="F182" s="10"/>
      <c r="G182" s="11"/>
      <c r="H182" s="29"/>
      <c r="I182" s="159">
        <f>'HT Express BSC '!I126+'HT Stores BSC'!I119</f>
        <v>0</v>
      </c>
      <c r="J182" s="11"/>
      <c r="K182" s="160"/>
      <c r="L182" s="159">
        <f>'HT Express BSC '!L126+'HT Stores BSC'!L119</f>
        <v>0</v>
      </c>
      <c r="M182" s="11"/>
      <c r="N182" s="160"/>
      <c r="O182" s="159">
        <f>'HT Express BSC '!O126+'HT Stores BSC'!O119</f>
        <v>0</v>
      </c>
      <c r="P182" s="11"/>
      <c r="Q182" s="160"/>
      <c r="R182" s="159">
        <f>O182</f>
        <v>0</v>
      </c>
      <c r="S182" s="11"/>
      <c r="T182" s="160"/>
      <c r="U182" s="159" t="e">
        <f>'HT Express BSC '!U126+'HT Stores BSC'!U119</f>
        <v>#VALUE!</v>
      </c>
      <c r="V182" s="11"/>
      <c r="W182" s="11"/>
      <c r="X182" s="159">
        <f>'HT Express BSC '!X126+'HT Stores BSC'!X119</f>
        <v>0</v>
      </c>
      <c r="Y182" s="11"/>
      <c r="Z182" s="11"/>
      <c r="AA182" s="159">
        <f>'HT Express BSC '!AA126+'HT Stores BSC'!AA119</f>
        <v>0</v>
      </c>
      <c r="AB182" s="11"/>
      <c r="AC182" s="11"/>
      <c r="AD182" s="11"/>
      <c r="AE182" s="11"/>
      <c r="AF182" s="11"/>
      <c r="AG182" s="159">
        <f>'HT Express BSC '!AG126+'HT Stores BSC'!AG119</f>
        <v>0</v>
      </c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</row>
    <row r="183" spans="1:59" x14ac:dyDescent="0.25">
      <c r="A183" s="360"/>
      <c r="B183" s="360"/>
      <c r="C183" s="62" t="s">
        <v>736</v>
      </c>
      <c r="D183" s="79" t="s">
        <v>176</v>
      </c>
      <c r="E183" s="10"/>
      <c r="F183" s="10"/>
      <c r="G183" s="11"/>
      <c r="H183" s="29"/>
      <c r="I183" s="159">
        <f>'HT Express BSC '!I127+'HT Stores BSC'!I120</f>
        <v>13</v>
      </c>
      <c r="J183" s="11"/>
      <c r="K183" s="160"/>
      <c r="L183" s="159">
        <f>'HT Express BSC '!L127+'HT Stores BSC'!L120</f>
        <v>0</v>
      </c>
      <c r="M183" s="11"/>
      <c r="N183" s="160"/>
      <c r="O183" s="159">
        <f>'HT Express BSC '!O127+'HT Stores BSC'!O120</f>
        <v>3</v>
      </c>
      <c r="P183" s="11"/>
      <c r="Q183" s="160"/>
      <c r="R183" s="159">
        <f>O183</f>
        <v>3</v>
      </c>
      <c r="S183" s="11"/>
      <c r="T183" s="160"/>
      <c r="U183" s="159" t="e">
        <f>'HT Express BSC '!U127+'HT Stores BSC'!U120</f>
        <v>#VALUE!</v>
      </c>
      <c r="V183" s="11"/>
      <c r="W183" s="11"/>
      <c r="X183" s="159">
        <f>'HT Express BSC '!X127+'HT Stores BSC'!X120</f>
        <v>0</v>
      </c>
      <c r="Y183" s="11"/>
      <c r="Z183" s="11"/>
      <c r="AA183" s="159">
        <f>'HT Express BSC '!AA127+'HT Stores BSC'!AA120</f>
        <v>0</v>
      </c>
      <c r="AB183" s="11"/>
      <c r="AC183" s="11"/>
      <c r="AD183" s="11"/>
      <c r="AE183" s="11"/>
      <c r="AF183" s="11"/>
      <c r="AG183" s="159">
        <f>'HT Express BSC '!AG127+'HT Stores BSC'!AG120</f>
        <v>0</v>
      </c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</row>
    <row r="184" spans="1:59" ht="3.75" customHeight="1" x14ac:dyDescent="0.25">
      <c r="D184" s="60"/>
      <c r="E184" s="60"/>
      <c r="F184" s="60"/>
      <c r="I184" s="241"/>
      <c r="J184" s="242"/>
      <c r="K184" s="243"/>
      <c r="L184" s="241"/>
      <c r="M184" s="242"/>
      <c r="N184" s="243"/>
      <c r="O184" s="241"/>
      <c r="P184" s="242"/>
      <c r="Q184" s="243"/>
      <c r="R184" s="241"/>
      <c r="S184" s="242"/>
      <c r="T184" s="243"/>
      <c r="U184" s="241"/>
      <c r="V184" s="242"/>
      <c r="X184" s="241"/>
      <c r="Y184" s="242"/>
      <c r="AA184" s="241"/>
      <c r="AB184" s="242"/>
      <c r="AG184" s="241"/>
      <c r="AH184" s="242"/>
    </row>
    <row r="185" spans="1:59" ht="18.75" customHeight="1" x14ac:dyDescent="0.25">
      <c r="A185" s="327" t="s">
        <v>136</v>
      </c>
      <c r="B185" s="328"/>
      <c r="C185" s="62" t="s">
        <v>137</v>
      </c>
      <c r="D185" s="79" t="s">
        <v>184</v>
      </c>
      <c r="E185" s="10"/>
      <c r="F185" s="10"/>
      <c r="G185" s="11"/>
      <c r="H185" s="29"/>
      <c r="I185" s="159" t="s">
        <v>194</v>
      </c>
      <c r="J185" s="11"/>
      <c r="K185" s="160"/>
      <c r="L185" s="159" t="s">
        <v>194</v>
      </c>
      <c r="M185" s="11"/>
      <c r="N185" s="160"/>
      <c r="O185" s="159" t="s">
        <v>194</v>
      </c>
      <c r="P185" s="11"/>
      <c r="Q185" s="160"/>
      <c r="R185" s="159" t="s">
        <v>194</v>
      </c>
      <c r="S185" s="11"/>
      <c r="T185" s="160"/>
      <c r="U185" s="159" t="s">
        <v>194</v>
      </c>
      <c r="V185" s="11"/>
      <c r="W185" s="11"/>
      <c r="X185" s="159" t="s">
        <v>194</v>
      </c>
      <c r="Y185" s="11"/>
      <c r="Z185" s="11"/>
      <c r="AA185" s="159" t="s">
        <v>194</v>
      </c>
      <c r="AB185" s="11"/>
      <c r="AC185" s="11"/>
      <c r="AD185" s="11"/>
      <c r="AE185" s="11"/>
      <c r="AF185" s="11"/>
      <c r="AG185" s="159" t="s">
        <v>194</v>
      </c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</row>
    <row r="186" spans="1:59" ht="18.75" customHeight="1" x14ac:dyDescent="0.25">
      <c r="A186" s="331"/>
      <c r="B186" s="332"/>
      <c r="C186" s="62" t="s">
        <v>138</v>
      </c>
      <c r="D186" s="79" t="s">
        <v>184</v>
      </c>
      <c r="E186" s="10"/>
      <c r="F186" s="10"/>
      <c r="G186" s="11"/>
      <c r="H186" s="29"/>
      <c r="I186" s="159" t="s">
        <v>194</v>
      </c>
      <c r="J186" s="11"/>
      <c r="K186" s="160"/>
      <c r="L186" s="159" t="s">
        <v>194</v>
      </c>
      <c r="M186" s="11"/>
      <c r="N186" s="160"/>
      <c r="O186" s="159" t="s">
        <v>194</v>
      </c>
      <c r="P186" s="11"/>
      <c r="Q186" s="160"/>
      <c r="R186" s="159" t="s">
        <v>194</v>
      </c>
      <c r="S186" s="11"/>
      <c r="T186" s="160"/>
      <c r="U186" s="159" t="s">
        <v>194</v>
      </c>
      <c r="V186" s="11"/>
      <c r="W186" s="11"/>
      <c r="X186" s="159" t="s">
        <v>194</v>
      </c>
      <c r="Y186" s="11"/>
      <c r="Z186" s="11"/>
      <c r="AA186" s="159" t="s">
        <v>194</v>
      </c>
      <c r="AB186" s="11"/>
      <c r="AC186" s="11"/>
      <c r="AD186" s="11"/>
      <c r="AE186" s="11"/>
      <c r="AF186" s="11"/>
      <c r="AG186" s="159" t="s">
        <v>194</v>
      </c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</row>
    <row r="187" spans="1:59" ht="4.5" customHeight="1" x14ac:dyDescent="0.25">
      <c r="I187" s="241"/>
      <c r="J187" s="242"/>
      <c r="K187" s="243"/>
      <c r="L187" s="241"/>
      <c r="M187" s="242"/>
      <c r="N187" s="243"/>
      <c r="O187" s="241"/>
      <c r="P187" s="242"/>
      <c r="Q187" s="243"/>
      <c r="R187" s="241"/>
      <c r="S187" s="242"/>
      <c r="T187" s="243"/>
      <c r="U187" s="241"/>
      <c r="V187" s="242"/>
      <c r="X187" s="241"/>
      <c r="Y187" s="242"/>
      <c r="AA187" s="241"/>
      <c r="AB187" s="242"/>
      <c r="AG187" s="241"/>
      <c r="AH187" s="242"/>
    </row>
    <row r="188" spans="1:59" x14ac:dyDescent="0.25">
      <c r="A188" s="16" t="s">
        <v>6</v>
      </c>
      <c r="B188" s="14"/>
      <c r="C188" s="17"/>
      <c r="D188" s="13"/>
      <c r="E188" s="13"/>
      <c r="F188" s="9"/>
      <c r="G188" s="37"/>
      <c r="H188" s="34"/>
      <c r="I188" s="240"/>
      <c r="J188" s="9"/>
      <c r="K188" s="156"/>
      <c r="L188" s="240"/>
      <c r="M188" s="9"/>
      <c r="N188" s="156"/>
      <c r="O188" s="240"/>
      <c r="P188" s="9"/>
      <c r="Q188" s="156"/>
      <c r="R188" s="240"/>
      <c r="S188" s="9"/>
      <c r="T188" s="156"/>
      <c r="U188" s="240"/>
      <c r="V188" s="9"/>
      <c r="W188" s="9"/>
      <c r="X188" s="240"/>
      <c r="Y188" s="9"/>
      <c r="Z188" s="9"/>
      <c r="AA188" s="240"/>
      <c r="AB188" s="9"/>
      <c r="AC188" s="9"/>
      <c r="AD188" s="9"/>
      <c r="AE188" s="9"/>
      <c r="AF188" s="9"/>
      <c r="AG188" s="240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</row>
    <row r="189" spans="1:59" ht="3.75" customHeight="1" x14ac:dyDescent="0.25">
      <c r="A189" s="31"/>
      <c r="B189" s="31"/>
      <c r="C189" s="32"/>
      <c r="D189" s="79" t="s">
        <v>177</v>
      </c>
      <c r="E189" s="32"/>
      <c r="F189" s="32"/>
      <c r="G189" s="30"/>
      <c r="H189" s="29"/>
      <c r="I189" s="165"/>
      <c r="J189" s="30"/>
      <c r="K189" s="166"/>
      <c r="L189" s="165"/>
      <c r="M189" s="30"/>
      <c r="N189" s="166"/>
      <c r="O189" s="165"/>
      <c r="P189" s="30"/>
      <c r="Q189" s="166"/>
      <c r="R189" s="165"/>
      <c r="S189" s="30"/>
      <c r="T189" s="166"/>
      <c r="U189" s="165"/>
      <c r="V189" s="30"/>
      <c r="W189" s="30"/>
      <c r="X189" s="165"/>
      <c r="Y189" s="30"/>
      <c r="Z189" s="29"/>
      <c r="AA189" s="165"/>
      <c r="AB189" s="30"/>
      <c r="AC189" s="30"/>
      <c r="AD189" s="29"/>
      <c r="AE189" s="29"/>
      <c r="AF189" s="29"/>
      <c r="AG189" s="165"/>
      <c r="AH189" s="30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30"/>
      <c r="BF189" s="30"/>
      <c r="BG189" s="30"/>
    </row>
    <row r="190" spans="1:59" x14ac:dyDescent="0.25">
      <c r="A190" s="340" t="s">
        <v>48</v>
      </c>
      <c r="B190" s="341"/>
      <c r="C190" s="48" t="s">
        <v>14</v>
      </c>
      <c r="D190" s="79" t="s">
        <v>184</v>
      </c>
      <c r="E190" s="10"/>
      <c r="F190" s="10"/>
      <c r="G190" s="10"/>
      <c r="H190" s="35"/>
      <c r="I190" s="159" t="s">
        <v>229</v>
      </c>
      <c r="J190" s="10"/>
      <c r="K190" s="258"/>
      <c r="L190" s="159" t="s">
        <v>229</v>
      </c>
      <c r="M190" s="10"/>
      <c r="N190" s="258"/>
      <c r="O190" s="159" t="s">
        <v>229</v>
      </c>
      <c r="P190" s="10"/>
      <c r="Q190" s="258"/>
      <c r="R190" s="159" t="s">
        <v>194</v>
      </c>
      <c r="S190" s="10"/>
      <c r="T190" s="258"/>
      <c r="U190" s="159" t="s">
        <v>229</v>
      </c>
      <c r="V190" s="10"/>
      <c r="W190" s="11"/>
      <c r="X190" s="159" t="s">
        <v>229</v>
      </c>
      <c r="Y190" s="10"/>
      <c r="Z190" s="11"/>
      <c r="AA190" s="159" t="s">
        <v>229</v>
      </c>
      <c r="AB190" s="10"/>
      <c r="AC190" s="11"/>
      <c r="AD190" s="11"/>
      <c r="AE190" s="11"/>
      <c r="AF190" s="11"/>
      <c r="AG190" s="159" t="s">
        <v>229</v>
      </c>
      <c r="AH190" s="10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0"/>
      <c r="BG190" s="10"/>
    </row>
    <row r="191" spans="1:59" x14ac:dyDescent="0.25">
      <c r="A191" s="340" t="s">
        <v>49</v>
      </c>
      <c r="B191" s="341"/>
      <c r="C191" s="48" t="s">
        <v>15</v>
      </c>
      <c r="D191" s="79" t="s">
        <v>184</v>
      </c>
      <c r="E191" s="10"/>
      <c r="F191" s="10"/>
      <c r="G191" s="10"/>
      <c r="H191" s="35"/>
      <c r="I191" s="159" t="s">
        <v>229</v>
      </c>
      <c r="J191" s="10"/>
      <c r="K191" s="258"/>
      <c r="L191" s="159" t="s">
        <v>229</v>
      </c>
      <c r="M191" s="10"/>
      <c r="N191" s="258"/>
      <c r="O191" s="159" t="s">
        <v>229</v>
      </c>
      <c r="P191" s="10"/>
      <c r="Q191" s="258"/>
      <c r="R191" s="159" t="s">
        <v>194</v>
      </c>
      <c r="S191" s="10"/>
      <c r="T191" s="258"/>
      <c r="U191" s="159" t="s">
        <v>229</v>
      </c>
      <c r="V191" s="10"/>
      <c r="W191" s="11"/>
      <c r="X191" s="159" t="s">
        <v>229</v>
      </c>
      <c r="Y191" s="10"/>
      <c r="Z191" s="11"/>
      <c r="AA191" s="159" t="s">
        <v>229</v>
      </c>
      <c r="AB191" s="10"/>
      <c r="AC191" s="11"/>
      <c r="AD191" s="11"/>
      <c r="AE191" s="11"/>
      <c r="AF191" s="11"/>
      <c r="AG191" s="159" t="s">
        <v>229</v>
      </c>
      <c r="AH191" s="10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0"/>
      <c r="BG191" s="10"/>
    </row>
    <row r="192" spans="1:59" ht="48.75" x14ac:dyDescent="0.25">
      <c r="A192" s="349" t="s">
        <v>12</v>
      </c>
      <c r="B192" s="350"/>
      <c r="C192" s="48" t="s">
        <v>19</v>
      </c>
      <c r="D192" s="79" t="s">
        <v>184</v>
      </c>
      <c r="E192" s="10"/>
      <c r="F192" s="10"/>
      <c r="G192" s="10"/>
      <c r="H192" s="35"/>
      <c r="I192" s="159" t="s">
        <v>229</v>
      </c>
      <c r="J192" s="10"/>
      <c r="K192" s="258"/>
      <c r="L192" s="159" t="s">
        <v>229</v>
      </c>
      <c r="M192" s="10"/>
      <c r="N192" s="258"/>
      <c r="O192" s="159" t="s">
        <v>229</v>
      </c>
      <c r="P192" s="10"/>
      <c r="Q192" s="258"/>
      <c r="R192" s="159" t="s">
        <v>194</v>
      </c>
      <c r="S192" s="10"/>
      <c r="T192" s="258"/>
      <c r="U192" s="159" t="s">
        <v>229</v>
      </c>
      <c r="V192" s="10"/>
      <c r="W192" s="11"/>
      <c r="X192" s="159" t="s">
        <v>229</v>
      </c>
      <c r="Y192" s="10"/>
      <c r="Z192" s="11"/>
      <c r="AA192" s="159" t="s">
        <v>229</v>
      </c>
      <c r="AB192" s="10"/>
      <c r="AC192" s="11"/>
      <c r="AD192" s="11"/>
      <c r="AE192" s="11"/>
      <c r="AF192" s="11"/>
      <c r="AG192" s="159" t="s">
        <v>229</v>
      </c>
      <c r="AH192" s="10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0"/>
      <c r="BG192" s="10"/>
    </row>
    <row r="193" spans="1:59" x14ac:dyDescent="0.25">
      <c r="A193" s="351"/>
      <c r="B193" s="352"/>
      <c r="C193" s="48" t="s">
        <v>16</v>
      </c>
      <c r="D193" s="79" t="s">
        <v>184</v>
      </c>
      <c r="E193" s="10"/>
      <c r="F193" s="10"/>
      <c r="G193" s="10"/>
      <c r="H193" s="35"/>
      <c r="I193" s="159" t="s">
        <v>229</v>
      </c>
      <c r="J193" s="10"/>
      <c r="K193" s="258"/>
      <c r="L193" s="159" t="s">
        <v>229</v>
      </c>
      <c r="M193" s="10"/>
      <c r="N193" s="258"/>
      <c r="O193" s="159" t="s">
        <v>229</v>
      </c>
      <c r="P193" s="10"/>
      <c r="Q193" s="258"/>
      <c r="R193" s="159" t="s">
        <v>194</v>
      </c>
      <c r="S193" s="10"/>
      <c r="T193" s="258"/>
      <c r="U193" s="159" t="s">
        <v>229</v>
      </c>
      <c r="V193" s="10"/>
      <c r="W193" s="11"/>
      <c r="X193" s="159" t="s">
        <v>229</v>
      </c>
      <c r="Y193" s="10"/>
      <c r="Z193" s="11"/>
      <c r="AA193" s="159" t="s">
        <v>229</v>
      </c>
      <c r="AB193" s="10"/>
      <c r="AC193" s="11"/>
      <c r="AD193" s="11"/>
      <c r="AE193" s="11"/>
      <c r="AF193" s="11"/>
      <c r="AG193" s="159" t="s">
        <v>229</v>
      </c>
      <c r="AH193" s="10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0"/>
      <c r="BG193" s="10"/>
    </row>
    <row r="194" spans="1:59" ht="15.75" thickBot="1" x14ac:dyDescent="0.3">
      <c r="A194" s="353"/>
      <c r="B194" s="354"/>
      <c r="C194" s="48" t="s">
        <v>17</v>
      </c>
      <c r="D194" s="79" t="s">
        <v>184</v>
      </c>
      <c r="E194" s="10"/>
      <c r="F194" s="10"/>
      <c r="G194" s="10"/>
      <c r="H194" s="35"/>
      <c r="I194" s="172" t="s">
        <v>229</v>
      </c>
      <c r="J194" s="259"/>
      <c r="K194" s="260"/>
      <c r="L194" s="172" t="s">
        <v>229</v>
      </c>
      <c r="M194" s="259"/>
      <c r="N194" s="260"/>
      <c r="O194" s="172" t="s">
        <v>229</v>
      </c>
      <c r="P194" s="259"/>
      <c r="Q194" s="260"/>
      <c r="R194" s="172" t="s">
        <v>194</v>
      </c>
      <c r="S194" s="259"/>
      <c r="T194" s="260"/>
      <c r="U194" s="172" t="s">
        <v>229</v>
      </c>
      <c r="V194" s="259"/>
      <c r="W194" s="11"/>
      <c r="X194" s="172" t="s">
        <v>229</v>
      </c>
      <c r="Y194" s="259"/>
      <c r="Z194" s="11"/>
      <c r="AA194" s="172" t="s">
        <v>229</v>
      </c>
      <c r="AB194" s="259"/>
      <c r="AC194" s="11"/>
      <c r="AD194" s="11"/>
      <c r="AE194" s="11"/>
      <c r="AF194" s="11"/>
      <c r="AG194" s="172" t="s">
        <v>229</v>
      </c>
      <c r="AH194" s="259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0"/>
      <c r="BG194" s="10"/>
    </row>
  </sheetData>
  <customSheetViews>
    <customSheetView guid="{40DAEB26-20D3-4AB4-B94D-0ED6F1AA8B5C}" showGridLines="0" hiddenRows="1" hiddenColumns="1">
      <pane xSplit="8" ySplit="3" topLeftCell="AD4" activePane="bottomRight" state="frozen"/>
      <selection pane="bottomRight" activeCell="AG4" sqref="AG4:AH194"/>
      <pageMargins left="0.7" right="0.7" top="0.75" bottom="0.75" header="0.3" footer="0.3"/>
      <pageSetup orientation="portrait" r:id="rId1"/>
    </customSheetView>
    <customSheetView guid="{DD1F7198-8B36-4512-8BBD-8050BD05AADA}" showGridLines="0" hiddenRows="1" hiddenColumns="1">
      <pane xSplit="8" ySplit="3" topLeftCell="X137" activePane="bottomRight" state="frozen"/>
      <selection pane="bottomRight" activeCell="AG166" sqref="AG166"/>
      <pageMargins left="0.7" right="0.7" top="0.75" bottom="0.75" header="0.3" footer="0.3"/>
      <pageSetup orientation="portrait" r:id="rId2"/>
    </customSheetView>
  </customSheetViews>
  <mergeCells count="63">
    <mergeCell ref="A79:B81"/>
    <mergeCell ref="A191:B191"/>
    <mergeCell ref="A192:B194"/>
    <mergeCell ref="B149:B151"/>
    <mergeCell ref="B155:B156"/>
    <mergeCell ref="B158:B159"/>
    <mergeCell ref="A161:B162"/>
    <mergeCell ref="A166:B167"/>
    <mergeCell ref="A171:B174"/>
    <mergeCell ref="A132:A159"/>
    <mergeCell ref="B132:B133"/>
    <mergeCell ref="B139:B141"/>
    <mergeCell ref="B143:B147"/>
    <mergeCell ref="B134:B137"/>
    <mergeCell ref="A176:B179"/>
    <mergeCell ref="A181:B183"/>
    <mergeCell ref="A185:B186"/>
    <mergeCell ref="A190:B190"/>
    <mergeCell ref="A108:A115"/>
    <mergeCell ref="B108:B111"/>
    <mergeCell ref="B113:B115"/>
    <mergeCell ref="A117:B119"/>
    <mergeCell ref="A121:B130"/>
    <mergeCell ref="A104:B106"/>
    <mergeCell ref="B52:B55"/>
    <mergeCell ref="A12:A30"/>
    <mergeCell ref="B12:B14"/>
    <mergeCell ref="B16:B18"/>
    <mergeCell ref="B20:B22"/>
    <mergeCell ref="B24:B26"/>
    <mergeCell ref="B28:B30"/>
    <mergeCell ref="A57:B59"/>
    <mergeCell ref="A61:B73"/>
    <mergeCell ref="A75:B77"/>
    <mergeCell ref="A84:B102"/>
    <mergeCell ref="A32:A55"/>
    <mergeCell ref="B32:B34"/>
    <mergeCell ref="B36:B38"/>
    <mergeCell ref="B40:B42"/>
    <mergeCell ref="B44:B46"/>
    <mergeCell ref="B48:B50"/>
    <mergeCell ref="C1:C2"/>
    <mergeCell ref="I1:K1"/>
    <mergeCell ref="L1:N1"/>
    <mergeCell ref="O1:Q1"/>
    <mergeCell ref="A4:A10"/>
    <mergeCell ref="B4:B6"/>
    <mergeCell ref="B8:B10"/>
    <mergeCell ref="A1:B2"/>
    <mergeCell ref="BE1:BG1"/>
    <mergeCell ref="R1:T1"/>
    <mergeCell ref="AD1:AF1"/>
    <mergeCell ref="AP1:AR1"/>
    <mergeCell ref="AM1:AO1"/>
    <mergeCell ref="AS1:AU1"/>
    <mergeCell ref="AV1:AX1"/>
    <mergeCell ref="AY1:BA1"/>
    <mergeCell ref="BB1:BD1"/>
    <mergeCell ref="U1:W1"/>
    <mergeCell ref="X1:Z1"/>
    <mergeCell ref="AA1:AC1"/>
    <mergeCell ref="AG1:AI1"/>
    <mergeCell ref="AJ1:AL1"/>
  </mergeCells>
  <pageMargins left="0.7" right="0.7" top="0.75" bottom="0.75" header="0.3" footer="0.3"/>
  <pageSetup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BG129"/>
  <sheetViews>
    <sheetView showGridLines="0" zoomScale="130" zoomScaleNormal="100" workbookViewId="0">
      <pane xSplit="8" ySplit="2" topLeftCell="AC3" activePane="bottomRight" state="frozen"/>
      <selection pane="topRight" activeCell="I1" sqref="I1"/>
      <selection pane="bottomLeft" activeCell="A3" sqref="A3"/>
      <selection pane="bottomRight" activeCell="AE14" sqref="AE14"/>
    </sheetView>
  </sheetViews>
  <sheetFormatPr defaultRowHeight="15" x14ac:dyDescent="0.25"/>
  <cols>
    <col min="1" max="1" width="9.28515625" style="63" customWidth="1"/>
    <col min="2" max="2" width="17.28515625" style="63" customWidth="1"/>
    <col min="3" max="3" width="37" style="63" customWidth="1"/>
    <col min="4" max="5" width="11" style="63" hidden="1" customWidth="1"/>
    <col min="6" max="6" width="11.5703125" style="63" hidden="1" customWidth="1"/>
    <col min="7" max="7" width="9.5703125" style="63" hidden="1" customWidth="1"/>
    <col min="8" max="8" width="0.85546875" style="65" hidden="1" customWidth="1"/>
    <col min="9" max="9" width="10.140625" style="63" customWidth="1"/>
    <col min="10" max="10" width="9" style="63" hidden="1" customWidth="1"/>
    <col min="11" max="11" width="9.42578125" style="63" hidden="1" customWidth="1"/>
    <col min="12" max="13" width="10.140625" style="63" hidden="1" customWidth="1"/>
    <col min="14" max="14" width="9.42578125" style="63" hidden="1" customWidth="1"/>
    <col min="15" max="16" width="9" style="63" hidden="1" customWidth="1"/>
    <col min="17" max="17" width="9.42578125" style="63" hidden="1" customWidth="1"/>
    <col min="18" max="18" width="9.85546875" style="63" hidden="1" customWidth="1"/>
    <col min="19" max="19" width="9" style="63" hidden="1" customWidth="1"/>
    <col min="20" max="20" width="9.42578125" style="63" hidden="1" customWidth="1"/>
    <col min="21" max="32" width="14" style="63" customWidth="1"/>
    <col min="33" max="33" width="12.85546875" style="63" bestFit="1" customWidth="1"/>
    <col min="34" max="34" width="9" style="63" bestFit="1" customWidth="1"/>
    <col min="35" max="35" width="9.42578125" style="63" bestFit="1" customWidth="1"/>
    <col min="36" max="56" width="14" style="63" customWidth="1"/>
    <col min="57" max="58" width="9.5703125" style="63" bestFit="1" customWidth="1"/>
    <col min="59" max="59" width="9.42578125" style="63" bestFit="1" customWidth="1"/>
    <col min="60" max="16384" width="9.140625" style="63"/>
  </cols>
  <sheetData>
    <row r="1" spans="1:59" ht="36" x14ac:dyDescent="0.25">
      <c r="A1" s="321" t="s">
        <v>1</v>
      </c>
      <c r="B1" s="321"/>
      <c r="C1" s="198" t="s">
        <v>2</v>
      </c>
      <c r="D1" s="198" t="s">
        <v>139</v>
      </c>
      <c r="E1" s="198" t="s">
        <v>140</v>
      </c>
      <c r="F1" s="198" t="s">
        <v>141</v>
      </c>
      <c r="G1" s="36" t="s">
        <v>142</v>
      </c>
      <c r="H1" s="33"/>
      <c r="I1" s="311" t="s">
        <v>7</v>
      </c>
      <c r="J1" s="312"/>
      <c r="K1" s="313"/>
      <c r="L1" s="311" t="s">
        <v>8</v>
      </c>
      <c r="M1" s="312"/>
      <c r="N1" s="313"/>
      <c r="O1" s="311" t="s">
        <v>21</v>
      </c>
      <c r="P1" s="312"/>
      <c r="Q1" s="313"/>
      <c r="R1" s="311" t="s">
        <v>199</v>
      </c>
      <c r="S1" s="312"/>
      <c r="T1" s="313"/>
      <c r="U1" s="311" t="s">
        <v>22</v>
      </c>
      <c r="V1" s="312"/>
      <c r="W1" s="313"/>
      <c r="X1" s="311" t="s">
        <v>23</v>
      </c>
      <c r="Y1" s="312"/>
      <c r="Z1" s="313"/>
      <c r="AA1" s="311" t="s">
        <v>24</v>
      </c>
      <c r="AB1" s="312"/>
      <c r="AC1" s="313"/>
      <c r="AD1" s="311" t="s">
        <v>200</v>
      </c>
      <c r="AE1" s="312"/>
      <c r="AF1" s="313"/>
      <c r="AG1" s="311" t="s">
        <v>25</v>
      </c>
      <c r="AH1" s="312"/>
      <c r="AI1" s="313"/>
      <c r="AJ1" s="311" t="s">
        <v>186</v>
      </c>
      <c r="AK1" s="312"/>
      <c r="AL1" s="313"/>
      <c r="AM1" s="311" t="s">
        <v>187</v>
      </c>
      <c r="AN1" s="312"/>
      <c r="AO1" s="313"/>
      <c r="AP1" s="311" t="s">
        <v>201</v>
      </c>
      <c r="AQ1" s="312"/>
      <c r="AR1" s="313"/>
      <c r="AS1" s="311" t="s">
        <v>188</v>
      </c>
      <c r="AT1" s="312"/>
      <c r="AU1" s="313"/>
      <c r="AV1" s="311" t="s">
        <v>189</v>
      </c>
      <c r="AW1" s="312"/>
      <c r="AX1" s="313"/>
      <c r="AY1" s="311" t="s">
        <v>190</v>
      </c>
      <c r="AZ1" s="312"/>
      <c r="BA1" s="313"/>
      <c r="BB1" s="311" t="s">
        <v>198</v>
      </c>
      <c r="BC1" s="312"/>
      <c r="BD1" s="313"/>
      <c r="BE1" s="311" t="s">
        <v>617</v>
      </c>
      <c r="BF1" s="312"/>
      <c r="BG1" s="313"/>
    </row>
    <row r="2" spans="1:59" ht="15" customHeight="1" thickBot="1" x14ac:dyDescent="0.3">
      <c r="A2" s="15" t="s">
        <v>9</v>
      </c>
      <c r="B2" s="15"/>
      <c r="C2" s="15"/>
      <c r="D2" s="9"/>
      <c r="E2" s="9"/>
      <c r="F2" s="9"/>
      <c r="G2" s="37"/>
      <c r="H2" s="34"/>
      <c r="I2" s="132" t="s">
        <v>195</v>
      </c>
      <c r="J2" s="133" t="s">
        <v>196</v>
      </c>
      <c r="K2" s="134" t="s">
        <v>197</v>
      </c>
      <c r="L2" s="132" t="s">
        <v>195</v>
      </c>
      <c r="M2" s="133" t="s">
        <v>196</v>
      </c>
      <c r="N2" s="134" t="s">
        <v>197</v>
      </c>
      <c r="O2" s="132" t="s">
        <v>195</v>
      </c>
      <c r="P2" s="133" t="s">
        <v>196</v>
      </c>
      <c r="Q2" s="134" t="s">
        <v>197</v>
      </c>
      <c r="R2" s="132" t="s">
        <v>195</v>
      </c>
      <c r="S2" s="133" t="s">
        <v>196</v>
      </c>
      <c r="T2" s="134" t="s">
        <v>197</v>
      </c>
      <c r="U2" s="132" t="s">
        <v>195</v>
      </c>
      <c r="V2" s="133" t="s">
        <v>196</v>
      </c>
      <c r="W2" s="134" t="s">
        <v>197</v>
      </c>
      <c r="X2" s="132" t="s">
        <v>195</v>
      </c>
      <c r="Y2" s="133" t="s">
        <v>196</v>
      </c>
      <c r="Z2" s="134" t="s">
        <v>197</v>
      </c>
      <c r="AA2" s="132" t="s">
        <v>195</v>
      </c>
      <c r="AB2" s="133" t="s">
        <v>196</v>
      </c>
      <c r="AC2" s="134" t="s">
        <v>197</v>
      </c>
      <c r="AD2" s="132" t="s">
        <v>195</v>
      </c>
      <c r="AE2" s="133" t="s">
        <v>196</v>
      </c>
      <c r="AF2" s="134" t="s">
        <v>197</v>
      </c>
      <c r="AG2" s="132" t="s">
        <v>195</v>
      </c>
      <c r="AH2" s="133" t="s">
        <v>196</v>
      </c>
      <c r="AI2" s="134" t="s">
        <v>197</v>
      </c>
      <c r="AJ2" s="132" t="s">
        <v>195</v>
      </c>
      <c r="AK2" s="133" t="s">
        <v>196</v>
      </c>
      <c r="AL2" s="134" t="s">
        <v>197</v>
      </c>
      <c r="AM2" s="132" t="s">
        <v>195</v>
      </c>
      <c r="AN2" s="133" t="s">
        <v>196</v>
      </c>
      <c r="AO2" s="134" t="s">
        <v>197</v>
      </c>
      <c r="AP2" s="132" t="s">
        <v>195</v>
      </c>
      <c r="AQ2" s="133" t="s">
        <v>196</v>
      </c>
      <c r="AR2" s="134" t="s">
        <v>197</v>
      </c>
      <c r="AS2" s="132" t="s">
        <v>195</v>
      </c>
      <c r="AT2" s="133" t="s">
        <v>196</v>
      </c>
      <c r="AU2" s="134" t="s">
        <v>197</v>
      </c>
      <c r="AV2" s="132" t="s">
        <v>195</v>
      </c>
      <c r="AW2" s="133" t="s">
        <v>196</v>
      </c>
      <c r="AX2" s="134" t="s">
        <v>197</v>
      </c>
      <c r="AY2" s="132" t="s">
        <v>195</v>
      </c>
      <c r="AZ2" s="133" t="s">
        <v>196</v>
      </c>
      <c r="BA2" s="134" t="s">
        <v>197</v>
      </c>
      <c r="BB2" s="132" t="s">
        <v>195</v>
      </c>
      <c r="BC2" s="133" t="s">
        <v>196</v>
      </c>
      <c r="BD2" s="134" t="s">
        <v>197</v>
      </c>
      <c r="BE2" s="132" t="s">
        <v>195</v>
      </c>
      <c r="BF2" s="133" t="s">
        <v>196</v>
      </c>
      <c r="BG2" s="134" t="s">
        <v>197</v>
      </c>
    </row>
    <row r="3" spans="1:59" ht="27.75" customHeight="1" x14ac:dyDescent="0.25">
      <c r="A3" s="361" t="s">
        <v>143</v>
      </c>
      <c r="B3" s="362"/>
      <c r="C3" s="62" t="s">
        <v>144</v>
      </c>
      <c r="D3" s="10"/>
      <c r="E3" s="10"/>
      <c r="F3" s="10"/>
      <c r="G3" s="11"/>
      <c r="H3" s="81"/>
      <c r="I3" s="202">
        <f>I5/'[1]TSF Prasadam Overall'!I4</f>
        <v>0.168505640647093</v>
      </c>
      <c r="J3" s="85">
        <f>J5/'TSF Prasadam Overall'!J4</f>
        <v>126906.4950980392</v>
      </c>
      <c r="K3" s="137"/>
      <c r="L3" s="202">
        <f>L5/'[1]TSF Prasadam Overall'!L4</f>
        <v>0.19583342676166285</v>
      </c>
      <c r="M3" s="85">
        <f>M5/'TSF Prasadam Overall'!M4</f>
        <v>148404.53431372551</v>
      </c>
      <c r="N3" s="137"/>
      <c r="O3" s="202">
        <f>O5/'TSF Prasadam Overall'!O4</f>
        <v>137918.75</v>
      </c>
      <c r="P3" s="85">
        <f>P5/'TSF Prasadam Overall'!P4</f>
        <v>115761.53431372548</v>
      </c>
      <c r="Q3" s="137"/>
      <c r="R3" s="202">
        <f>(O3+L3+I3)/3</f>
        <v>45973.038113022463</v>
      </c>
      <c r="S3" s="85">
        <f>(P3+M3+J3)/3</f>
        <v>130357.52124183007</v>
      </c>
      <c r="T3" s="137"/>
      <c r="U3" s="202">
        <f>U5/'TSF Prasadam Overall'!V4</f>
        <v>156237.5294117647</v>
      </c>
      <c r="V3" s="85">
        <f>(S3+P3+M3)/3</f>
        <v>131507.86328976034</v>
      </c>
      <c r="W3" s="137"/>
      <c r="X3" s="136">
        <f>X5/'TSF Prasadam Overall'!X4</f>
        <v>134460.95000000001</v>
      </c>
      <c r="Y3" s="85"/>
      <c r="Z3" s="137"/>
      <c r="AA3" s="136">
        <f>AA5/'TSF Prasadam Overall'!AA4</f>
        <v>105553.45</v>
      </c>
      <c r="AB3" s="85"/>
      <c r="AC3" s="137"/>
      <c r="AD3" s="136">
        <f>AD5/'TSF Prasadam Overall'!AD4</f>
        <v>124272.1</v>
      </c>
      <c r="AE3" s="85"/>
      <c r="AF3" s="137"/>
      <c r="AG3" s="136">
        <f>AG5/'TSF Prasadam Overall'!AG4</f>
        <v>64114.45</v>
      </c>
      <c r="AH3" s="85"/>
      <c r="AI3" s="137"/>
      <c r="AJ3" s="136"/>
      <c r="AK3" s="85"/>
      <c r="AL3" s="137"/>
      <c r="AM3" s="136"/>
      <c r="AN3" s="85"/>
      <c r="AO3" s="137"/>
      <c r="AP3" s="136"/>
      <c r="AQ3" s="85"/>
      <c r="AR3" s="137"/>
      <c r="AS3" s="136"/>
      <c r="AT3" s="85"/>
      <c r="AU3" s="137"/>
      <c r="AV3" s="136"/>
      <c r="AW3" s="85"/>
      <c r="AX3" s="137"/>
      <c r="AY3" s="136"/>
      <c r="AZ3" s="85"/>
      <c r="BA3" s="137"/>
      <c r="BB3" s="136"/>
      <c r="BC3" s="85"/>
      <c r="BD3" s="137"/>
      <c r="BE3" s="136">
        <f>BE5/'TSF Prasadam Overall'!BE4</f>
        <v>126984.6</v>
      </c>
      <c r="BF3" s="85"/>
      <c r="BG3" s="137"/>
    </row>
    <row r="4" spans="1:59" ht="5.25" customHeight="1" x14ac:dyDescent="0.25">
      <c r="A4" s="44"/>
      <c r="B4" s="44"/>
      <c r="C4" s="40"/>
      <c r="D4" s="40"/>
      <c r="E4" s="40"/>
      <c r="F4" s="40"/>
      <c r="G4" s="41"/>
      <c r="H4" s="29"/>
      <c r="I4" s="138"/>
      <c r="J4" s="41"/>
      <c r="K4" s="139"/>
      <c r="L4" s="138"/>
      <c r="M4" s="41"/>
      <c r="N4" s="139"/>
      <c r="O4" s="138"/>
      <c r="P4" s="41"/>
      <c r="Q4" s="139"/>
      <c r="R4" s="138"/>
      <c r="S4" s="41"/>
      <c r="T4" s="139"/>
      <c r="U4" s="138"/>
      <c r="V4" s="41"/>
      <c r="W4" s="139"/>
      <c r="X4" s="138"/>
      <c r="Y4" s="41"/>
      <c r="Z4" s="139"/>
      <c r="AA4" s="138"/>
      <c r="AB4" s="41"/>
      <c r="AC4" s="139"/>
      <c r="AD4" s="138"/>
      <c r="AE4" s="41"/>
      <c r="AF4" s="139"/>
      <c r="AG4" s="138"/>
      <c r="AH4" s="41"/>
      <c r="AI4" s="139"/>
      <c r="AJ4" s="138"/>
      <c r="AK4" s="41"/>
      <c r="AL4" s="139"/>
      <c r="AM4" s="138"/>
      <c r="AN4" s="41"/>
      <c r="AO4" s="139"/>
      <c r="AP4" s="138"/>
      <c r="AQ4" s="41"/>
      <c r="AR4" s="139"/>
      <c r="AS4" s="138"/>
      <c r="AT4" s="41"/>
      <c r="AU4" s="139"/>
      <c r="AV4" s="138"/>
      <c r="AW4" s="41"/>
      <c r="AX4" s="139"/>
      <c r="AY4" s="138"/>
      <c r="AZ4" s="41"/>
      <c r="BA4" s="139"/>
      <c r="BB4" s="138"/>
      <c r="BC4" s="41"/>
      <c r="BD4" s="139"/>
      <c r="BE4" s="138"/>
      <c r="BF4" s="41"/>
      <c r="BG4" s="139"/>
    </row>
    <row r="5" spans="1:59" ht="15" customHeight="1" x14ac:dyDescent="0.2">
      <c r="A5" s="325" t="s">
        <v>232</v>
      </c>
      <c r="B5" s="325" t="s">
        <v>70</v>
      </c>
      <c r="C5" s="48" t="s">
        <v>202</v>
      </c>
      <c r="D5" s="10"/>
      <c r="E5" s="10"/>
      <c r="F5" s="10"/>
      <c r="G5" s="11"/>
      <c r="H5" s="81"/>
      <c r="I5" s="140">
        <f>I9+I13+I17+I21</f>
        <v>2900922</v>
      </c>
      <c r="J5" s="89">
        <v>2157410.4166666665</v>
      </c>
      <c r="K5" s="177">
        <f>(I5-J5)/J5</f>
        <v>0.34463149783160185</v>
      </c>
      <c r="L5" s="140">
        <f>L9+L13+L17+L21</f>
        <v>3379932</v>
      </c>
      <c r="M5" s="89">
        <v>2522877.0833333335</v>
      </c>
      <c r="N5" s="177">
        <f>(L5-M5)/M5</f>
        <v>0.33971330681488804</v>
      </c>
      <c r="O5" s="140">
        <f>O9+O13+O17+O21</f>
        <v>2758375</v>
      </c>
      <c r="P5" s="89">
        <f>P9+P13+P17+P21</f>
        <v>1967946.0833333333</v>
      </c>
      <c r="Q5" s="177">
        <f>(O5-P5)/P5</f>
        <v>0.40165171361190327</v>
      </c>
      <c r="R5" s="140">
        <f>I5+L5+O5</f>
        <v>9039229</v>
      </c>
      <c r="S5" s="89">
        <f>J5+M5+P5</f>
        <v>6648233.583333333</v>
      </c>
      <c r="T5" s="177">
        <f>(R5-S5)/S5</f>
        <v>0.3596437138822452</v>
      </c>
      <c r="U5" s="140">
        <f>U9+U13+U17+U21</f>
        <v>2656038</v>
      </c>
      <c r="V5" s="89">
        <f>V9+V17+V21</f>
        <v>2875438</v>
      </c>
      <c r="W5" s="177">
        <f>(U5-V5)/V5</f>
        <v>-7.6301419122930147E-2</v>
      </c>
      <c r="X5" s="140">
        <f>X9+X13+X17+X21</f>
        <v>2689219</v>
      </c>
      <c r="Y5" s="89">
        <f>Y9+Y17+Y21</f>
        <v>2092145</v>
      </c>
      <c r="Z5" s="177">
        <f>(X5-Y5)/Y5</f>
        <v>0.28538844104973604</v>
      </c>
      <c r="AA5" s="140">
        <f>AA9+AA13+AA17+AA21</f>
        <v>2111069</v>
      </c>
      <c r="AB5" s="89">
        <f>AB9+AB17+AB21</f>
        <v>1796922</v>
      </c>
      <c r="AC5" s="177">
        <f>(AA5-AB5)/AB5</f>
        <v>0.17482506196707481</v>
      </c>
      <c r="AD5" s="140">
        <f>U5+X5+AA5</f>
        <v>7456326</v>
      </c>
      <c r="AE5" s="89">
        <f>AB5+Y5+V5</f>
        <v>6764505</v>
      </c>
      <c r="AF5" s="177">
        <f>(AD5-AE5)/AE5</f>
        <v>0.10227222834486781</v>
      </c>
      <c r="AG5" s="89">
        <f>AG9+AG17+AG21</f>
        <v>1282289</v>
      </c>
      <c r="AH5" s="89">
        <f>AH9+AH17+AH21</f>
        <v>2003195</v>
      </c>
      <c r="AI5" s="141"/>
      <c r="AJ5" s="140"/>
      <c r="AK5" s="89"/>
      <c r="AL5" s="141"/>
      <c r="AM5" s="140"/>
      <c r="AN5" s="89"/>
      <c r="AO5" s="141"/>
      <c r="AP5" s="140"/>
      <c r="AQ5" s="89"/>
      <c r="AR5" s="141"/>
      <c r="AS5" s="140"/>
      <c r="AT5" s="89"/>
      <c r="AU5" s="141"/>
      <c r="AV5" s="140"/>
      <c r="AW5" s="89"/>
      <c r="AX5" s="141"/>
      <c r="AY5" s="140"/>
      <c r="AZ5" s="89"/>
      <c r="BA5" s="141"/>
      <c r="BB5" s="140"/>
      <c r="BC5" s="89"/>
      <c r="BD5" s="141"/>
      <c r="BE5" s="107">
        <f>I5+L5+O5+U5+X5+AA5+AG5+AJ5+AM5+AS5+AV5+AY5</f>
        <v>17777844</v>
      </c>
      <c r="BF5" s="107">
        <f t="shared" ref="BF5" si="0">J5+M5+P5+V5+Y5+AB5+AH5+AK5+AN5+AT5+AW5+AZ5</f>
        <v>15415933.583333332</v>
      </c>
      <c r="BG5" s="85">
        <f>(BE5-BF5)/BF5</f>
        <v>0.15321228545121693</v>
      </c>
    </row>
    <row r="6" spans="1:59" ht="15" customHeight="1" x14ac:dyDescent="0.2">
      <c r="A6" s="325"/>
      <c r="B6" s="325"/>
      <c r="C6" s="48" t="s">
        <v>203</v>
      </c>
      <c r="D6" s="10"/>
      <c r="E6" s="10"/>
      <c r="F6" s="10"/>
      <c r="G6" s="11"/>
      <c r="H6" s="81"/>
      <c r="I6" s="212">
        <f>I10+I14+I18+I22</f>
        <v>3374999.833333333</v>
      </c>
      <c r="J6" s="232" t="s">
        <v>194</v>
      </c>
      <c r="K6" s="141"/>
      <c r="L6" s="212">
        <f>L10+L14+L18+L22</f>
        <v>3734999.833333333</v>
      </c>
      <c r="M6" s="232" t="s">
        <v>194</v>
      </c>
      <c r="N6" s="141"/>
      <c r="O6" s="212">
        <f>O10+O14+O18+O22</f>
        <v>3284999.833333333</v>
      </c>
      <c r="P6" s="232" t="s">
        <v>194</v>
      </c>
      <c r="Q6" s="141"/>
      <c r="R6" s="140">
        <f>I6+L6+O6</f>
        <v>10394999.5</v>
      </c>
      <c r="S6" s="232" t="s">
        <v>194</v>
      </c>
      <c r="T6" s="141"/>
      <c r="U6" s="140">
        <f>U10+U14+U18+U22</f>
        <v>3274999.833333333</v>
      </c>
      <c r="V6" s="89"/>
      <c r="W6" s="141"/>
      <c r="X6" s="140">
        <f>X10+X14+X18+X22</f>
        <v>3354999.833333333</v>
      </c>
      <c r="Y6" s="89"/>
      <c r="Z6" s="141"/>
      <c r="AA6" s="140">
        <f>AA10+AA14+AA18+AA22</f>
        <v>3060000</v>
      </c>
      <c r="AB6" s="89"/>
      <c r="AC6" s="141"/>
      <c r="AD6" s="140">
        <f>U6+X6+AA6</f>
        <v>9689999.666666666</v>
      </c>
      <c r="AE6" s="89"/>
      <c r="AF6" s="141"/>
      <c r="AG6" s="140">
        <f>AG10+AG14+AG18+AG22</f>
        <v>1090000</v>
      </c>
      <c r="AH6" s="89"/>
      <c r="AI6" s="141"/>
      <c r="AJ6" s="140"/>
      <c r="AK6" s="89"/>
      <c r="AL6" s="141"/>
      <c r="AM6" s="140"/>
      <c r="AN6" s="89"/>
      <c r="AO6" s="141"/>
      <c r="AP6" s="140"/>
      <c r="AQ6" s="89"/>
      <c r="AR6" s="141"/>
      <c r="AS6" s="140"/>
      <c r="AT6" s="89"/>
      <c r="AU6" s="141"/>
      <c r="AV6" s="140"/>
      <c r="AW6" s="89"/>
      <c r="AX6" s="141"/>
      <c r="AY6" s="140"/>
      <c r="AZ6" s="89"/>
      <c r="BA6" s="141"/>
      <c r="BB6" s="140"/>
      <c r="BC6" s="89"/>
      <c r="BD6" s="141"/>
      <c r="BE6" s="107">
        <f>I6+L6+O6+U6+X6+AA6+AG6+AJ6+AM6+AS6+AV6+AY6</f>
        <v>21174999.166666664</v>
      </c>
      <c r="BF6" s="89"/>
      <c r="BG6" s="141"/>
    </row>
    <row r="7" spans="1:59" x14ac:dyDescent="0.2">
      <c r="A7" s="325"/>
      <c r="B7" s="325"/>
      <c r="C7" s="48" t="s">
        <v>635</v>
      </c>
      <c r="D7" s="10"/>
      <c r="E7" s="10"/>
      <c r="F7" s="10"/>
      <c r="G7" s="11"/>
      <c r="H7" s="81"/>
      <c r="I7" s="136">
        <f>I5/I6</f>
        <v>0.85953248689049322</v>
      </c>
      <c r="J7" s="85"/>
      <c r="K7" s="137"/>
      <c r="L7" s="136">
        <f>L5/L6</f>
        <v>0.90493498013989204</v>
      </c>
      <c r="M7" s="85"/>
      <c r="N7" s="137"/>
      <c r="O7" s="136">
        <f>O5/O6</f>
        <v>0.83968801824901163</v>
      </c>
      <c r="P7" s="85"/>
      <c r="Q7" s="137"/>
      <c r="R7" s="136">
        <f>R5/R6</f>
        <v>0.86957474120128631</v>
      </c>
      <c r="S7" s="85"/>
      <c r="T7" s="137"/>
      <c r="U7" s="136">
        <f>U5/U6</f>
        <v>0.81100401073811768</v>
      </c>
      <c r="V7" s="85"/>
      <c r="W7" s="137"/>
      <c r="X7" s="136">
        <f>X5/X6</f>
        <v>0.80155562849257977</v>
      </c>
      <c r="Y7" s="85"/>
      <c r="Z7" s="137"/>
      <c r="AA7" s="136">
        <f>AA5/AA6</f>
        <v>0.68989183006535948</v>
      </c>
      <c r="AB7" s="85"/>
      <c r="AC7" s="137"/>
      <c r="AD7" s="136">
        <f>AD5/AD6</f>
        <v>0.7694867137766328</v>
      </c>
      <c r="AE7" s="85"/>
      <c r="AF7" s="137"/>
      <c r="AG7" s="136">
        <f>AG5/AG6</f>
        <v>1.1764119266055046</v>
      </c>
      <c r="AH7" s="85"/>
      <c r="AI7" s="137"/>
      <c r="AJ7" s="136"/>
      <c r="AK7" s="85"/>
      <c r="AL7" s="137"/>
      <c r="AM7" s="136"/>
      <c r="AN7" s="85"/>
      <c r="AO7" s="137"/>
      <c r="AP7" s="136"/>
      <c r="AQ7" s="85"/>
      <c r="AR7" s="137"/>
      <c r="AS7" s="136"/>
      <c r="AT7" s="85"/>
      <c r="AU7" s="137"/>
      <c r="AV7" s="136"/>
      <c r="AW7" s="85"/>
      <c r="AX7" s="137"/>
      <c r="AY7" s="136"/>
      <c r="AZ7" s="85"/>
      <c r="BA7" s="137"/>
      <c r="BB7" s="136"/>
      <c r="BC7" s="85"/>
      <c r="BD7" s="137"/>
      <c r="BE7" s="136">
        <f>BE5/BE6</f>
        <v>0.83956763634662102</v>
      </c>
      <c r="BF7" s="85"/>
      <c r="BG7" s="137"/>
    </row>
    <row r="8" spans="1:59" ht="4.5" customHeight="1" x14ac:dyDescent="0.25">
      <c r="A8" s="325"/>
      <c r="B8" s="44"/>
      <c r="C8" s="40"/>
      <c r="D8" s="40"/>
      <c r="E8" s="40"/>
      <c r="F8" s="40"/>
      <c r="G8" s="41"/>
      <c r="H8" s="29"/>
      <c r="I8" s="138"/>
      <c r="J8" s="41"/>
      <c r="K8" s="139"/>
      <c r="L8" s="138"/>
      <c r="M8" s="41"/>
      <c r="N8" s="139"/>
      <c r="O8" s="138"/>
      <c r="P8" s="41"/>
      <c r="Q8" s="139"/>
      <c r="R8" s="138"/>
      <c r="S8" s="41"/>
      <c r="T8" s="139"/>
      <c r="U8" s="138"/>
      <c r="V8" s="41"/>
      <c r="W8" s="139"/>
      <c r="X8" s="138"/>
      <c r="Y8" s="41"/>
      <c r="Z8" s="139"/>
      <c r="AA8" s="138"/>
      <c r="AB8" s="41"/>
      <c r="AC8" s="139"/>
      <c r="AD8" s="138"/>
      <c r="AE8" s="41"/>
      <c r="AF8" s="139"/>
      <c r="AG8" s="138"/>
      <c r="AH8" s="41"/>
      <c r="AI8" s="139"/>
      <c r="AJ8" s="138"/>
      <c r="AK8" s="41"/>
      <c r="AL8" s="139"/>
      <c r="AM8" s="138"/>
      <c r="AN8" s="41"/>
      <c r="AO8" s="139"/>
      <c r="AP8" s="138"/>
      <c r="AQ8" s="41"/>
      <c r="AR8" s="139"/>
      <c r="AS8" s="138"/>
      <c r="AT8" s="41"/>
      <c r="AU8" s="139"/>
      <c r="AV8" s="138"/>
      <c r="AW8" s="41"/>
      <c r="AX8" s="139"/>
      <c r="AY8" s="138"/>
      <c r="AZ8" s="41"/>
      <c r="BA8" s="139"/>
      <c r="BB8" s="138"/>
      <c r="BC8" s="41"/>
      <c r="BD8" s="139"/>
      <c r="BE8" s="138"/>
      <c r="BF8" s="41"/>
      <c r="BG8" s="139"/>
    </row>
    <row r="9" spans="1:59" x14ac:dyDescent="0.2">
      <c r="A9" s="325"/>
      <c r="B9" s="318" t="s">
        <v>64</v>
      </c>
      <c r="C9" s="48" t="s">
        <v>202</v>
      </c>
      <c r="D9" s="10"/>
      <c r="E9" s="10"/>
      <c r="F9" s="10"/>
      <c r="G9" s="11"/>
      <c r="H9" s="81"/>
      <c r="I9" s="142">
        <v>1216196</v>
      </c>
      <c r="J9" s="107">
        <v>1267987.5</v>
      </c>
      <c r="K9" s="177">
        <f>(I9-J9)/J9</f>
        <v>-4.0845434201835583E-2</v>
      </c>
      <c r="L9" s="142">
        <v>1745677</v>
      </c>
      <c r="M9" s="107">
        <v>1600837.5</v>
      </c>
      <c r="N9" s="177">
        <f>(L9-M9)/M9</f>
        <v>9.0477328273481844E-2</v>
      </c>
      <c r="O9" s="142">
        <v>1230998</v>
      </c>
      <c r="P9" s="107">
        <v>1186819</v>
      </c>
      <c r="Q9" s="177">
        <f>(O9-P9)/P9</f>
        <v>3.7224715815975307E-2</v>
      </c>
      <c r="R9" s="140">
        <f>I9+L9+O9</f>
        <v>4192871</v>
      </c>
      <c r="S9" s="107">
        <f>P9+M9+J9</f>
        <v>4055644</v>
      </c>
      <c r="T9" s="177">
        <f>(R9-S9)/S9</f>
        <v>3.3836056616409135E-2</v>
      </c>
      <c r="U9" s="142">
        <v>1213932</v>
      </c>
      <c r="V9" s="107">
        <f>1068775+837888</f>
        <v>1906663</v>
      </c>
      <c r="W9" s="177">
        <f>(U9-V9)/V9</f>
        <v>-0.36332115323997999</v>
      </c>
      <c r="X9" s="142">
        <f>1231202+196500</f>
        <v>1427702</v>
      </c>
      <c r="Y9" s="107">
        <v>1257967</v>
      </c>
      <c r="Z9" s="177">
        <f>(X9-Y9)/Y9</f>
        <v>0.13492802275417401</v>
      </c>
      <c r="AA9" s="142">
        <v>1081617</v>
      </c>
      <c r="AB9" s="107">
        <v>930637</v>
      </c>
      <c r="AC9" s="177">
        <f>(AA9-AB9)/AB9</f>
        <v>0.16223296516257144</v>
      </c>
      <c r="AD9" s="140">
        <f t="shared" ref="AD9:AD10" si="1">U9+X9+AA9</f>
        <v>3723251</v>
      </c>
      <c r="AE9" s="89">
        <f>AB9+Y9+V9</f>
        <v>4095267</v>
      </c>
      <c r="AF9" s="177">
        <f>(AD9-AE9)/AE9</f>
        <v>-9.0840475114321001E-2</v>
      </c>
      <c r="AG9" s="142">
        <f>1064206+215375+2708</f>
        <v>1282289</v>
      </c>
      <c r="AH9" s="107">
        <v>991424</v>
      </c>
      <c r="AI9" s="143"/>
      <c r="AJ9" s="142"/>
      <c r="AK9" s="107"/>
      <c r="AL9" s="143"/>
      <c r="AM9" s="142"/>
      <c r="AN9" s="107"/>
      <c r="AO9" s="143"/>
      <c r="AP9" s="142"/>
      <c r="AQ9" s="107"/>
      <c r="AR9" s="143"/>
      <c r="AS9" s="142"/>
      <c r="AT9" s="107"/>
      <c r="AU9" s="143"/>
      <c r="AV9" s="142"/>
      <c r="AW9" s="107"/>
      <c r="AX9" s="143"/>
      <c r="AY9" s="142"/>
      <c r="AZ9" s="107"/>
      <c r="BA9" s="143"/>
      <c r="BB9" s="142"/>
      <c r="BC9" s="107"/>
      <c r="BD9" s="143"/>
      <c r="BE9" s="107">
        <f>I9+L9+O9+U9+X9+AA9+AG9+AJ9+AM9+AS9+AV9+AY9</f>
        <v>9198411</v>
      </c>
      <c r="BF9" s="107">
        <f t="shared" ref="BF9" si="2">J9+M9+P9+V9+Y9+AB9+AH9+AK9+AN9+AT9+AW9+AZ9</f>
        <v>9142335</v>
      </c>
      <c r="BG9" s="85">
        <f>(BE9-BF9)/BF9</f>
        <v>6.1336627896483777E-3</v>
      </c>
    </row>
    <row r="10" spans="1:59" x14ac:dyDescent="0.2">
      <c r="A10" s="325"/>
      <c r="B10" s="319"/>
      <c r="C10" s="48" t="s">
        <v>203</v>
      </c>
      <c r="D10" s="10"/>
      <c r="E10" s="10"/>
      <c r="F10" s="10"/>
      <c r="G10" s="11"/>
      <c r="H10" s="81"/>
      <c r="I10" s="199">
        <f>1400000</f>
        <v>1400000</v>
      </c>
      <c r="J10" s="107"/>
      <c r="K10" s="143"/>
      <c r="L10" s="199">
        <v>1760000</v>
      </c>
      <c r="M10" s="107"/>
      <c r="N10" s="143"/>
      <c r="O10" s="199">
        <v>1310000</v>
      </c>
      <c r="P10" s="107"/>
      <c r="Q10" s="143"/>
      <c r="R10" s="140">
        <f>I10+L10+O10</f>
        <v>4470000</v>
      </c>
      <c r="S10" s="107" t="s">
        <v>194</v>
      </c>
      <c r="T10" s="143"/>
      <c r="U10" s="88">
        <v>1300000</v>
      </c>
      <c r="V10" s="107"/>
      <c r="W10" s="143"/>
      <c r="X10" s="142">
        <v>1380000</v>
      </c>
      <c r="Y10" s="107"/>
      <c r="Z10" s="143"/>
      <c r="AA10" s="142">
        <v>1020000</v>
      </c>
      <c r="AB10" s="107"/>
      <c r="AC10" s="143"/>
      <c r="AD10" s="140">
        <f t="shared" si="1"/>
        <v>3700000</v>
      </c>
      <c r="AE10" s="107"/>
      <c r="AF10" s="143"/>
      <c r="AG10" s="142">
        <v>1090000</v>
      </c>
      <c r="AH10" s="107"/>
      <c r="AI10" s="143"/>
      <c r="AJ10" s="142"/>
      <c r="AK10" s="107"/>
      <c r="AL10" s="143"/>
      <c r="AM10" s="142"/>
      <c r="AN10" s="107"/>
      <c r="AO10" s="143"/>
      <c r="AP10" s="142"/>
      <c r="AQ10" s="107"/>
      <c r="AR10" s="143"/>
      <c r="AS10" s="142"/>
      <c r="AT10" s="107"/>
      <c r="AU10" s="143"/>
      <c r="AV10" s="142"/>
      <c r="AW10" s="107"/>
      <c r="AX10" s="143"/>
      <c r="AY10" s="142"/>
      <c r="AZ10" s="107"/>
      <c r="BA10" s="143"/>
      <c r="BB10" s="142"/>
      <c r="BC10" s="107"/>
      <c r="BD10" s="143"/>
      <c r="BE10" s="107">
        <f>I10+L10+O10+U10+X10+AA10+AG10+AJ10+AM10+AS10+AV10+AY10</f>
        <v>9260000</v>
      </c>
      <c r="BF10" s="89"/>
      <c r="BG10" s="141"/>
    </row>
    <row r="11" spans="1:59" x14ac:dyDescent="0.2">
      <c r="A11" s="325"/>
      <c r="B11" s="319"/>
      <c r="C11" s="48" t="s">
        <v>635</v>
      </c>
      <c r="D11" s="10"/>
      <c r="E11" s="10"/>
      <c r="F11" s="10"/>
      <c r="G11" s="11"/>
      <c r="H11" s="81"/>
      <c r="I11" s="136">
        <f>I9/I10</f>
        <v>0.86871142857142858</v>
      </c>
      <c r="J11" s="85"/>
      <c r="K11" s="137"/>
      <c r="L11" s="136">
        <f>L9/L10</f>
        <v>0.99186193181818183</v>
      </c>
      <c r="M11" s="85"/>
      <c r="N11" s="137"/>
      <c r="O11" s="136">
        <f>O9/O10</f>
        <v>0.9396931297709924</v>
      </c>
      <c r="P11" s="85"/>
      <c r="Q11" s="137"/>
      <c r="R11" s="136">
        <f>R9/R10</f>
        <v>0.93800246085011185</v>
      </c>
      <c r="S11" s="85"/>
      <c r="T11" s="137"/>
      <c r="U11" s="136">
        <f>U9/U10</f>
        <v>0.9337938461538462</v>
      </c>
      <c r="V11" s="85"/>
      <c r="W11" s="137"/>
      <c r="X11" s="136">
        <f>X9/X10</f>
        <v>1.0345666666666666</v>
      </c>
      <c r="Y11" s="85"/>
      <c r="Z11" s="137"/>
      <c r="AA11" s="136">
        <f>AA9/AA10</f>
        <v>1.0604088235294118</v>
      </c>
      <c r="AB11" s="85"/>
      <c r="AC11" s="137"/>
      <c r="AD11" s="136">
        <f>AD9/AD10</f>
        <v>1.0062840540540541</v>
      </c>
      <c r="AE11" s="85"/>
      <c r="AF11" s="137"/>
      <c r="AG11" s="136">
        <f>AG9/AG10</f>
        <v>1.1764119266055046</v>
      </c>
      <c r="AH11" s="85"/>
      <c r="AI11" s="137"/>
      <c r="AJ11" s="136"/>
      <c r="AK11" s="85"/>
      <c r="AL11" s="137"/>
      <c r="AM11" s="136"/>
      <c r="AN11" s="85"/>
      <c r="AO11" s="137"/>
      <c r="AP11" s="136"/>
      <c r="AQ11" s="85"/>
      <c r="AR11" s="137"/>
      <c r="AS11" s="136"/>
      <c r="AT11" s="85"/>
      <c r="AU11" s="137"/>
      <c r="AV11" s="136"/>
      <c r="AW11" s="85"/>
      <c r="AX11" s="137"/>
      <c r="AY11" s="136"/>
      <c r="AZ11" s="85"/>
      <c r="BA11" s="137"/>
      <c r="BB11" s="136"/>
      <c r="BC11" s="85"/>
      <c r="BD11" s="137"/>
      <c r="BE11" s="136">
        <f>BE9/BE10</f>
        <v>0.99334892008639308</v>
      </c>
      <c r="BF11" s="85"/>
      <c r="BG11" s="137"/>
    </row>
    <row r="12" spans="1:59" ht="4.5" customHeight="1" x14ac:dyDescent="0.25">
      <c r="A12" s="325"/>
      <c r="B12" s="44"/>
      <c r="C12" s="40"/>
      <c r="D12" s="40"/>
      <c r="E12" s="40"/>
      <c r="F12" s="40"/>
      <c r="G12" s="41"/>
      <c r="H12" s="29"/>
      <c r="I12" s="138"/>
      <c r="J12" s="41"/>
      <c r="K12" s="139"/>
      <c r="L12" s="138"/>
      <c r="M12" s="41"/>
      <c r="N12" s="139"/>
      <c r="O12" s="138"/>
      <c r="P12" s="41"/>
      <c r="Q12" s="139"/>
      <c r="R12" s="138"/>
      <c r="S12" s="41"/>
      <c r="T12" s="139"/>
      <c r="U12" s="138"/>
      <c r="V12" s="41"/>
      <c r="W12" s="139"/>
      <c r="X12" s="138"/>
      <c r="Y12" s="41"/>
      <c r="Z12" s="139"/>
      <c r="AA12" s="138"/>
      <c r="AB12" s="41"/>
      <c r="AC12" s="139"/>
      <c r="AD12" s="138"/>
      <c r="AE12" s="41"/>
      <c r="AF12" s="139"/>
      <c r="AG12" s="138"/>
      <c r="AH12" s="41"/>
      <c r="AI12" s="139"/>
      <c r="AJ12" s="138"/>
      <c r="AK12" s="41"/>
      <c r="AL12" s="139"/>
      <c r="AM12" s="138"/>
      <c r="AN12" s="41"/>
      <c r="AO12" s="139"/>
      <c r="AP12" s="138"/>
      <c r="AQ12" s="41"/>
      <c r="AR12" s="139"/>
      <c r="AS12" s="138"/>
      <c r="AT12" s="41"/>
      <c r="AU12" s="139"/>
      <c r="AV12" s="138"/>
      <c r="AW12" s="41"/>
      <c r="AX12" s="139"/>
      <c r="AY12" s="138"/>
      <c r="AZ12" s="41"/>
      <c r="BA12" s="139"/>
      <c r="BB12" s="138"/>
      <c r="BC12" s="41"/>
      <c r="BD12" s="139"/>
      <c r="BE12" s="138"/>
      <c r="BF12" s="41"/>
      <c r="BG12" s="139"/>
    </row>
    <row r="13" spans="1:59" x14ac:dyDescent="0.2">
      <c r="A13" s="325"/>
      <c r="B13" s="318" t="s">
        <v>65</v>
      </c>
      <c r="C13" s="48" t="s">
        <v>202</v>
      </c>
      <c r="D13" s="10"/>
      <c r="E13" s="10"/>
      <c r="F13" s="10"/>
      <c r="G13" s="11"/>
      <c r="H13" s="81"/>
      <c r="I13" s="142">
        <v>761534</v>
      </c>
      <c r="J13" s="107" t="s">
        <v>194</v>
      </c>
      <c r="K13" s="143" t="s">
        <v>194</v>
      </c>
      <c r="L13" s="142">
        <v>694990</v>
      </c>
      <c r="M13" s="107" t="s">
        <v>194</v>
      </c>
      <c r="N13" s="143" t="s">
        <v>194</v>
      </c>
      <c r="O13" s="142">
        <v>667166</v>
      </c>
      <c r="P13" s="107"/>
      <c r="Q13" s="143" t="s">
        <v>194</v>
      </c>
      <c r="R13" s="140">
        <f>I13+L13+O13</f>
        <v>2123690</v>
      </c>
      <c r="S13" s="107" t="s">
        <v>194</v>
      </c>
      <c r="T13" s="143" t="s">
        <v>194</v>
      </c>
      <c r="U13" s="142">
        <v>614577</v>
      </c>
      <c r="V13" s="107" t="s">
        <v>194</v>
      </c>
      <c r="W13" s="143"/>
      <c r="X13" s="142">
        <v>572525</v>
      </c>
      <c r="Y13" s="107">
        <v>0</v>
      </c>
      <c r="Z13" s="143"/>
      <c r="AA13" s="142">
        <v>354420</v>
      </c>
      <c r="AB13" s="107"/>
      <c r="AC13" s="143"/>
      <c r="AD13" s="140">
        <f t="shared" ref="AD13:AD14" si="3">U13+X13+AA13</f>
        <v>1541522</v>
      </c>
      <c r="AE13" s="107"/>
      <c r="AF13" s="143"/>
      <c r="AG13" s="142">
        <v>0</v>
      </c>
      <c r="AH13" s="107">
        <v>0</v>
      </c>
      <c r="AI13" s="143"/>
      <c r="AJ13" s="142"/>
      <c r="AK13" s="107"/>
      <c r="AL13" s="143"/>
      <c r="AM13" s="142"/>
      <c r="AN13" s="107"/>
      <c r="AO13" s="143"/>
      <c r="AP13" s="142"/>
      <c r="AQ13" s="107"/>
      <c r="AR13" s="143"/>
      <c r="AS13" s="142"/>
      <c r="AT13" s="107"/>
      <c r="AU13" s="143"/>
      <c r="AV13" s="142"/>
      <c r="AW13" s="107"/>
      <c r="AX13" s="143"/>
      <c r="AY13" s="142"/>
      <c r="AZ13" s="107"/>
      <c r="BA13" s="143"/>
      <c r="BB13" s="142"/>
      <c r="BC13" s="107"/>
      <c r="BD13" s="143"/>
      <c r="BE13" s="107">
        <f>I13+L13+O13+U13+X13+AA13+AG13+AJ13+AM13+AS13+AV13+AY13</f>
        <v>3665212</v>
      </c>
      <c r="BF13" s="107" t="s">
        <v>194</v>
      </c>
      <c r="BG13" s="143" t="s">
        <v>194</v>
      </c>
    </row>
    <row r="14" spans="1:59" x14ac:dyDescent="0.2">
      <c r="A14" s="325"/>
      <c r="B14" s="319"/>
      <c r="C14" s="48" t="s">
        <v>203</v>
      </c>
      <c r="D14" s="10"/>
      <c r="E14" s="10"/>
      <c r="F14" s="10"/>
      <c r="G14" s="11"/>
      <c r="H14" s="81"/>
      <c r="I14" s="142">
        <v>750000</v>
      </c>
      <c r="J14" s="107"/>
      <c r="K14" s="143"/>
      <c r="L14" s="142">
        <v>750000</v>
      </c>
      <c r="M14" s="107"/>
      <c r="N14" s="143"/>
      <c r="O14" s="142">
        <v>750000</v>
      </c>
      <c r="P14" s="107">
        <v>0</v>
      </c>
      <c r="Q14" s="143"/>
      <c r="R14" s="140">
        <f>I14+L14+O14</f>
        <v>2250000</v>
      </c>
      <c r="S14" s="107" t="s">
        <v>194</v>
      </c>
      <c r="T14" s="143"/>
      <c r="U14" s="88">
        <v>750000</v>
      </c>
      <c r="V14" s="107"/>
      <c r="W14" s="143"/>
      <c r="X14" s="11">
        <v>750000</v>
      </c>
      <c r="Y14" s="107"/>
      <c r="Z14" s="143"/>
      <c r="AA14" s="142">
        <v>780000</v>
      </c>
      <c r="AB14" s="107"/>
      <c r="AC14" s="143"/>
      <c r="AD14" s="140">
        <f t="shared" si="3"/>
        <v>2280000</v>
      </c>
      <c r="AE14" s="107"/>
      <c r="AF14" s="143"/>
      <c r="AG14" s="142">
        <v>0</v>
      </c>
      <c r="AH14" s="107"/>
      <c r="AI14" s="143"/>
      <c r="AJ14" s="142"/>
      <c r="AK14" s="107"/>
      <c r="AL14" s="143"/>
      <c r="AM14" s="142"/>
      <c r="AN14" s="107"/>
      <c r="AO14" s="143"/>
      <c r="AP14" s="142"/>
      <c r="AQ14" s="107"/>
      <c r="AR14" s="143"/>
      <c r="AS14" s="142"/>
      <c r="AT14" s="107"/>
      <c r="AU14" s="143"/>
      <c r="AV14" s="142"/>
      <c r="AW14" s="107"/>
      <c r="AX14" s="143"/>
      <c r="AY14" s="142"/>
      <c r="AZ14" s="107"/>
      <c r="BA14" s="143"/>
      <c r="BB14" s="142"/>
      <c r="BC14" s="107"/>
      <c r="BD14" s="143"/>
      <c r="BE14" s="107">
        <f>I14+L14+O14+U14+X14+AA14+AG14+AJ14+AM14+AS14+AV14+AY14</f>
        <v>4530000</v>
      </c>
      <c r="BF14" s="107"/>
      <c r="BG14" s="143"/>
    </row>
    <row r="15" spans="1:59" x14ac:dyDescent="0.2">
      <c r="A15" s="325"/>
      <c r="B15" s="319"/>
      <c r="C15" s="48" t="s">
        <v>635</v>
      </c>
      <c r="D15" s="10"/>
      <c r="E15" s="10"/>
      <c r="F15" s="10"/>
      <c r="G15" s="11"/>
      <c r="H15" s="81"/>
      <c r="I15" s="136">
        <f>I13/I14</f>
        <v>1.0153786666666667</v>
      </c>
      <c r="J15" s="85"/>
      <c r="K15" s="137"/>
      <c r="L15" s="136">
        <f>L13/L14</f>
        <v>0.92665333333333333</v>
      </c>
      <c r="M15" s="85"/>
      <c r="N15" s="137"/>
      <c r="O15" s="136">
        <f>O13/O14</f>
        <v>0.88955466666666672</v>
      </c>
      <c r="P15" s="85"/>
      <c r="Q15" s="137"/>
      <c r="R15" s="136">
        <f>R13/R14</f>
        <v>0.94386222222222227</v>
      </c>
      <c r="S15" s="85"/>
      <c r="T15" s="137"/>
      <c r="U15" s="136">
        <f>U13/U14</f>
        <v>0.81943600000000005</v>
      </c>
      <c r="V15" s="85"/>
      <c r="W15" s="137"/>
      <c r="X15" s="136">
        <f>X13/X14</f>
        <v>0.76336666666666664</v>
      </c>
      <c r="Y15" s="85"/>
      <c r="Z15" s="137"/>
      <c r="AA15" s="136">
        <f>AA13/AA14</f>
        <v>0.45438461538461539</v>
      </c>
      <c r="AB15" s="85"/>
      <c r="AC15" s="137"/>
      <c r="AD15" s="136">
        <f>AD13/AD14</f>
        <v>0.67610614035087724</v>
      </c>
      <c r="AE15" s="85"/>
      <c r="AF15" s="137"/>
      <c r="AG15" s="136" t="e">
        <f>AG13/AG14</f>
        <v>#DIV/0!</v>
      </c>
      <c r="AH15" s="85"/>
      <c r="AI15" s="137"/>
      <c r="AJ15" s="136"/>
      <c r="AK15" s="85"/>
      <c r="AL15" s="137"/>
      <c r="AM15" s="136"/>
      <c r="AN15" s="85"/>
      <c r="AO15" s="137"/>
      <c r="AP15" s="136"/>
      <c r="AQ15" s="85"/>
      <c r="AR15" s="137"/>
      <c r="AS15" s="136"/>
      <c r="AT15" s="85"/>
      <c r="AU15" s="137"/>
      <c r="AV15" s="136"/>
      <c r="AW15" s="85"/>
      <c r="AX15" s="137"/>
      <c r="AY15" s="136"/>
      <c r="AZ15" s="85"/>
      <c r="BA15" s="137"/>
      <c r="BB15" s="136"/>
      <c r="BC15" s="85"/>
      <c r="BD15" s="137"/>
      <c r="BE15" s="136">
        <f>BE13/BE14</f>
        <v>0.80909757174392938</v>
      </c>
      <c r="BF15" s="85"/>
      <c r="BG15" s="137"/>
    </row>
    <row r="16" spans="1:59" ht="5.25" customHeight="1" x14ac:dyDescent="0.25">
      <c r="A16" s="325"/>
      <c r="B16" s="44"/>
      <c r="C16" s="40"/>
      <c r="D16" s="40"/>
      <c r="E16" s="40"/>
      <c r="F16" s="40"/>
      <c r="G16" s="41"/>
      <c r="H16" s="29"/>
      <c r="I16" s="138"/>
      <c r="J16" s="41"/>
      <c r="K16" s="139"/>
      <c r="L16" s="138"/>
      <c r="M16" s="41"/>
      <c r="N16" s="139"/>
      <c r="O16" s="138"/>
      <c r="P16" s="41"/>
      <c r="Q16" s="139"/>
      <c r="R16" s="138"/>
      <c r="S16" s="41"/>
      <c r="T16" s="139"/>
      <c r="U16" s="138"/>
      <c r="V16" s="41"/>
      <c r="W16" s="139"/>
      <c r="X16" s="138"/>
      <c r="Y16" s="41"/>
      <c r="Z16" s="139"/>
      <c r="AA16" s="138"/>
      <c r="AB16" s="41"/>
      <c r="AC16" s="139"/>
      <c r="AD16" s="138"/>
      <c r="AE16" s="41"/>
      <c r="AF16" s="139"/>
      <c r="AG16" s="138"/>
      <c r="AH16" s="41"/>
      <c r="AI16" s="139"/>
      <c r="AJ16" s="138"/>
      <c r="AK16" s="41"/>
      <c r="AL16" s="139"/>
      <c r="AM16" s="138"/>
      <c r="AN16" s="41"/>
      <c r="AO16" s="139"/>
      <c r="AP16" s="138"/>
      <c r="AQ16" s="41"/>
      <c r="AR16" s="139"/>
      <c r="AS16" s="138"/>
      <c r="AT16" s="41"/>
      <c r="AU16" s="139"/>
      <c r="AV16" s="138"/>
      <c r="AW16" s="41"/>
      <c r="AX16" s="139"/>
      <c r="AY16" s="138"/>
      <c r="AZ16" s="41"/>
      <c r="BA16" s="139"/>
      <c r="BB16" s="138"/>
      <c r="BC16" s="41"/>
      <c r="BD16" s="139"/>
      <c r="BE16" s="138"/>
      <c r="BF16" s="41"/>
      <c r="BG16" s="139"/>
    </row>
    <row r="17" spans="1:59" x14ac:dyDescent="0.2">
      <c r="A17" s="325"/>
      <c r="B17" s="318" t="s">
        <v>66</v>
      </c>
      <c r="C17" s="48" t="s">
        <v>202</v>
      </c>
      <c r="D17" s="10"/>
      <c r="E17" s="10"/>
      <c r="F17" s="10"/>
      <c r="G17" s="11"/>
      <c r="H17" s="81"/>
      <c r="I17" s="142">
        <v>682196</v>
      </c>
      <c r="J17" s="107">
        <v>889422.91666666663</v>
      </c>
      <c r="K17" s="177">
        <f>(I17-J17)/J17</f>
        <v>-0.23299030504329818</v>
      </c>
      <c r="L17" s="142">
        <v>707555</v>
      </c>
      <c r="M17" s="107">
        <v>922039.58333333337</v>
      </c>
      <c r="N17" s="177">
        <f>(L17-M17)/M17</f>
        <v>-0.23261971309077026</v>
      </c>
      <c r="O17" s="142">
        <v>657846</v>
      </c>
      <c r="P17" s="107">
        <v>781127.08333333326</v>
      </c>
      <c r="Q17" s="177"/>
      <c r="R17" s="140">
        <f>I17+L17+O17</f>
        <v>2047597</v>
      </c>
      <c r="S17" s="107">
        <f>P17+M17+J17</f>
        <v>2592589.583333333</v>
      </c>
      <c r="T17" s="177">
        <f>(R17-S17)/S17</f>
        <v>-0.21021166899568713</v>
      </c>
      <c r="U17" s="88">
        <v>613614</v>
      </c>
      <c r="V17" s="107">
        <v>968775</v>
      </c>
      <c r="W17" s="177">
        <f>(U17-V17)/V17</f>
        <v>-0.36660834559108152</v>
      </c>
      <c r="X17" s="142">
        <v>559466</v>
      </c>
      <c r="Y17" s="107">
        <v>834178</v>
      </c>
      <c r="Z17" s="177">
        <f>(X17-Y17)/Y17</f>
        <v>-0.32932060063919211</v>
      </c>
      <c r="AA17" s="142">
        <v>544861</v>
      </c>
      <c r="AB17" s="107">
        <v>866285</v>
      </c>
      <c r="AC17" s="177">
        <f>(AA17-AB17)/AB17</f>
        <v>-0.37103724524838821</v>
      </c>
      <c r="AD17" s="140">
        <f t="shared" ref="AD17:AD18" si="4">U17+X17+AA17</f>
        <v>1717941</v>
      </c>
      <c r="AE17" s="89">
        <f>AB17+Y17+V17</f>
        <v>2669238</v>
      </c>
      <c r="AF17" s="177">
        <f>(AD17-AE17)/AE17</f>
        <v>-0.35639272331654204</v>
      </c>
      <c r="AG17" s="142">
        <v>0</v>
      </c>
      <c r="AH17" s="107">
        <v>899111</v>
      </c>
      <c r="AI17" s="143"/>
      <c r="AJ17" s="142"/>
      <c r="AK17" s="107"/>
      <c r="AL17" s="143"/>
      <c r="AM17" s="142"/>
      <c r="AN17" s="107"/>
      <c r="AO17" s="143"/>
      <c r="AP17" s="142"/>
      <c r="AQ17" s="107"/>
      <c r="AR17" s="143"/>
      <c r="AS17" s="142"/>
      <c r="AT17" s="107"/>
      <c r="AU17" s="143"/>
      <c r="AV17" s="142"/>
      <c r="AW17" s="107"/>
      <c r="AX17" s="143"/>
      <c r="AY17" s="142"/>
      <c r="AZ17" s="107"/>
      <c r="BA17" s="143"/>
      <c r="BB17" s="142"/>
      <c r="BC17" s="107"/>
      <c r="BD17" s="143"/>
      <c r="BE17" s="107">
        <f>I17+L17+O17+U17+X17+AA17+AG17+AJ17+AM17+AS17+AV17+AY17</f>
        <v>3765538</v>
      </c>
      <c r="BF17" s="107">
        <f t="shared" ref="BF17" si="5">J17+M17+P17+V17+Y17+AB17+AH17+AK17+AN17+AT17+AW17+AZ17</f>
        <v>6160938.583333333</v>
      </c>
      <c r="BG17" s="85">
        <f>(BE17-BF17)/BF17</f>
        <v>-0.38880448992194272</v>
      </c>
    </row>
    <row r="18" spans="1:59" x14ac:dyDescent="0.2">
      <c r="A18" s="325"/>
      <c r="B18" s="319"/>
      <c r="C18" s="48" t="s">
        <v>203</v>
      </c>
      <c r="D18" s="10"/>
      <c r="E18" s="10"/>
      <c r="F18" s="10"/>
      <c r="G18" s="11"/>
      <c r="H18" s="81"/>
      <c r="I18" s="142">
        <v>924999.83333333326</v>
      </c>
      <c r="J18" s="107"/>
      <c r="K18" s="143"/>
      <c r="L18" s="142">
        <v>924999.83333333326</v>
      </c>
      <c r="M18" s="107"/>
      <c r="N18" s="143"/>
      <c r="O18" s="142">
        <v>924999.83333333326</v>
      </c>
      <c r="P18" s="107"/>
      <c r="Q18" s="143"/>
      <c r="R18" s="140">
        <f>I18+L18+O18</f>
        <v>2774999.5</v>
      </c>
      <c r="S18" s="107" t="s">
        <v>194</v>
      </c>
      <c r="T18" s="143"/>
      <c r="U18" s="88">
        <v>924999.83333333326</v>
      </c>
      <c r="V18" s="107"/>
      <c r="W18" s="143"/>
      <c r="X18" s="142">
        <v>924999.83333333326</v>
      </c>
      <c r="Y18" s="107"/>
      <c r="Z18" s="143"/>
      <c r="AA18" s="142">
        <v>960000</v>
      </c>
      <c r="AB18" s="107"/>
      <c r="AC18" s="143"/>
      <c r="AD18" s="140">
        <f t="shared" si="4"/>
        <v>2809999.6666666665</v>
      </c>
      <c r="AE18" s="107"/>
      <c r="AF18" s="143"/>
      <c r="AG18" s="142">
        <v>0</v>
      </c>
      <c r="AH18" s="107"/>
      <c r="AI18" s="143"/>
      <c r="AJ18" s="142"/>
      <c r="AK18" s="107"/>
      <c r="AL18" s="143"/>
      <c r="AM18" s="142"/>
      <c r="AN18" s="107"/>
      <c r="AO18" s="143"/>
      <c r="AP18" s="142"/>
      <c r="AQ18" s="107"/>
      <c r="AR18" s="143"/>
      <c r="AS18" s="142"/>
      <c r="AT18" s="107"/>
      <c r="AU18" s="143"/>
      <c r="AV18" s="142"/>
      <c r="AW18" s="107"/>
      <c r="AX18" s="143"/>
      <c r="AY18" s="142"/>
      <c r="AZ18" s="107"/>
      <c r="BA18" s="143"/>
      <c r="BB18" s="142"/>
      <c r="BC18" s="107"/>
      <c r="BD18" s="143"/>
      <c r="BE18" s="107">
        <f>I18+L18+O18+U18+X18+AA18+AG18+AJ18+AM18+AS18+AV18+AY18</f>
        <v>5584999.166666666</v>
      </c>
      <c r="BF18" s="89"/>
      <c r="BG18" s="141"/>
    </row>
    <row r="19" spans="1:59" x14ac:dyDescent="0.2">
      <c r="A19" s="325"/>
      <c r="B19" s="319"/>
      <c r="C19" s="48" t="s">
        <v>635</v>
      </c>
      <c r="D19" s="10"/>
      <c r="E19" s="10"/>
      <c r="F19" s="10"/>
      <c r="G19" s="11"/>
      <c r="H19" s="81"/>
      <c r="I19" s="136">
        <f>I17/I18</f>
        <v>0.73750932207375175</v>
      </c>
      <c r="J19" s="85"/>
      <c r="K19" s="137"/>
      <c r="L19" s="136">
        <f t="shared" ref="L19" si="6">L17/L18</f>
        <v>0.76492446214855181</v>
      </c>
      <c r="M19" s="85"/>
      <c r="N19" s="137"/>
      <c r="O19" s="136">
        <f>O17/O18</f>
        <v>0.71118499300630511</v>
      </c>
      <c r="P19" s="85"/>
      <c r="Q19" s="137"/>
      <c r="R19" s="136">
        <f>R17/R18</f>
        <v>0.73787292574286956</v>
      </c>
      <c r="S19" s="85"/>
      <c r="T19" s="137"/>
      <c r="U19" s="136">
        <f>U17/U18</f>
        <v>0.66336660601200115</v>
      </c>
      <c r="V19" s="85"/>
      <c r="W19" s="137"/>
      <c r="X19" s="136">
        <f>X17/X18</f>
        <v>0.6048282170861653</v>
      </c>
      <c r="Y19" s="85"/>
      <c r="Z19" s="137"/>
      <c r="AA19" s="136">
        <f>AA17/AA18</f>
        <v>0.56756354166666667</v>
      </c>
      <c r="AB19" s="85"/>
      <c r="AC19" s="137"/>
      <c r="AD19" s="136">
        <f>AD17/AD18</f>
        <v>0.61136697643736382</v>
      </c>
      <c r="AE19" s="85"/>
      <c r="AF19" s="137"/>
      <c r="AG19" s="136" t="e">
        <f>AG17/AG18</f>
        <v>#DIV/0!</v>
      </c>
      <c r="AH19" s="85"/>
      <c r="AI19" s="137"/>
      <c r="AJ19" s="136"/>
      <c r="AK19" s="85"/>
      <c r="AL19" s="137"/>
      <c r="AM19" s="136"/>
      <c r="AN19" s="85"/>
      <c r="AO19" s="137"/>
      <c r="AP19" s="136"/>
      <c r="AQ19" s="85"/>
      <c r="AR19" s="137"/>
      <c r="AS19" s="136"/>
      <c r="AT19" s="85"/>
      <c r="AU19" s="137"/>
      <c r="AV19" s="136"/>
      <c r="AW19" s="85"/>
      <c r="AX19" s="137"/>
      <c r="AY19" s="136"/>
      <c r="AZ19" s="85"/>
      <c r="BA19" s="137"/>
      <c r="BB19" s="136"/>
      <c r="BC19" s="85"/>
      <c r="BD19" s="137"/>
      <c r="BE19" s="136">
        <f>BE17/BE18</f>
        <v>0.67422355628522179</v>
      </c>
      <c r="BF19" s="85"/>
      <c r="BG19" s="137"/>
    </row>
    <row r="20" spans="1:59" ht="3.75" customHeight="1" x14ac:dyDescent="0.25">
      <c r="A20" s="325"/>
      <c r="B20" s="44"/>
      <c r="C20" s="40"/>
      <c r="D20" s="40"/>
      <c r="E20" s="40"/>
      <c r="F20" s="40"/>
      <c r="G20" s="41"/>
      <c r="H20" s="29"/>
      <c r="I20" s="138"/>
      <c r="J20" s="41"/>
      <c r="K20" s="139"/>
      <c r="L20" s="138"/>
      <c r="M20" s="41"/>
      <c r="N20" s="139"/>
      <c r="O20" s="138"/>
      <c r="P20" s="41"/>
      <c r="Q20" s="139"/>
      <c r="R20" s="138"/>
      <c r="S20" s="41"/>
      <c r="T20" s="139"/>
      <c r="U20" s="138"/>
      <c r="V20" s="41"/>
      <c r="W20" s="139"/>
      <c r="X20" s="138"/>
      <c r="Y20" s="41"/>
      <c r="Z20" s="139"/>
      <c r="AA20" s="138"/>
      <c r="AB20" s="41"/>
      <c r="AC20" s="139"/>
      <c r="AD20" s="138"/>
      <c r="AE20" s="41"/>
      <c r="AF20" s="139"/>
      <c r="AG20" s="138"/>
      <c r="AH20" s="41"/>
      <c r="AI20" s="139"/>
      <c r="AJ20" s="138"/>
      <c r="AK20" s="41"/>
      <c r="AL20" s="139"/>
      <c r="AM20" s="138"/>
      <c r="AN20" s="41"/>
      <c r="AO20" s="139"/>
      <c r="AP20" s="138"/>
      <c r="AQ20" s="41"/>
      <c r="AR20" s="139"/>
      <c r="AS20" s="138"/>
      <c r="AT20" s="41"/>
      <c r="AU20" s="139"/>
      <c r="AV20" s="138"/>
      <c r="AW20" s="41"/>
      <c r="AX20" s="139"/>
      <c r="AY20" s="138"/>
      <c r="AZ20" s="41"/>
      <c r="BA20" s="139"/>
      <c r="BB20" s="138"/>
      <c r="BC20" s="41"/>
      <c r="BD20" s="139"/>
      <c r="BE20" s="138"/>
      <c r="BF20" s="41"/>
      <c r="BG20" s="139"/>
    </row>
    <row r="21" spans="1:59" x14ac:dyDescent="0.2">
      <c r="A21" s="325"/>
      <c r="B21" s="318" t="s">
        <v>67</v>
      </c>
      <c r="C21" s="48" t="s">
        <v>202</v>
      </c>
      <c r="D21" s="10"/>
      <c r="E21" s="10"/>
      <c r="F21" s="10"/>
      <c r="G21" s="11"/>
      <c r="H21" s="81"/>
      <c r="I21" s="142">
        <v>240996</v>
      </c>
      <c r="J21" s="107" t="s">
        <v>194</v>
      </c>
      <c r="K21" s="143" t="s">
        <v>194</v>
      </c>
      <c r="L21" s="142">
        <v>231710</v>
      </c>
      <c r="M21" s="107" t="s">
        <v>194</v>
      </c>
      <c r="N21" s="143" t="s">
        <v>194</v>
      </c>
      <c r="O21" s="142">
        <v>202365</v>
      </c>
      <c r="P21" s="107"/>
      <c r="Q21" s="143" t="s">
        <v>194</v>
      </c>
      <c r="R21" s="140">
        <f>I21+L21+O21</f>
        <v>675071</v>
      </c>
      <c r="S21" s="107" t="s">
        <v>194</v>
      </c>
      <c r="T21" s="143" t="s">
        <v>194</v>
      </c>
      <c r="U21" s="88">
        <v>213915</v>
      </c>
      <c r="V21" s="107">
        <v>0</v>
      </c>
      <c r="W21" s="143"/>
      <c r="X21" s="142">
        <v>129526</v>
      </c>
      <c r="Y21" s="107"/>
      <c r="Z21" s="143"/>
      <c r="AA21" s="142">
        <v>130171</v>
      </c>
      <c r="AB21" s="107"/>
      <c r="AC21" s="143"/>
      <c r="AD21" s="140">
        <f t="shared" ref="AD21:AD22" si="7">U21+X21+AA21</f>
        <v>473612</v>
      </c>
      <c r="AE21" s="107"/>
      <c r="AF21" s="143"/>
      <c r="AG21" s="142">
        <v>0</v>
      </c>
      <c r="AH21" s="107">
        <v>112660</v>
      </c>
      <c r="AI21" s="143"/>
      <c r="AJ21" s="142"/>
      <c r="AK21" s="107"/>
      <c r="AL21" s="143"/>
      <c r="AM21" s="142"/>
      <c r="AN21" s="107"/>
      <c r="AO21" s="143"/>
      <c r="AP21" s="142"/>
      <c r="AQ21" s="107"/>
      <c r="AR21" s="143"/>
      <c r="AS21" s="142"/>
      <c r="AT21" s="107"/>
      <c r="AU21" s="143"/>
      <c r="AV21" s="142"/>
      <c r="AW21" s="107"/>
      <c r="AX21" s="143"/>
      <c r="AY21" s="142"/>
      <c r="AZ21" s="107"/>
      <c r="BA21" s="143"/>
      <c r="BB21" s="142"/>
      <c r="BC21" s="107"/>
      <c r="BD21" s="143"/>
      <c r="BE21" s="107">
        <f>I21+L21+O21+U21+X21+AA21+AG21+AJ21+AM21+AS21+AV21+AY21</f>
        <v>1148683</v>
      </c>
      <c r="BF21" s="107" t="s">
        <v>194</v>
      </c>
      <c r="BG21" s="143" t="s">
        <v>194</v>
      </c>
    </row>
    <row r="22" spans="1:59" x14ac:dyDescent="0.25">
      <c r="A22" s="325"/>
      <c r="B22" s="319"/>
      <c r="C22" s="62" t="s">
        <v>633</v>
      </c>
      <c r="D22" s="10"/>
      <c r="E22" s="10"/>
      <c r="F22" s="10"/>
      <c r="G22" s="11"/>
      <c r="H22" s="81"/>
      <c r="I22" s="142">
        <v>300000</v>
      </c>
      <c r="J22" s="107"/>
      <c r="K22" s="143"/>
      <c r="L22" s="142">
        <v>300000</v>
      </c>
      <c r="M22" s="107"/>
      <c r="N22" s="143"/>
      <c r="O22" s="142">
        <v>300000</v>
      </c>
      <c r="P22" s="107">
        <v>0</v>
      </c>
      <c r="Q22" s="143"/>
      <c r="R22" s="140">
        <f>I22+L22+O22</f>
        <v>900000</v>
      </c>
      <c r="S22" s="107" t="s">
        <v>194</v>
      </c>
      <c r="T22" s="143"/>
      <c r="U22" s="88">
        <v>300000</v>
      </c>
      <c r="V22" s="107"/>
      <c r="W22" s="143"/>
      <c r="X22" s="142">
        <v>300000</v>
      </c>
      <c r="Y22" s="107"/>
      <c r="Z22" s="143"/>
      <c r="AA22" s="142">
        <v>300000</v>
      </c>
      <c r="AB22" s="107"/>
      <c r="AC22" s="143"/>
      <c r="AD22" s="140">
        <f t="shared" si="7"/>
        <v>900000</v>
      </c>
      <c r="AE22" s="107"/>
      <c r="AF22" s="143"/>
      <c r="AG22" s="142">
        <v>0</v>
      </c>
      <c r="AH22" s="107"/>
      <c r="AI22" s="143"/>
      <c r="AJ22" s="142"/>
      <c r="AK22" s="107"/>
      <c r="AL22" s="143"/>
      <c r="AM22" s="142"/>
      <c r="AN22" s="107"/>
      <c r="AO22" s="143"/>
      <c r="AP22" s="142"/>
      <c r="AQ22" s="107"/>
      <c r="AR22" s="143"/>
      <c r="AS22" s="142"/>
      <c r="AT22" s="107"/>
      <c r="AU22" s="143"/>
      <c r="AV22" s="142"/>
      <c r="AW22" s="107"/>
      <c r="AX22" s="143"/>
      <c r="AY22" s="142"/>
      <c r="AZ22" s="107"/>
      <c r="BA22" s="143"/>
      <c r="BB22" s="142"/>
      <c r="BC22" s="107"/>
      <c r="BD22" s="143"/>
      <c r="BE22" s="107">
        <f>I22+L22+O22+U22+X22+AA22+AG22+AJ22+AM22+AS22+AV22+AY22</f>
        <v>1800000</v>
      </c>
      <c r="BF22" s="107"/>
      <c r="BG22" s="143"/>
    </row>
    <row r="23" spans="1:59" x14ac:dyDescent="0.25">
      <c r="A23" s="325"/>
      <c r="B23" s="319"/>
      <c r="C23" s="62" t="s">
        <v>634</v>
      </c>
      <c r="D23" s="10"/>
      <c r="E23" s="10"/>
      <c r="F23" s="10"/>
      <c r="G23" s="11"/>
      <c r="H23" s="81"/>
      <c r="I23" s="202">
        <f>I21/I22</f>
        <v>0.80332000000000003</v>
      </c>
      <c r="J23" s="85"/>
      <c r="K23" s="137"/>
      <c r="L23" s="202">
        <f t="shared" ref="L23" si="8">L21/L22</f>
        <v>0.77236666666666665</v>
      </c>
      <c r="M23" s="85"/>
      <c r="N23" s="137"/>
      <c r="O23" s="136">
        <f>O21/O22</f>
        <v>0.67454999999999998</v>
      </c>
      <c r="P23" s="85"/>
      <c r="Q23" s="137"/>
      <c r="R23" s="202">
        <f>R21/R22</f>
        <v>0.75007888888888885</v>
      </c>
      <c r="S23" s="85"/>
      <c r="T23" s="137"/>
      <c r="U23" s="136">
        <f>U21/U22</f>
        <v>0.71304999999999996</v>
      </c>
      <c r="V23" s="85"/>
      <c r="W23" s="137"/>
      <c r="X23" s="136">
        <f>X21/X22</f>
        <v>0.43175333333333332</v>
      </c>
      <c r="Y23" s="85"/>
      <c r="Z23" s="137"/>
      <c r="AA23" s="136">
        <f>AA21/AA22</f>
        <v>0.43390333333333331</v>
      </c>
      <c r="AB23" s="85"/>
      <c r="AC23" s="137"/>
      <c r="AD23" s="136">
        <f>AD21/AD22</f>
        <v>0.52623555555555557</v>
      </c>
      <c r="AE23" s="85"/>
      <c r="AF23" s="137"/>
      <c r="AG23" s="136" t="e">
        <f>AG21/AG22</f>
        <v>#DIV/0!</v>
      </c>
      <c r="AH23" s="85"/>
      <c r="AI23" s="137"/>
      <c r="AJ23" s="136"/>
      <c r="AK23" s="85"/>
      <c r="AL23" s="137"/>
      <c r="AM23" s="136"/>
      <c r="AN23" s="85"/>
      <c r="AO23" s="137"/>
      <c r="AP23" s="136"/>
      <c r="AQ23" s="85"/>
      <c r="AR23" s="137"/>
      <c r="AS23" s="136"/>
      <c r="AT23" s="85"/>
      <c r="AU23" s="137"/>
      <c r="AV23" s="136"/>
      <c r="AW23" s="85"/>
      <c r="AX23" s="137"/>
      <c r="AY23" s="136"/>
      <c r="AZ23" s="85"/>
      <c r="BA23" s="137"/>
      <c r="BB23" s="136"/>
      <c r="BC23" s="85"/>
      <c r="BD23" s="137"/>
      <c r="BE23" s="136">
        <f>BE21/BE22</f>
        <v>0.63815722222222226</v>
      </c>
      <c r="BF23" s="85"/>
      <c r="BG23" s="137"/>
    </row>
    <row r="24" spans="1:59" ht="5.25" customHeight="1" x14ac:dyDescent="0.25">
      <c r="A24" s="325"/>
      <c r="B24" s="44"/>
      <c r="C24" s="40"/>
      <c r="D24" s="40"/>
      <c r="E24" s="40"/>
      <c r="F24" s="40"/>
      <c r="G24" s="41"/>
      <c r="H24" s="29"/>
      <c r="I24" s="138"/>
      <c r="J24" s="41"/>
      <c r="K24" s="139"/>
      <c r="L24" s="138"/>
      <c r="M24" s="41"/>
      <c r="N24" s="139"/>
      <c r="O24" s="138"/>
      <c r="P24" s="41"/>
      <c r="Q24" s="139"/>
      <c r="R24" s="138"/>
      <c r="S24" s="41"/>
      <c r="T24" s="139"/>
      <c r="U24" s="138"/>
      <c r="V24" s="41"/>
      <c r="W24" s="139"/>
      <c r="X24" s="138"/>
      <c r="Y24" s="41"/>
      <c r="Z24" s="139"/>
      <c r="AA24" s="138"/>
      <c r="AB24" s="41"/>
      <c r="AC24" s="139"/>
      <c r="AD24" s="138"/>
      <c r="AE24" s="41"/>
      <c r="AF24" s="139"/>
      <c r="AG24" s="138"/>
      <c r="AH24" s="41"/>
      <c r="AI24" s="139"/>
      <c r="AJ24" s="138"/>
      <c r="AK24" s="41"/>
      <c r="AL24" s="139"/>
      <c r="AM24" s="138"/>
      <c r="AN24" s="41"/>
      <c r="AO24" s="139"/>
      <c r="AP24" s="138"/>
      <c r="AQ24" s="41"/>
      <c r="AR24" s="139"/>
      <c r="AS24" s="138"/>
      <c r="AT24" s="41"/>
      <c r="AU24" s="139"/>
      <c r="AV24" s="138"/>
      <c r="AW24" s="41"/>
      <c r="AX24" s="139"/>
      <c r="AY24" s="138"/>
      <c r="AZ24" s="41"/>
      <c r="BA24" s="139"/>
      <c r="BB24" s="138"/>
      <c r="BC24" s="41"/>
      <c r="BD24" s="139"/>
      <c r="BE24" s="138"/>
      <c r="BF24" s="41"/>
      <c r="BG24" s="139"/>
    </row>
    <row r="25" spans="1:59" ht="22.5" customHeight="1" x14ac:dyDescent="0.25">
      <c r="A25" s="325"/>
      <c r="B25" s="323" t="s">
        <v>68</v>
      </c>
      <c r="C25" s="62" t="s">
        <v>636</v>
      </c>
      <c r="D25" s="10"/>
      <c r="E25" s="10"/>
      <c r="F25" s="10"/>
      <c r="G25" s="11"/>
      <c r="H25" s="81"/>
      <c r="I25" s="136">
        <f>I9/$I$5</f>
        <v>0.41924464015233776</v>
      </c>
      <c r="J25" s="85"/>
      <c r="K25" s="137"/>
      <c r="L25" s="136">
        <f>L9/$L$5</f>
        <v>0.51648287598685416</v>
      </c>
      <c r="M25" s="85"/>
      <c r="N25" s="137"/>
      <c r="O25" s="136">
        <f>O9/$O$5</f>
        <v>0.44627652150269631</v>
      </c>
      <c r="P25" s="85"/>
      <c r="Q25" s="137"/>
      <c r="R25" s="136">
        <f>(O25+L25+I25)/3</f>
        <v>0.46066801254729611</v>
      </c>
      <c r="S25" s="85"/>
      <c r="T25" s="137"/>
      <c r="U25" s="136">
        <f>U9/$O$5</f>
        <v>0.4400895454751439</v>
      </c>
      <c r="V25" s="85"/>
      <c r="W25" s="137"/>
      <c r="X25" s="136">
        <f>X9/X5</f>
        <v>0.53089837607126833</v>
      </c>
      <c r="Y25" s="85"/>
      <c r="Z25" s="137"/>
      <c r="AA25" s="136">
        <f>AA9/AA5</f>
        <v>0.51235511487308094</v>
      </c>
      <c r="AB25" s="85"/>
      <c r="AC25" s="137"/>
      <c r="AD25" s="136">
        <f>AD9/AD5</f>
        <v>0.4993412305202321</v>
      </c>
      <c r="AE25" s="85"/>
      <c r="AF25" s="137"/>
      <c r="AG25" s="136">
        <f>AG9/AG5</f>
        <v>1</v>
      </c>
      <c r="AH25" s="85"/>
      <c r="AI25" s="137"/>
      <c r="AJ25" s="136"/>
      <c r="AK25" s="85"/>
      <c r="AL25" s="137"/>
      <c r="AM25" s="136"/>
      <c r="AN25" s="85"/>
      <c r="AO25" s="137"/>
      <c r="AP25" s="136"/>
      <c r="AQ25" s="85"/>
      <c r="AR25" s="137"/>
      <c r="AS25" s="136"/>
      <c r="AT25" s="85"/>
      <c r="AU25" s="137"/>
      <c r="AV25" s="136"/>
      <c r="AW25" s="85"/>
      <c r="AX25" s="137"/>
      <c r="AY25" s="136"/>
      <c r="AZ25" s="85"/>
      <c r="BA25" s="137"/>
      <c r="BB25" s="136"/>
      <c r="BC25" s="85"/>
      <c r="BD25" s="137"/>
      <c r="BE25" s="136">
        <f>BE9/BE5</f>
        <v>0.51740869140262458</v>
      </c>
      <c r="BF25" s="85"/>
      <c r="BG25" s="137"/>
    </row>
    <row r="26" spans="1:59" x14ac:dyDescent="0.25">
      <c r="A26" s="325"/>
      <c r="B26" s="324"/>
      <c r="C26" s="62" t="s">
        <v>637</v>
      </c>
      <c r="D26" s="10"/>
      <c r="E26" s="10"/>
      <c r="F26" s="10"/>
      <c r="G26" s="11"/>
      <c r="H26" s="81"/>
      <c r="I26" s="136">
        <f>I13/$I$5</f>
        <v>0.26251446953761598</v>
      </c>
      <c r="J26" s="85"/>
      <c r="K26" s="137"/>
      <c r="L26" s="136">
        <f>L13/$L$5</f>
        <v>0.20562247997888716</v>
      </c>
      <c r="M26" s="85"/>
      <c r="N26" s="137"/>
      <c r="O26" s="136">
        <f>O13/$O$5</f>
        <v>0.2418692164770925</v>
      </c>
      <c r="P26" s="85"/>
      <c r="Q26" s="137"/>
      <c r="R26" s="136">
        <f t="shared" ref="R26:R28" si="9">(O26+L26+I26)/3</f>
        <v>0.23666872199786523</v>
      </c>
      <c r="S26" s="85"/>
      <c r="T26" s="137"/>
      <c r="U26" s="136">
        <f>U13/$O$5</f>
        <v>0.22280400598178277</v>
      </c>
      <c r="V26" s="85"/>
      <c r="W26" s="137"/>
      <c r="X26" s="136">
        <f>X13/X5</f>
        <v>0.21289638367124433</v>
      </c>
      <c r="Y26" s="85"/>
      <c r="Z26" s="137"/>
      <c r="AA26" s="136">
        <f>AA13/AA5</f>
        <v>0.16788650678874067</v>
      </c>
      <c r="AB26" s="85"/>
      <c r="AC26" s="137"/>
      <c r="AD26" s="136">
        <f>AD13/AD5</f>
        <v>0.2067401559427525</v>
      </c>
      <c r="AE26" s="85"/>
      <c r="AF26" s="137"/>
      <c r="AG26" s="136">
        <f>AG13/AG5</f>
        <v>0</v>
      </c>
      <c r="AH26" s="85"/>
      <c r="AI26" s="137"/>
      <c r="AJ26" s="136"/>
      <c r="AK26" s="85"/>
      <c r="AL26" s="137"/>
      <c r="AM26" s="136"/>
      <c r="AN26" s="85"/>
      <c r="AO26" s="137"/>
      <c r="AP26" s="136"/>
      <c r="AQ26" s="85"/>
      <c r="AR26" s="137"/>
      <c r="AS26" s="136"/>
      <c r="AT26" s="85"/>
      <c r="AU26" s="137"/>
      <c r="AV26" s="136"/>
      <c r="AW26" s="85"/>
      <c r="AX26" s="137"/>
      <c r="AY26" s="136"/>
      <c r="AZ26" s="85"/>
      <c r="BA26" s="137"/>
      <c r="BB26" s="136"/>
      <c r="BC26" s="85"/>
      <c r="BD26" s="137"/>
      <c r="BE26" s="136">
        <f>BE13/BE5</f>
        <v>0.20616740702640882</v>
      </c>
      <c r="BF26" s="85"/>
      <c r="BG26" s="137"/>
    </row>
    <row r="27" spans="1:59" x14ac:dyDescent="0.25">
      <c r="A27" s="325"/>
      <c r="B27" s="324"/>
      <c r="C27" s="62" t="s">
        <v>638</v>
      </c>
      <c r="D27" s="10"/>
      <c r="E27" s="10"/>
      <c r="F27" s="10"/>
      <c r="G27" s="11"/>
      <c r="H27" s="81"/>
      <c r="I27" s="136">
        <f>I17/$I$5</f>
        <v>0.23516523367398365</v>
      </c>
      <c r="J27" s="85"/>
      <c r="K27" s="137"/>
      <c r="L27" s="136">
        <f>L17/$L$5</f>
        <v>0.2093400103907416</v>
      </c>
      <c r="M27" s="85"/>
      <c r="N27" s="137"/>
      <c r="O27" s="136">
        <f>O17/$O$5</f>
        <v>0.23849041555263514</v>
      </c>
      <c r="P27" s="85"/>
      <c r="Q27" s="137"/>
      <c r="R27" s="136">
        <f t="shared" si="9"/>
        <v>0.22766521987245347</v>
      </c>
      <c r="S27" s="85"/>
      <c r="T27" s="137"/>
      <c r="U27" s="136">
        <f>U17/$O$5</f>
        <v>0.22245488738840802</v>
      </c>
      <c r="V27" s="85"/>
      <c r="W27" s="137"/>
      <c r="X27" s="136">
        <f>X17/X5</f>
        <v>0.20804032694994345</v>
      </c>
      <c r="Y27" s="85"/>
      <c r="Z27" s="137"/>
      <c r="AA27" s="136">
        <f>AA17/AA5</f>
        <v>0.25809720099153555</v>
      </c>
      <c r="AB27" s="85"/>
      <c r="AC27" s="137"/>
      <c r="AD27" s="136">
        <f>AD17/AD5</f>
        <v>0.23040046800528841</v>
      </c>
      <c r="AE27" s="85"/>
      <c r="AF27" s="137"/>
      <c r="AG27" s="136">
        <f>AG17/AG5</f>
        <v>0</v>
      </c>
      <c r="AH27" s="85"/>
      <c r="AI27" s="137"/>
      <c r="AJ27" s="136"/>
      <c r="AK27" s="85"/>
      <c r="AL27" s="137"/>
      <c r="AM27" s="136"/>
      <c r="AN27" s="85"/>
      <c r="AO27" s="137"/>
      <c r="AP27" s="136"/>
      <c r="AQ27" s="85"/>
      <c r="AR27" s="137"/>
      <c r="AS27" s="136"/>
      <c r="AT27" s="85"/>
      <c r="AU27" s="137"/>
      <c r="AV27" s="136"/>
      <c r="AW27" s="85"/>
      <c r="AX27" s="137"/>
      <c r="AY27" s="136"/>
      <c r="AZ27" s="85"/>
      <c r="BA27" s="137"/>
      <c r="BB27" s="136"/>
      <c r="BC27" s="85"/>
      <c r="BD27" s="137"/>
      <c r="BE27" s="136">
        <f>BE17/BE5</f>
        <v>0.21181072350505495</v>
      </c>
      <c r="BF27" s="85"/>
      <c r="BG27" s="137"/>
    </row>
    <row r="28" spans="1:59" x14ac:dyDescent="0.25">
      <c r="A28" s="325"/>
      <c r="B28" s="324"/>
      <c r="C28" s="62" t="s">
        <v>639</v>
      </c>
      <c r="D28" s="10"/>
      <c r="E28" s="10"/>
      <c r="F28" s="10"/>
      <c r="G28" s="11"/>
      <c r="H28" s="81"/>
      <c r="I28" s="136">
        <f>I21/$I$5</f>
        <v>8.3075656636062603E-2</v>
      </c>
      <c r="J28" s="85"/>
      <c r="K28" s="137"/>
      <c r="L28" s="136">
        <f>L21/$L$5</f>
        <v>6.8554633643517091E-2</v>
      </c>
      <c r="M28" s="85"/>
      <c r="N28" s="137"/>
      <c r="O28" s="136">
        <f>O21/$O$5</f>
        <v>7.3363846467576016E-2</v>
      </c>
      <c r="P28" s="85"/>
      <c r="Q28" s="137"/>
      <c r="R28" s="136">
        <f t="shared" si="9"/>
        <v>7.4998045582385223E-2</v>
      </c>
      <c r="S28" s="85"/>
      <c r="T28" s="137"/>
      <c r="U28" s="136">
        <f>U21/$O$5</f>
        <v>7.7551094394344502E-2</v>
      </c>
      <c r="V28" s="85"/>
      <c r="W28" s="137"/>
      <c r="X28" s="136">
        <f>X21/X5</f>
        <v>4.8164913307543938E-2</v>
      </c>
      <c r="Y28" s="85"/>
      <c r="Z28" s="137"/>
      <c r="AA28" s="136">
        <f>AA21/AA5</f>
        <v>6.1661177346642865E-2</v>
      </c>
      <c r="AB28" s="85"/>
      <c r="AC28" s="137"/>
      <c r="AD28" s="136">
        <f>AD21/AD5</f>
        <v>6.3518145531727022E-2</v>
      </c>
      <c r="AE28" s="85"/>
      <c r="AF28" s="137"/>
      <c r="AG28" s="136">
        <f>AG21/AG5</f>
        <v>0</v>
      </c>
      <c r="AH28" s="85"/>
      <c r="AI28" s="137"/>
      <c r="AJ28" s="136"/>
      <c r="AK28" s="85"/>
      <c r="AL28" s="137"/>
      <c r="AM28" s="136"/>
      <c r="AN28" s="85"/>
      <c r="AO28" s="137"/>
      <c r="AP28" s="136"/>
      <c r="AQ28" s="85"/>
      <c r="AR28" s="137"/>
      <c r="AS28" s="136"/>
      <c r="AT28" s="85"/>
      <c r="AU28" s="137"/>
      <c r="AV28" s="136"/>
      <c r="AW28" s="85"/>
      <c r="AX28" s="137"/>
      <c r="AY28" s="136"/>
      <c r="AZ28" s="85"/>
      <c r="BA28" s="137"/>
      <c r="BB28" s="136"/>
      <c r="BC28" s="85"/>
      <c r="BD28" s="137"/>
      <c r="BE28" s="136">
        <f>BE21/BE5</f>
        <v>6.46131780659117E-2</v>
      </c>
      <c r="BF28" s="85"/>
      <c r="BG28" s="137"/>
    </row>
    <row r="29" spans="1:59" ht="5.25" customHeight="1" x14ac:dyDescent="0.25">
      <c r="A29" s="44"/>
      <c r="B29" s="44"/>
      <c r="C29" s="40"/>
      <c r="D29" s="40"/>
      <c r="E29" s="40"/>
      <c r="F29" s="40"/>
      <c r="G29" s="41"/>
      <c r="H29" s="29"/>
      <c r="I29" s="138"/>
      <c r="J29" s="41"/>
      <c r="K29" s="139"/>
      <c r="L29" s="138"/>
      <c r="M29" s="41"/>
      <c r="N29" s="139"/>
      <c r="O29" s="138"/>
      <c r="P29" s="41"/>
      <c r="Q29" s="139"/>
      <c r="R29" s="138"/>
      <c r="S29" s="41"/>
      <c r="T29" s="139"/>
      <c r="U29" s="138"/>
      <c r="V29" s="41"/>
      <c r="W29" s="139"/>
      <c r="X29" s="138"/>
      <c r="Y29" s="41"/>
      <c r="Z29" s="139"/>
      <c r="AA29" s="138"/>
      <c r="AB29" s="41"/>
      <c r="AC29" s="139"/>
      <c r="AD29" s="138"/>
      <c r="AE29" s="41"/>
      <c r="AF29" s="139"/>
      <c r="AG29" s="138"/>
      <c r="AH29" s="41"/>
      <c r="AI29" s="139"/>
      <c r="AJ29" s="138"/>
      <c r="AK29" s="41"/>
      <c r="AL29" s="139"/>
      <c r="AM29" s="138"/>
      <c r="AN29" s="41"/>
      <c r="AO29" s="139"/>
      <c r="AP29" s="138"/>
      <c r="AQ29" s="41"/>
      <c r="AR29" s="139"/>
      <c r="AS29" s="138"/>
      <c r="AT29" s="41"/>
      <c r="AU29" s="139"/>
      <c r="AV29" s="138"/>
      <c r="AW29" s="41"/>
      <c r="AX29" s="139"/>
      <c r="AY29" s="138"/>
      <c r="AZ29" s="41"/>
      <c r="BA29" s="139"/>
      <c r="BB29" s="138"/>
      <c r="BC29" s="41"/>
      <c r="BD29" s="139"/>
      <c r="BE29" s="138"/>
      <c r="BF29" s="41"/>
      <c r="BG29" s="139"/>
    </row>
    <row r="30" spans="1:59" ht="15" customHeight="1" x14ac:dyDescent="0.25">
      <c r="A30" s="326" t="s">
        <v>151</v>
      </c>
      <c r="B30" s="326"/>
      <c r="C30" s="103" t="s">
        <v>147</v>
      </c>
      <c r="D30" s="10"/>
      <c r="E30" s="10"/>
      <c r="F30" s="10"/>
      <c r="G30" s="11"/>
      <c r="H30" s="81"/>
      <c r="I30" s="233">
        <f>119880/1016821*100</f>
        <v>11.789685696892569</v>
      </c>
      <c r="J30" s="104"/>
      <c r="K30" s="147"/>
      <c r="L30" s="233">
        <f>184710/1546801*100</f>
        <v>11.94141974306973</v>
      </c>
      <c r="M30" s="104"/>
      <c r="N30" s="147"/>
      <c r="O30" s="233">
        <v>13.70807175453805</v>
      </c>
      <c r="P30" s="104"/>
      <c r="Q30" s="147"/>
      <c r="R30" s="233">
        <f>(O30+L30+I30)/3</f>
        <v>12.479725731500116</v>
      </c>
      <c r="S30" s="104"/>
      <c r="T30" s="147" t="s">
        <v>654</v>
      </c>
      <c r="U30" s="161">
        <v>0.1348</v>
      </c>
      <c r="V30" s="147" t="s">
        <v>653</v>
      </c>
      <c r="W30" s="147"/>
      <c r="X30" s="146"/>
      <c r="Y30" s="104"/>
      <c r="Z30" s="147"/>
      <c r="AA30" s="146"/>
      <c r="AB30" s="104"/>
      <c r="AC30" s="147"/>
      <c r="AD30" s="146"/>
      <c r="AE30" s="104"/>
      <c r="AF30" s="147"/>
      <c r="AG30" s="146"/>
      <c r="AH30" s="104"/>
      <c r="AI30" s="147"/>
      <c r="AJ30" s="146"/>
      <c r="AK30" s="104"/>
      <c r="AL30" s="147"/>
      <c r="AM30" s="146"/>
      <c r="AN30" s="104"/>
      <c r="AO30" s="147"/>
      <c r="AP30" s="146"/>
      <c r="AQ30" s="104"/>
      <c r="AR30" s="147"/>
      <c r="AS30" s="146"/>
      <c r="AT30" s="104"/>
      <c r="AU30" s="147"/>
      <c r="AV30" s="146"/>
      <c r="AW30" s="104"/>
      <c r="AX30" s="147"/>
      <c r="AY30" s="146"/>
      <c r="AZ30" s="104"/>
      <c r="BA30" s="147"/>
      <c r="BB30" s="146"/>
      <c r="BC30" s="104"/>
      <c r="BD30" s="147"/>
      <c r="BE30" s="146"/>
      <c r="BF30" s="104"/>
      <c r="BG30" s="147"/>
    </row>
    <row r="31" spans="1:59" ht="15" customHeight="1" x14ac:dyDescent="0.25">
      <c r="A31" s="326"/>
      <c r="B31" s="326"/>
      <c r="C31" s="103" t="s">
        <v>148</v>
      </c>
      <c r="D31" s="10"/>
      <c r="E31" s="10"/>
      <c r="F31" s="10"/>
      <c r="G31" s="11"/>
      <c r="H31" s="81"/>
      <c r="I31" s="233">
        <f>43220/1016821*100</f>
        <v>4.2505023007982725</v>
      </c>
      <c r="J31" s="104"/>
      <c r="K31" s="147"/>
      <c r="L31" s="233">
        <f>67700/1546801*100</f>
        <v>4.3767750344097269</v>
      </c>
      <c r="M31" s="104"/>
      <c r="N31" s="147"/>
      <c r="O31" s="233">
        <v>3.3762958403996417</v>
      </c>
      <c r="P31" s="104"/>
      <c r="Q31" s="147"/>
      <c r="R31" s="233">
        <f t="shared" ref="R31:R42" si="10">(O31+L31+I31)/3</f>
        <v>4.0011910585358805</v>
      </c>
      <c r="S31" s="104"/>
      <c r="T31" s="147"/>
      <c r="U31" s="161">
        <v>4.7500000000000001E-2</v>
      </c>
      <c r="V31" s="104"/>
      <c r="W31" s="147"/>
      <c r="X31" s="146"/>
      <c r="Y31" s="104"/>
      <c r="Z31" s="147"/>
      <c r="AA31" s="146"/>
      <c r="AB31" s="104"/>
      <c r="AC31" s="147"/>
      <c r="AD31" s="146"/>
      <c r="AE31" s="104"/>
      <c r="AF31" s="147"/>
      <c r="AG31" s="146"/>
      <c r="AH31" s="104"/>
      <c r="AI31" s="147"/>
      <c r="AJ31" s="146"/>
      <c r="AK31" s="104"/>
      <c r="AL31" s="147"/>
      <c r="AM31" s="146"/>
      <c r="AN31" s="104"/>
      <c r="AO31" s="147"/>
      <c r="AP31" s="146"/>
      <c r="AQ31" s="104"/>
      <c r="AR31" s="147"/>
      <c r="AS31" s="146"/>
      <c r="AT31" s="104"/>
      <c r="AU31" s="147"/>
      <c r="AV31" s="146"/>
      <c r="AW31" s="104"/>
      <c r="AX31" s="147"/>
      <c r="AY31" s="146"/>
      <c r="AZ31" s="104"/>
      <c r="BA31" s="147"/>
      <c r="BB31" s="146"/>
      <c r="BC31" s="104"/>
      <c r="BD31" s="147"/>
      <c r="BE31" s="146"/>
      <c r="BF31" s="104"/>
      <c r="BG31" s="147"/>
    </row>
    <row r="32" spans="1:59" ht="15" customHeight="1" x14ac:dyDescent="0.25">
      <c r="A32" s="326"/>
      <c r="B32" s="326"/>
      <c r="C32" s="103" t="s">
        <v>624</v>
      </c>
      <c r="D32" s="10"/>
      <c r="E32" s="10"/>
      <c r="F32" s="10"/>
      <c r="G32" s="11"/>
      <c r="H32" s="81"/>
      <c r="I32" s="233">
        <f>159978/1016821*100</f>
        <v>15.733152639451781</v>
      </c>
      <c r="J32" s="104"/>
      <c r="K32" s="147"/>
      <c r="L32" s="233">
        <f>321990/1546801*100</f>
        <v>20.816510979757577</v>
      </c>
      <c r="M32" s="104"/>
      <c r="N32" s="147"/>
      <c r="O32" s="233">
        <v>18.986179320333591</v>
      </c>
      <c r="P32" s="104"/>
      <c r="Q32" s="147"/>
      <c r="R32" s="233">
        <f t="shared" si="10"/>
        <v>18.511947646514319</v>
      </c>
      <c r="S32" s="104"/>
      <c r="T32" s="147" t="s">
        <v>650</v>
      </c>
      <c r="U32" s="161">
        <v>0.16539999999999999</v>
      </c>
      <c r="V32" s="147" t="s">
        <v>650</v>
      </c>
      <c r="W32" s="147"/>
      <c r="X32" s="146"/>
      <c r="Y32" s="104"/>
      <c r="Z32" s="147"/>
      <c r="AA32" s="146"/>
      <c r="AB32" s="104"/>
      <c r="AC32" s="147"/>
      <c r="AD32" s="146"/>
      <c r="AE32" s="104"/>
      <c r="AF32" s="147"/>
      <c r="AG32" s="146"/>
      <c r="AH32" s="104"/>
      <c r="AI32" s="147"/>
      <c r="AJ32" s="146"/>
      <c r="AK32" s="104"/>
      <c r="AL32" s="147"/>
      <c r="AM32" s="146"/>
      <c r="AN32" s="104"/>
      <c r="AO32" s="147"/>
      <c r="AP32" s="146"/>
      <c r="AQ32" s="104"/>
      <c r="AR32" s="147"/>
      <c r="AS32" s="146"/>
      <c r="AT32" s="104"/>
      <c r="AU32" s="147"/>
      <c r="AV32" s="146"/>
      <c r="AW32" s="104"/>
      <c r="AX32" s="147"/>
      <c r="AY32" s="146"/>
      <c r="AZ32" s="104"/>
      <c r="BA32" s="147"/>
      <c r="BB32" s="146"/>
      <c r="BC32" s="104"/>
      <c r="BD32" s="147"/>
      <c r="BE32" s="146"/>
      <c r="BF32" s="104"/>
      <c r="BG32" s="147"/>
    </row>
    <row r="33" spans="1:59" ht="15" customHeight="1" x14ac:dyDescent="0.25">
      <c r="A33" s="326"/>
      <c r="B33" s="326"/>
      <c r="C33" s="103" t="s">
        <v>625</v>
      </c>
      <c r="D33" s="10"/>
      <c r="E33" s="10"/>
      <c r="F33" s="10"/>
      <c r="G33" s="11"/>
      <c r="H33" s="81"/>
      <c r="I33" s="233">
        <f>136445/1016821*100</f>
        <v>13.418782656927815</v>
      </c>
      <c r="J33" s="104"/>
      <c r="K33" s="147"/>
      <c r="L33" s="233">
        <f>211411/1546801*100</f>
        <v>13.66762757458781</v>
      </c>
      <c r="M33" s="104"/>
      <c r="N33" s="147"/>
      <c r="O33" s="233">
        <v>16.88885696174146</v>
      </c>
      <c r="P33" s="104"/>
      <c r="Q33" s="147"/>
      <c r="R33" s="233">
        <f t="shared" si="10"/>
        <v>14.658422397752362</v>
      </c>
      <c r="S33" s="104"/>
      <c r="T33" s="147" t="s">
        <v>652</v>
      </c>
      <c r="U33" s="161">
        <v>0.15939999999999999</v>
      </c>
      <c r="V33" s="147" t="s">
        <v>651</v>
      </c>
      <c r="W33" s="147"/>
      <c r="X33" s="146"/>
      <c r="Y33" s="104"/>
      <c r="Z33" s="147"/>
      <c r="AA33" s="146"/>
      <c r="AB33" s="104"/>
      <c r="AC33" s="147"/>
      <c r="AD33" s="146"/>
      <c r="AE33" s="104"/>
      <c r="AF33" s="147"/>
      <c r="AG33" s="146"/>
      <c r="AH33" s="104"/>
      <c r="AI33" s="147"/>
      <c r="AJ33" s="146"/>
      <c r="AK33" s="104"/>
      <c r="AL33" s="147"/>
      <c r="AM33" s="146"/>
      <c r="AN33" s="104"/>
      <c r="AO33" s="147"/>
      <c r="AP33" s="146"/>
      <c r="AQ33" s="104"/>
      <c r="AR33" s="147"/>
      <c r="AS33" s="146"/>
      <c r="AT33" s="104"/>
      <c r="AU33" s="147"/>
      <c r="AV33" s="146"/>
      <c r="AW33" s="104"/>
      <c r="AX33" s="147"/>
      <c r="AY33" s="146"/>
      <c r="AZ33" s="104"/>
      <c r="BA33" s="147"/>
      <c r="BB33" s="146"/>
      <c r="BC33" s="104"/>
      <c r="BD33" s="147"/>
      <c r="BE33" s="146"/>
      <c r="BF33" s="104"/>
      <c r="BG33" s="147"/>
    </row>
    <row r="34" spans="1:59" ht="15" customHeight="1" x14ac:dyDescent="0.25">
      <c r="A34" s="326"/>
      <c r="B34" s="326"/>
      <c r="C34" s="103" t="s">
        <v>626</v>
      </c>
      <c r="D34" s="10"/>
      <c r="E34" s="10"/>
      <c r="F34" s="10"/>
      <c r="G34" s="11"/>
      <c r="H34" s="81"/>
      <c r="I34" s="233">
        <f>135694/1016821*100</f>
        <v>13.344925016300804</v>
      </c>
      <c r="J34" s="104"/>
      <c r="K34" s="147"/>
      <c r="L34" s="233">
        <f>197814/1546801*100</f>
        <v>12.788587542935387</v>
      </c>
      <c r="M34" s="104"/>
      <c r="N34" s="147"/>
      <c r="O34" s="233">
        <v>13.74690206897623</v>
      </c>
      <c r="P34" s="104"/>
      <c r="Q34" s="147"/>
      <c r="R34" s="233">
        <f>(O34+L34+I34)/3</f>
        <v>13.293471542737473</v>
      </c>
      <c r="S34" s="104"/>
      <c r="T34" s="147" t="s">
        <v>653</v>
      </c>
      <c r="U34" s="161">
        <v>0.1394</v>
      </c>
      <c r="V34" s="147" t="s">
        <v>652</v>
      </c>
      <c r="W34" s="147"/>
      <c r="X34" s="146"/>
      <c r="Y34" s="104"/>
      <c r="Z34" s="147"/>
      <c r="AA34" s="146"/>
      <c r="AB34" s="104"/>
      <c r="AC34" s="147"/>
      <c r="AD34" s="146"/>
      <c r="AE34" s="104"/>
      <c r="AF34" s="147"/>
      <c r="AG34" s="146"/>
      <c r="AH34" s="104"/>
      <c r="AI34" s="147"/>
      <c r="AJ34" s="146"/>
      <c r="AK34" s="104"/>
      <c r="AL34" s="147"/>
      <c r="AM34" s="146"/>
      <c r="AN34" s="104"/>
      <c r="AO34" s="147"/>
      <c r="AP34" s="146"/>
      <c r="AQ34" s="104"/>
      <c r="AR34" s="147"/>
      <c r="AS34" s="146"/>
      <c r="AT34" s="104"/>
      <c r="AU34" s="147"/>
      <c r="AV34" s="146"/>
      <c r="AW34" s="104"/>
      <c r="AX34" s="147"/>
      <c r="AY34" s="146"/>
      <c r="AZ34" s="104"/>
      <c r="BA34" s="147"/>
      <c r="BB34" s="146"/>
      <c r="BC34" s="104"/>
      <c r="BD34" s="147"/>
      <c r="BE34" s="146"/>
      <c r="BF34" s="104"/>
      <c r="BG34" s="147"/>
    </row>
    <row r="35" spans="1:59" ht="15" customHeight="1" x14ac:dyDescent="0.25">
      <c r="A35" s="326"/>
      <c r="B35" s="326"/>
      <c r="C35" s="103" t="s">
        <v>627</v>
      </c>
      <c r="D35" s="10"/>
      <c r="E35" s="10"/>
      <c r="F35" s="10"/>
      <c r="G35" s="11"/>
      <c r="H35" s="81"/>
      <c r="I35" s="233">
        <f>41580/1016821*100</f>
        <v>4.0892153092825581</v>
      </c>
      <c r="J35" s="104"/>
      <c r="K35" s="147"/>
      <c r="L35" s="233">
        <f>61980/1546801*100</f>
        <v>4.0069795662144001</v>
      </c>
      <c r="M35" s="104"/>
      <c r="N35" s="147"/>
      <c r="O35" s="233">
        <v>4.8858243141838402</v>
      </c>
      <c r="P35" s="104"/>
      <c r="Q35" s="147"/>
      <c r="R35" s="233">
        <f t="shared" si="10"/>
        <v>4.3273397298935992</v>
      </c>
      <c r="S35" s="104"/>
      <c r="T35" s="147"/>
      <c r="U35" s="161">
        <v>4.7500000000000001E-2</v>
      </c>
      <c r="V35" s="104"/>
      <c r="W35" s="147"/>
      <c r="X35" s="146"/>
      <c r="Y35" s="104"/>
      <c r="Z35" s="147"/>
      <c r="AA35" s="146"/>
      <c r="AB35" s="104"/>
      <c r="AC35" s="147"/>
      <c r="AD35" s="146"/>
      <c r="AE35" s="104"/>
      <c r="AF35" s="147"/>
      <c r="AG35" s="146"/>
      <c r="AH35" s="104"/>
      <c r="AI35" s="147"/>
      <c r="AJ35" s="146"/>
      <c r="AK35" s="104"/>
      <c r="AL35" s="147"/>
      <c r="AM35" s="146"/>
      <c r="AN35" s="104"/>
      <c r="AO35" s="147"/>
      <c r="AP35" s="146"/>
      <c r="AQ35" s="104"/>
      <c r="AR35" s="147"/>
      <c r="AS35" s="146"/>
      <c r="AT35" s="104"/>
      <c r="AU35" s="147"/>
      <c r="AV35" s="146"/>
      <c r="AW35" s="104"/>
      <c r="AX35" s="147"/>
      <c r="AY35" s="146"/>
      <c r="AZ35" s="104"/>
      <c r="BA35" s="147"/>
      <c r="BB35" s="146"/>
      <c r="BC35" s="104"/>
      <c r="BD35" s="147"/>
      <c r="BE35" s="146"/>
      <c r="BF35" s="104"/>
      <c r="BG35" s="147"/>
    </row>
    <row r="36" spans="1:59" ht="15" customHeight="1" x14ac:dyDescent="0.25">
      <c r="A36" s="326"/>
      <c r="B36" s="326"/>
      <c r="C36" s="103" t="s">
        <v>149</v>
      </c>
      <c r="D36" s="10"/>
      <c r="E36" s="10"/>
      <c r="F36" s="10"/>
      <c r="G36" s="11"/>
      <c r="H36" s="81"/>
      <c r="I36" s="233">
        <f>173255/1016821*100</f>
        <v>17.038888850643328</v>
      </c>
      <c r="J36" s="104"/>
      <c r="K36" s="147"/>
      <c r="L36" s="233">
        <f>254900/1546801*100</f>
        <v>16.479172175347699</v>
      </c>
      <c r="M36" s="104"/>
      <c r="N36" s="147"/>
      <c r="O36" s="233">
        <v>10.639506156060975</v>
      </c>
      <c r="P36" s="104"/>
      <c r="Q36" s="147"/>
      <c r="R36" s="233">
        <f t="shared" si="10"/>
        <v>14.719189060684002</v>
      </c>
      <c r="S36" s="104"/>
      <c r="T36" s="147" t="s">
        <v>651</v>
      </c>
      <c r="U36" s="161">
        <v>0.13339999999999999</v>
      </c>
      <c r="V36" s="147" t="s">
        <v>653</v>
      </c>
      <c r="W36" s="147"/>
      <c r="X36" s="146"/>
      <c r="Y36" s="104"/>
      <c r="Z36" s="147"/>
      <c r="AA36" s="146"/>
      <c r="AB36" s="104"/>
      <c r="AC36" s="147"/>
      <c r="AD36" s="146"/>
      <c r="AE36" s="104"/>
      <c r="AF36" s="147"/>
      <c r="AG36" s="146"/>
      <c r="AH36" s="104"/>
      <c r="AI36" s="147"/>
      <c r="AJ36" s="146"/>
      <c r="AK36" s="104"/>
      <c r="AL36" s="147"/>
      <c r="AM36" s="146"/>
      <c r="AN36" s="104"/>
      <c r="AO36" s="147"/>
      <c r="AP36" s="146"/>
      <c r="AQ36" s="104"/>
      <c r="AR36" s="147"/>
      <c r="AS36" s="146"/>
      <c r="AT36" s="104"/>
      <c r="AU36" s="147"/>
      <c r="AV36" s="146"/>
      <c r="AW36" s="104"/>
      <c r="AX36" s="147"/>
      <c r="AY36" s="146"/>
      <c r="AZ36" s="104"/>
      <c r="BA36" s="147"/>
      <c r="BB36" s="146"/>
      <c r="BC36" s="104"/>
      <c r="BD36" s="147"/>
      <c r="BE36" s="146"/>
      <c r="BF36" s="104"/>
      <c r="BG36" s="147"/>
    </row>
    <row r="37" spans="1:59" ht="15" customHeight="1" x14ac:dyDescent="0.25">
      <c r="A37" s="326"/>
      <c r="B37" s="326"/>
      <c r="C37" s="103" t="s">
        <v>150</v>
      </c>
      <c r="D37" s="10"/>
      <c r="E37" s="10"/>
      <c r="F37" s="10"/>
      <c r="G37" s="11"/>
      <c r="H37" s="81"/>
      <c r="I37" s="233">
        <f>47760/1016821*100</f>
        <v>4.696991899262505</v>
      </c>
      <c r="J37" s="104"/>
      <c r="K37" s="147"/>
      <c r="L37" s="233">
        <f>45420/1546801*100</f>
        <v>2.9363828960545022</v>
      </c>
      <c r="M37" s="104"/>
      <c r="N37" s="147"/>
      <c r="O37" s="233">
        <v>2.8200515860727311</v>
      </c>
      <c r="P37" s="104"/>
      <c r="Q37" s="147"/>
      <c r="R37" s="233">
        <f t="shared" si="10"/>
        <v>3.484475460463246</v>
      </c>
      <c r="S37" s="104"/>
      <c r="T37" s="147"/>
      <c r="U37" s="161">
        <v>3.5400000000000001E-2</v>
      </c>
      <c r="V37" s="104"/>
      <c r="W37" s="147"/>
      <c r="X37" s="146"/>
      <c r="Y37" s="104"/>
      <c r="Z37" s="147"/>
      <c r="AA37" s="146"/>
      <c r="AB37" s="104"/>
      <c r="AC37" s="147"/>
      <c r="AD37" s="146"/>
      <c r="AE37" s="104"/>
      <c r="AF37" s="147"/>
      <c r="AG37" s="146"/>
      <c r="AH37" s="104"/>
      <c r="AI37" s="147"/>
      <c r="AJ37" s="146"/>
      <c r="AK37" s="104"/>
      <c r="AL37" s="147"/>
      <c r="AM37" s="146"/>
      <c r="AN37" s="104"/>
      <c r="AO37" s="147"/>
      <c r="AP37" s="146"/>
      <c r="AQ37" s="104"/>
      <c r="AR37" s="147"/>
      <c r="AS37" s="146"/>
      <c r="AT37" s="104"/>
      <c r="AU37" s="147"/>
      <c r="AV37" s="146"/>
      <c r="AW37" s="104"/>
      <c r="AX37" s="147"/>
      <c r="AY37" s="146"/>
      <c r="AZ37" s="104"/>
      <c r="BA37" s="147"/>
      <c r="BB37" s="146"/>
      <c r="BC37" s="104"/>
      <c r="BD37" s="147"/>
      <c r="BE37" s="146"/>
      <c r="BF37" s="104"/>
      <c r="BG37" s="147"/>
    </row>
    <row r="38" spans="1:59" ht="15" customHeight="1" x14ac:dyDescent="0.25">
      <c r="A38" s="326"/>
      <c r="B38" s="326"/>
      <c r="C38" s="103" t="s">
        <v>628</v>
      </c>
      <c r="D38" s="10"/>
      <c r="E38" s="10"/>
      <c r="F38" s="10"/>
      <c r="G38" s="11"/>
      <c r="H38" s="81"/>
      <c r="I38" s="233">
        <f>35/1016821*100</f>
        <v>3.4421004286890222E-3</v>
      </c>
      <c r="J38" s="104"/>
      <c r="K38" s="147"/>
      <c r="L38" s="233">
        <f>0/1546801*100</f>
        <v>0</v>
      </c>
      <c r="M38" s="104"/>
      <c r="N38" s="147"/>
      <c r="O38" s="233">
        <v>4.8537893047723428E-4</v>
      </c>
      <c r="P38" s="104"/>
      <c r="Q38" s="147"/>
      <c r="R38" s="233">
        <f t="shared" si="10"/>
        <v>1.3091597863887524E-3</v>
      </c>
      <c r="S38" s="104"/>
      <c r="T38" s="147"/>
      <c r="U38" s="161"/>
      <c r="V38" s="104"/>
      <c r="W38" s="147"/>
      <c r="X38" s="146"/>
      <c r="Y38" s="104"/>
      <c r="Z38" s="147"/>
      <c r="AA38" s="146"/>
      <c r="AB38" s="104"/>
      <c r="AC38" s="147"/>
      <c r="AD38" s="146"/>
      <c r="AE38" s="104"/>
      <c r="AF38" s="147"/>
      <c r="AG38" s="146"/>
      <c r="AH38" s="104"/>
      <c r="AI38" s="147"/>
      <c r="AJ38" s="146"/>
      <c r="AK38" s="104"/>
      <c r="AL38" s="147"/>
      <c r="AM38" s="146"/>
      <c r="AN38" s="104"/>
      <c r="AO38" s="147"/>
      <c r="AP38" s="146"/>
      <c r="AQ38" s="104"/>
      <c r="AR38" s="147"/>
      <c r="AS38" s="146"/>
      <c r="AT38" s="104"/>
      <c r="AU38" s="147"/>
      <c r="AV38" s="146"/>
      <c r="AW38" s="104"/>
      <c r="AX38" s="147"/>
      <c r="AY38" s="146"/>
      <c r="AZ38" s="104"/>
      <c r="BA38" s="147"/>
      <c r="BB38" s="146"/>
      <c r="BC38" s="104"/>
      <c r="BD38" s="147"/>
      <c r="BE38" s="146"/>
      <c r="BF38" s="104"/>
      <c r="BG38" s="147"/>
    </row>
    <row r="39" spans="1:59" ht="15" customHeight="1" x14ac:dyDescent="0.25">
      <c r="A39" s="326"/>
      <c r="B39" s="326"/>
      <c r="C39" s="103" t="s">
        <v>629</v>
      </c>
      <c r="D39" s="10"/>
      <c r="E39" s="10"/>
      <c r="F39" s="10"/>
      <c r="G39" s="11"/>
      <c r="H39" s="81"/>
      <c r="I39" s="233">
        <f>25585/1016821*100</f>
        <v>2.5161754133716752</v>
      </c>
      <c r="J39" s="104"/>
      <c r="K39" s="147"/>
      <c r="L39" s="233">
        <f>33670/1546801*100</f>
        <v>2.1767505968770386</v>
      </c>
      <c r="M39" s="104"/>
      <c r="N39" s="147"/>
      <c r="O39" s="233">
        <v>2.8472328061794565</v>
      </c>
      <c r="P39" s="104"/>
      <c r="Q39" s="147"/>
      <c r="R39" s="233">
        <f t="shared" si="10"/>
        <v>2.5133862721427236</v>
      </c>
      <c r="S39" s="104"/>
      <c r="T39" s="147"/>
      <c r="U39" s="161">
        <v>2.8299999999999999E-2</v>
      </c>
      <c r="V39" s="104"/>
      <c r="W39" s="147"/>
      <c r="X39" s="146"/>
      <c r="Y39" s="104"/>
      <c r="Z39" s="147"/>
      <c r="AA39" s="146"/>
      <c r="AB39" s="104"/>
      <c r="AC39" s="147"/>
      <c r="AD39" s="146"/>
      <c r="AE39" s="104"/>
      <c r="AF39" s="147"/>
      <c r="AG39" s="146"/>
      <c r="AH39" s="104"/>
      <c r="AI39" s="147"/>
      <c r="AJ39" s="146"/>
      <c r="AK39" s="104"/>
      <c r="AL39" s="147"/>
      <c r="AM39" s="146"/>
      <c r="AN39" s="104"/>
      <c r="AO39" s="147"/>
      <c r="AP39" s="146"/>
      <c r="AQ39" s="104"/>
      <c r="AR39" s="147"/>
      <c r="AS39" s="146"/>
      <c r="AT39" s="104"/>
      <c r="AU39" s="147"/>
      <c r="AV39" s="146"/>
      <c r="AW39" s="104"/>
      <c r="AX39" s="147"/>
      <c r="AY39" s="146"/>
      <c r="AZ39" s="104"/>
      <c r="BA39" s="147"/>
      <c r="BB39" s="146"/>
      <c r="BC39" s="104"/>
      <c r="BD39" s="147"/>
      <c r="BE39" s="146"/>
      <c r="BF39" s="104"/>
      <c r="BG39" s="147"/>
    </row>
    <row r="40" spans="1:59" ht="15" customHeight="1" x14ac:dyDescent="0.25">
      <c r="A40" s="326"/>
      <c r="B40" s="326"/>
      <c r="C40" s="103" t="s">
        <v>630</v>
      </c>
      <c r="D40" s="10"/>
      <c r="E40" s="10"/>
      <c r="F40" s="10"/>
      <c r="G40" s="11"/>
      <c r="H40" s="81"/>
      <c r="I40" s="233">
        <f>133389/1016821*100</f>
        <v>13.118238116639999</v>
      </c>
      <c r="J40" s="104"/>
      <c r="K40" s="147"/>
      <c r="L40" s="233">
        <f>167205/1546801*100</f>
        <v>10.809729241188752</v>
      </c>
      <c r="M40" s="104"/>
      <c r="N40" s="147"/>
      <c r="O40" s="233">
        <v>10.832201591460437</v>
      </c>
      <c r="P40" s="104"/>
      <c r="Q40" s="147"/>
      <c r="R40" s="233">
        <f t="shared" si="10"/>
        <v>11.586722983096395</v>
      </c>
      <c r="S40" s="104"/>
      <c r="T40" s="147" t="s">
        <v>655</v>
      </c>
      <c r="U40" s="161">
        <v>8.5999999999999993E-2</v>
      </c>
      <c r="V40" s="147" t="s">
        <v>654</v>
      </c>
      <c r="W40" s="147"/>
      <c r="X40" s="146"/>
      <c r="Y40" s="104"/>
      <c r="Z40" s="147"/>
      <c r="AA40" s="146"/>
      <c r="AB40" s="104"/>
      <c r="AC40" s="147"/>
      <c r="AD40" s="146"/>
      <c r="AE40" s="104"/>
      <c r="AF40" s="147"/>
      <c r="AG40" s="146"/>
      <c r="AH40" s="104"/>
      <c r="AI40" s="147"/>
      <c r="AJ40" s="146"/>
      <c r="AK40" s="104"/>
      <c r="AL40" s="147"/>
      <c r="AM40" s="146"/>
      <c r="AN40" s="104"/>
      <c r="AO40" s="147"/>
      <c r="AP40" s="146"/>
      <c r="AQ40" s="104"/>
      <c r="AR40" s="147"/>
      <c r="AS40" s="146"/>
      <c r="AT40" s="104"/>
      <c r="AU40" s="147"/>
      <c r="AV40" s="146"/>
      <c r="AW40" s="104"/>
      <c r="AX40" s="147"/>
      <c r="AY40" s="146"/>
      <c r="AZ40" s="104"/>
      <c r="BA40" s="147"/>
      <c r="BB40" s="146"/>
      <c r="BC40" s="104"/>
      <c r="BD40" s="147"/>
      <c r="BE40" s="146"/>
      <c r="BF40" s="104"/>
      <c r="BG40" s="147"/>
    </row>
    <row r="41" spans="1:59" ht="15" customHeight="1" x14ac:dyDescent="0.25">
      <c r="A41" s="326"/>
      <c r="B41" s="326"/>
      <c r="C41" s="103" t="s">
        <v>631</v>
      </c>
      <c r="D41" s="10"/>
      <c r="E41" s="10"/>
      <c r="F41" s="10"/>
      <c r="G41" s="11"/>
      <c r="H41" s="81"/>
      <c r="I41" s="233"/>
      <c r="J41" s="104"/>
      <c r="K41" s="147"/>
      <c r="L41" s="233"/>
      <c r="M41" s="104"/>
      <c r="N41" s="147"/>
      <c r="O41" s="233">
        <v>0.14949671058698816</v>
      </c>
      <c r="P41" s="104"/>
      <c r="Q41" s="147"/>
      <c r="R41" s="233">
        <f t="shared" si="10"/>
        <v>4.9832236862329383E-2</v>
      </c>
      <c r="S41" s="104"/>
      <c r="T41" s="147"/>
      <c r="U41" s="161" t="s">
        <v>185</v>
      </c>
      <c r="V41" s="104"/>
      <c r="W41" s="147"/>
      <c r="X41" s="146"/>
      <c r="Y41" s="104"/>
      <c r="Z41" s="147"/>
      <c r="AA41" s="146"/>
      <c r="AB41" s="104"/>
      <c r="AC41" s="147"/>
      <c r="AD41" s="146"/>
      <c r="AE41" s="104"/>
      <c r="AF41" s="147"/>
      <c r="AG41" s="146"/>
      <c r="AH41" s="104"/>
      <c r="AI41" s="147"/>
      <c r="AJ41" s="146"/>
      <c r="AK41" s="104"/>
      <c r="AL41" s="147"/>
      <c r="AM41" s="146"/>
      <c r="AN41" s="104"/>
      <c r="AO41" s="147"/>
      <c r="AP41" s="146"/>
      <c r="AQ41" s="104"/>
      <c r="AR41" s="147"/>
      <c r="AS41" s="146"/>
      <c r="AT41" s="104"/>
      <c r="AU41" s="147"/>
      <c r="AV41" s="146"/>
      <c r="AW41" s="104"/>
      <c r="AX41" s="147"/>
      <c r="AY41" s="146"/>
      <c r="AZ41" s="104"/>
      <c r="BA41" s="147"/>
      <c r="BB41" s="146"/>
      <c r="BC41" s="104"/>
      <c r="BD41" s="147"/>
      <c r="BE41" s="146"/>
      <c r="BF41" s="104"/>
      <c r="BG41" s="147"/>
    </row>
    <row r="42" spans="1:59" ht="15" customHeight="1" x14ac:dyDescent="0.25">
      <c r="A42" s="326"/>
      <c r="B42" s="326"/>
      <c r="C42" s="103" t="s">
        <v>632</v>
      </c>
      <c r="D42" s="10"/>
      <c r="E42" s="10"/>
      <c r="F42" s="10"/>
      <c r="G42" s="11"/>
      <c r="H42" s="81"/>
      <c r="I42" s="233"/>
      <c r="J42" s="104"/>
      <c r="K42" s="147"/>
      <c r="L42" s="233"/>
      <c r="M42" s="104"/>
      <c r="N42" s="147"/>
      <c r="O42" s="233">
        <v>1.1188955105361205</v>
      </c>
      <c r="P42" s="104"/>
      <c r="Q42" s="147"/>
      <c r="R42" s="233">
        <f t="shared" si="10"/>
        <v>0.37296517017870684</v>
      </c>
      <c r="S42" s="104"/>
      <c r="T42" s="147"/>
      <c r="U42" s="161"/>
      <c r="V42" s="104"/>
      <c r="W42" s="147"/>
      <c r="X42" s="146"/>
      <c r="Y42" s="104"/>
      <c r="Z42" s="147"/>
      <c r="AA42" s="146"/>
      <c r="AB42" s="104"/>
      <c r="AC42" s="147"/>
      <c r="AD42" s="146"/>
      <c r="AE42" s="104"/>
      <c r="AF42" s="147"/>
      <c r="AG42" s="146"/>
      <c r="AH42" s="104"/>
      <c r="AI42" s="147"/>
      <c r="AJ42" s="146"/>
      <c r="AK42" s="104"/>
      <c r="AL42" s="147"/>
      <c r="AM42" s="146"/>
      <c r="AN42" s="104"/>
      <c r="AO42" s="147"/>
      <c r="AP42" s="146"/>
      <c r="AQ42" s="104"/>
      <c r="AR42" s="147"/>
      <c r="AS42" s="146"/>
      <c r="AT42" s="104"/>
      <c r="AU42" s="147"/>
      <c r="AV42" s="146"/>
      <c r="AW42" s="104"/>
      <c r="AX42" s="147"/>
      <c r="AY42" s="146"/>
      <c r="AZ42" s="104"/>
      <c r="BA42" s="147"/>
      <c r="BB42" s="146"/>
      <c r="BC42" s="104"/>
      <c r="BD42" s="147"/>
      <c r="BE42" s="146"/>
      <c r="BF42" s="104"/>
      <c r="BG42" s="147"/>
    </row>
    <row r="43" spans="1:59" x14ac:dyDescent="0.25">
      <c r="A43" s="326"/>
      <c r="B43" s="326"/>
      <c r="C43" s="103"/>
      <c r="D43" s="10"/>
      <c r="E43" s="10"/>
      <c r="F43" s="10"/>
      <c r="G43" s="11"/>
      <c r="H43" s="81"/>
      <c r="I43" s="146"/>
      <c r="J43" s="104"/>
      <c r="K43" s="147"/>
      <c r="L43" s="146"/>
      <c r="M43" s="104"/>
      <c r="N43" s="147"/>
      <c r="O43" s="146"/>
      <c r="P43" s="104"/>
      <c r="Q43" s="147"/>
      <c r="R43" s="146"/>
      <c r="S43" s="104"/>
      <c r="T43" s="147"/>
      <c r="U43" s="161">
        <v>2.29E-2</v>
      </c>
      <c r="V43" s="104"/>
      <c r="W43" s="147"/>
      <c r="X43" s="146"/>
      <c r="Y43" s="104"/>
      <c r="Z43" s="147"/>
      <c r="AA43" s="146"/>
      <c r="AB43" s="104"/>
      <c r="AC43" s="147"/>
      <c r="AD43" s="146"/>
      <c r="AE43" s="104"/>
      <c r="AF43" s="147"/>
      <c r="AG43" s="146"/>
      <c r="AH43" s="104"/>
      <c r="AI43" s="147"/>
      <c r="AJ43" s="146"/>
      <c r="AK43" s="104"/>
      <c r="AL43" s="147"/>
      <c r="AM43" s="146"/>
      <c r="AN43" s="104"/>
      <c r="AO43" s="147"/>
      <c r="AP43" s="146"/>
      <c r="AQ43" s="104"/>
      <c r="AR43" s="147"/>
      <c r="AS43" s="146"/>
      <c r="AT43" s="104"/>
      <c r="AU43" s="147"/>
      <c r="AV43" s="146"/>
      <c r="AW43" s="104"/>
      <c r="AX43" s="147"/>
      <c r="AY43" s="146"/>
      <c r="AZ43" s="104"/>
      <c r="BA43" s="147"/>
      <c r="BB43" s="146"/>
      <c r="BC43" s="104"/>
      <c r="BD43" s="147"/>
      <c r="BE43" s="146"/>
      <c r="BF43" s="104"/>
      <c r="BG43" s="147"/>
    </row>
    <row r="44" spans="1:59" ht="3.75" customHeight="1" x14ac:dyDescent="0.25">
      <c r="I44" s="148"/>
      <c r="J44" s="149"/>
      <c r="K44" s="150"/>
      <c r="L44" s="148"/>
      <c r="M44" s="149"/>
      <c r="N44" s="150"/>
      <c r="O44" s="148"/>
      <c r="P44" s="149"/>
      <c r="Q44" s="150"/>
      <c r="R44" s="148"/>
      <c r="S44" s="149"/>
      <c r="T44" s="150"/>
      <c r="U44" s="148"/>
      <c r="V44" s="149"/>
      <c r="W44" s="150"/>
      <c r="X44" s="148"/>
      <c r="Y44" s="149"/>
      <c r="Z44" s="150"/>
      <c r="AA44" s="148"/>
      <c r="AB44" s="149"/>
      <c r="AC44" s="150"/>
      <c r="AD44" s="148"/>
      <c r="AE44" s="149"/>
      <c r="AF44" s="150"/>
      <c r="AG44" s="148"/>
      <c r="AH44" s="149"/>
      <c r="AI44" s="150"/>
      <c r="AJ44" s="148"/>
      <c r="AK44" s="149"/>
      <c r="AL44" s="150"/>
      <c r="AM44" s="148"/>
      <c r="AN44" s="149"/>
      <c r="AO44" s="150"/>
      <c r="AP44" s="148"/>
      <c r="AQ44" s="149"/>
      <c r="AR44" s="150"/>
      <c r="AS44" s="148"/>
      <c r="AT44" s="149"/>
      <c r="AU44" s="150"/>
      <c r="AV44" s="148"/>
      <c r="AW44" s="149"/>
      <c r="AX44" s="150"/>
      <c r="AY44" s="148"/>
      <c r="AZ44" s="149"/>
      <c r="BA44" s="150"/>
      <c r="BB44" s="148"/>
      <c r="BC44" s="149"/>
      <c r="BD44" s="150"/>
      <c r="BE44" s="148"/>
      <c r="BF44" s="149"/>
      <c r="BG44" s="150"/>
    </row>
    <row r="45" spans="1:59" ht="15" customHeight="1" x14ac:dyDescent="0.25">
      <c r="A45" s="327" t="s">
        <v>152</v>
      </c>
      <c r="B45" s="328"/>
      <c r="C45" s="62" t="s">
        <v>26</v>
      </c>
      <c r="D45" s="10"/>
      <c r="E45" s="10"/>
      <c r="F45" s="10"/>
      <c r="G45" s="11"/>
      <c r="H45" s="81"/>
      <c r="I45" s="142">
        <f>'[1]TSF Prasadam Overall'!I75</f>
        <v>316042.09999999998</v>
      </c>
      <c r="J45" s="107"/>
      <c r="K45" s="143"/>
      <c r="L45" s="142">
        <f>'[1]TSF Prasadam Overall'!L75</f>
        <v>425652.7</v>
      </c>
      <c r="M45" s="107"/>
      <c r="N45" s="143"/>
      <c r="O45" s="142">
        <f>'HT Stores BSC'!O39</f>
        <v>338078</v>
      </c>
      <c r="P45" s="107"/>
      <c r="Q45" s="143"/>
      <c r="R45" s="142">
        <f>(O45+L45+I45)/3</f>
        <v>359924.2666666666</v>
      </c>
      <c r="S45" s="107"/>
      <c r="T45" s="143"/>
      <c r="U45" s="142">
        <v>275461</v>
      </c>
      <c r="V45" s="107"/>
      <c r="W45" s="143"/>
      <c r="X45" s="142">
        <v>360842</v>
      </c>
      <c r="Y45" s="107"/>
      <c r="Z45" s="143"/>
      <c r="AA45" s="142">
        <v>261765</v>
      </c>
      <c r="AB45" s="107"/>
      <c r="AC45" s="143"/>
      <c r="AD45" s="142"/>
      <c r="AE45" s="107"/>
      <c r="AF45" s="143"/>
      <c r="AG45" s="142">
        <v>343045</v>
      </c>
      <c r="AH45" s="107"/>
      <c r="AI45" s="143"/>
      <c r="AJ45" s="142"/>
      <c r="AK45" s="107"/>
      <c r="AL45" s="143"/>
      <c r="AM45" s="142"/>
      <c r="AN45" s="107"/>
      <c r="AO45" s="143"/>
      <c r="AP45" s="142"/>
      <c r="AQ45" s="107"/>
      <c r="AR45" s="143"/>
      <c r="AS45" s="142"/>
      <c r="AT45" s="107"/>
      <c r="AU45" s="143"/>
      <c r="AV45" s="142"/>
      <c r="AW45" s="107"/>
      <c r="AX45" s="143"/>
      <c r="AY45" s="142"/>
      <c r="AZ45" s="107"/>
      <c r="BA45" s="143"/>
      <c r="BB45" s="142"/>
      <c r="BC45" s="107"/>
      <c r="BD45" s="143"/>
      <c r="BE45" s="107">
        <f>I45+L45+O45+U45+X45+AA45+AG45+AJ45+AM45+AS45+AV45+AY45</f>
        <v>2320885.7999999998</v>
      </c>
      <c r="BF45" s="107"/>
      <c r="BG45" s="143"/>
    </row>
    <row r="46" spans="1:59" ht="15" customHeight="1" x14ac:dyDescent="0.25">
      <c r="A46" s="329"/>
      <c r="B46" s="330"/>
      <c r="C46" s="62" t="s">
        <v>656</v>
      </c>
      <c r="D46" s="10"/>
      <c r="E46" s="10"/>
      <c r="F46" s="10"/>
      <c r="G46" s="11"/>
      <c r="H46" s="81"/>
      <c r="I46" s="142">
        <f>I45/50</f>
        <v>6320.8419999999996</v>
      </c>
      <c r="J46" s="107"/>
      <c r="K46" s="143"/>
      <c r="L46" s="142">
        <f>L45/50</f>
        <v>8513.0540000000001</v>
      </c>
      <c r="M46" s="107"/>
      <c r="N46" s="143"/>
      <c r="O46" s="142">
        <f>O45/50</f>
        <v>6761.56</v>
      </c>
      <c r="P46" s="107"/>
      <c r="Q46" s="143"/>
      <c r="R46" s="142">
        <f t="shared" ref="R46:R47" si="11">(O46+L46+I46)/3</f>
        <v>7198.485333333334</v>
      </c>
      <c r="S46" s="107"/>
      <c r="T46" s="143"/>
      <c r="U46" s="142"/>
      <c r="V46" s="107"/>
      <c r="W46" s="143"/>
      <c r="X46" s="142"/>
      <c r="Y46" s="107"/>
      <c r="Z46" s="143"/>
      <c r="AA46" s="142"/>
      <c r="AB46" s="107"/>
      <c r="AC46" s="143"/>
      <c r="AD46" s="142"/>
      <c r="AE46" s="107"/>
      <c r="AF46" s="143"/>
      <c r="AG46" s="142"/>
      <c r="AH46" s="107"/>
      <c r="AI46" s="143"/>
      <c r="AJ46" s="142"/>
      <c r="AK46" s="107"/>
      <c r="AL46" s="143"/>
      <c r="AM46" s="142"/>
      <c r="AN46" s="107"/>
      <c r="AO46" s="143"/>
      <c r="AP46" s="142"/>
      <c r="AQ46" s="107"/>
      <c r="AR46" s="143"/>
      <c r="AS46" s="142"/>
      <c r="AT46" s="107"/>
      <c r="AU46" s="143"/>
      <c r="AV46" s="142"/>
      <c r="AW46" s="107"/>
      <c r="AX46" s="143"/>
      <c r="AY46" s="142"/>
      <c r="AZ46" s="107"/>
      <c r="BA46" s="143"/>
      <c r="BB46" s="142"/>
      <c r="BC46" s="107"/>
      <c r="BD46" s="143"/>
      <c r="BE46" s="107">
        <f>I46+L46+O46+U46+X46+AA46+AG46+AJ46+AM46+AS46+AV46+AY46</f>
        <v>21595.456000000002</v>
      </c>
      <c r="BF46" s="107"/>
      <c r="BG46" s="143"/>
    </row>
    <row r="47" spans="1:59" x14ac:dyDescent="0.25">
      <c r="A47" s="331"/>
      <c r="B47" s="332"/>
      <c r="C47" s="62" t="s">
        <v>657</v>
      </c>
      <c r="D47" s="10"/>
      <c r="E47" s="10"/>
      <c r="F47" s="10"/>
      <c r="G47" s="11"/>
      <c r="H47" s="81"/>
      <c r="I47" s="136">
        <f>I46/I45</f>
        <v>0.02</v>
      </c>
      <c r="J47" s="102"/>
      <c r="K47" s="152"/>
      <c r="L47" s="136">
        <f>L46/L45</f>
        <v>0.02</v>
      </c>
      <c r="M47" s="102"/>
      <c r="N47" s="152"/>
      <c r="O47" s="136">
        <f>O46/O45</f>
        <v>0.02</v>
      </c>
      <c r="P47" s="102"/>
      <c r="Q47" s="152"/>
      <c r="R47" s="136">
        <f t="shared" si="11"/>
        <v>0.02</v>
      </c>
      <c r="S47" s="102"/>
      <c r="T47" s="152"/>
      <c r="U47" s="136">
        <f>U46/U45</f>
        <v>0</v>
      </c>
      <c r="V47" s="102"/>
      <c r="W47" s="152"/>
      <c r="X47" s="161">
        <f>X46/X45</f>
        <v>0</v>
      </c>
      <c r="Y47" s="102"/>
      <c r="Z47" s="152"/>
      <c r="AA47" s="151"/>
      <c r="AB47" s="102"/>
      <c r="AC47" s="152"/>
      <c r="AD47" s="151"/>
      <c r="AE47" s="102"/>
      <c r="AF47" s="152"/>
      <c r="AG47" s="151"/>
      <c r="AH47" s="102"/>
      <c r="AI47" s="152"/>
      <c r="AJ47" s="151"/>
      <c r="AK47" s="102"/>
      <c r="AL47" s="152"/>
      <c r="AM47" s="151"/>
      <c r="AN47" s="102"/>
      <c r="AO47" s="152"/>
      <c r="AP47" s="151"/>
      <c r="AQ47" s="102"/>
      <c r="AR47" s="152"/>
      <c r="AS47" s="151"/>
      <c r="AT47" s="102"/>
      <c r="AU47" s="152"/>
      <c r="AV47" s="151"/>
      <c r="AW47" s="102"/>
      <c r="AX47" s="152"/>
      <c r="AY47" s="151"/>
      <c r="AZ47" s="102"/>
      <c r="BA47" s="152"/>
      <c r="BB47" s="151"/>
      <c r="BC47" s="102"/>
      <c r="BD47" s="152"/>
      <c r="BE47" s="107">
        <f>I47+L47+O47+U47+X47+AA47+AG47+AJ47+AM47+AS47+AV47+AY47</f>
        <v>0.06</v>
      </c>
      <c r="BF47" s="102"/>
      <c r="BG47" s="152"/>
    </row>
    <row r="48" spans="1:59" ht="3.75" customHeight="1" x14ac:dyDescent="0.25">
      <c r="I48" s="148"/>
      <c r="J48" s="149"/>
      <c r="K48" s="150"/>
      <c r="L48" s="148"/>
      <c r="M48" s="149"/>
      <c r="N48" s="150"/>
      <c r="O48" s="148"/>
      <c r="P48" s="149"/>
      <c r="Q48" s="150"/>
      <c r="R48" s="148"/>
      <c r="S48" s="149"/>
      <c r="T48" s="150"/>
      <c r="U48" s="148"/>
      <c r="V48" s="149"/>
      <c r="W48" s="150"/>
      <c r="X48" s="148"/>
      <c r="Y48" s="149"/>
      <c r="Z48" s="150"/>
      <c r="AA48" s="148"/>
      <c r="AB48" s="149"/>
      <c r="AC48" s="150"/>
      <c r="AD48" s="148"/>
      <c r="AE48" s="149"/>
      <c r="AF48" s="150"/>
      <c r="AG48" s="148"/>
      <c r="AH48" s="149"/>
      <c r="AI48" s="150"/>
      <c r="AJ48" s="148"/>
      <c r="AK48" s="149"/>
      <c r="AL48" s="150"/>
      <c r="AM48" s="148"/>
      <c r="AN48" s="149"/>
      <c r="AO48" s="150"/>
      <c r="AP48" s="148"/>
      <c r="AQ48" s="149"/>
      <c r="AR48" s="150"/>
      <c r="AS48" s="148"/>
      <c r="AT48" s="149"/>
      <c r="AU48" s="150"/>
      <c r="AV48" s="148"/>
      <c r="AW48" s="149"/>
      <c r="AX48" s="150"/>
      <c r="AY48" s="148"/>
      <c r="AZ48" s="149"/>
      <c r="BA48" s="150"/>
      <c r="BB48" s="148"/>
      <c r="BC48" s="149"/>
      <c r="BD48" s="150"/>
      <c r="BE48" s="148"/>
      <c r="BF48" s="149"/>
      <c r="BG48" s="150"/>
    </row>
    <row r="49" spans="1:59" ht="15" customHeight="1" x14ac:dyDescent="0.25">
      <c r="A49" s="326" t="s">
        <v>27</v>
      </c>
      <c r="B49" s="326"/>
      <c r="C49" s="61" t="s">
        <v>79</v>
      </c>
      <c r="D49" s="10"/>
      <c r="E49" s="10"/>
      <c r="F49" s="10"/>
      <c r="G49" s="11"/>
      <c r="H49" s="81"/>
      <c r="I49" s="142">
        <f>I9/7335</f>
        <v>165.80722563053851</v>
      </c>
      <c r="J49" s="107"/>
      <c r="K49" s="143"/>
      <c r="L49" s="142">
        <f>L9/7335</f>
        <v>237.99277436946147</v>
      </c>
      <c r="M49" s="107"/>
      <c r="N49" s="143"/>
      <c r="O49" s="142">
        <f>O9/7335</f>
        <v>167.82522154055897</v>
      </c>
      <c r="P49" s="107"/>
      <c r="Q49" s="143"/>
      <c r="R49" s="142">
        <f>(O49+L49+I49)/3</f>
        <v>190.54174051351967</v>
      </c>
      <c r="S49" s="107"/>
      <c r="T49" s="143"/>
      <c r="U49" s="142">
        <f>U9/7335</f>
        <v>165.49856850715747</v>
      </c>
      <c r="V49" s="107"/>
      <c r="W49" s="143"/>
      <c r="X49" s="142">
        <f>X9/7335</f>
        <v>194.6423994546694</v>
      </c>
      <c r="Y49" s="107"/>
      <c r="Z49" s="143"/>
      <c r="AA49" s="142"/>
      <c r="AB49" s="107"/>
      <c r="AC49" s="143"/>
      <c r="AD49" s="142"/>
      <c r="AE49" s="107"/>
      <c r="AF49" s="143"/>
      <c r="AG49" s="142"/>
      <c r="AH49" s="107"/>
      <c r="AI49" s="143"/>
      <c r="AJ49" s="142"/>
      <c r="AK49" s="107"/>
      <c r="AL49" s="143"/>
      <c r="AM49" s="142"/>
      <c r="AN49" s="107"/>
      <c r="AO49" s="143"/>
      <c r="AP49" s="142"/>
      <c r="AQ49" s="107"/>
      <c r="AR49" s="143"/>
      <c r="AS49" s="142"/>
      <c r="AT49" s="107"/>
      <c r="AU49" s="143"/>
      <c r="AV49" s="142"/>
      <c r="AW49" s="107"/>
      <c r="AX49" s="143"/>
      <c r="AY49" s="142"/>
      <c r="AZ49" s="107"/>
      <c r="BA49" s="143"/>
      <c r="BB49" s="142"/>
      <c r="BC49" s="107"/>
      <c r="BD49" s="143"/>
      <c r="BE49" s="296"/>
      <c r="BF49" s="107"/>
      <c r="BG49" s="143"/>
    </row>
    <row r="50" spans="1:59" ht="15" customHeight="1" x14ac:dyDescent="0.25">
      <c r="A50" s="326"/>
      <c r="B50" s="326"/>
      <c r="C50" s="61" t="s">
        <v>80</v>
      </c>
      <c r="D50" s="10"/>
      <c r="E50" s="10"/>
      <c r="F50" s="10"/>
      <c r="G50" s="11"/>
      <c r="H50" s="81"/>
      <c r="I50" s="153">
        <f>'[1]TSF Prasadam Overall'!I80</f>
        <v>2110.0112859561277</v>
      </c>
      <c r="J50" s="115"/>
      <c r="K50" s="154"/>
      <c r="L50" s="153">
        <f>'[1]TSF Prasadam Overall'!L80</f>
        <v>3593.650221076166</v>
      </c>
      <c r="M50" s="115"/>
      <c r="N50" s="154"/>
      <c r="O50" s="153"/>
      <c r="P50" s="115"/>
      <c r="Q50" s="154"/>
      <c r="R50" s="153"/>
      <c r="S50" s="115"/>
      <c r="T50" s="154"/>
      <c r="U50" s="153"/>
      <c r="V50" s="115"/>
      <c r="W50" s="154"/>
      <c r="X50" s="153"/>
      <c r="Y50" s="115"/>
      <c r="Z50" s="154"/>
      <c r="AA50" s="153"/>
      <c r="AB50" s="115"/>
      <c r="AC50" s="154"/>
      <c r="AD50" s="153"/>
      <c r="AE50" s="115"/>
      <c r="AF50" s="154"/>
      <c r="AG50" s="153"/>
      <c r="AH50" s="115"/>
      <c r="AI50" s="154"/>
      <c r="AJ50" s="153"/>
      <c r="AK50" s="115"/>
      <c r="AL50" s="154"/>
      <c r="AM50" s="153"/>
      <c r="AN50" s="115"/>
      <c r="AO50" s="154"/>
      <c r="AP50" s="153"/>
      <c r="AQ50" s="115"/>
      <c r="AR50" s="154"/>
      <c r="AS50" s="153"/>
      <c r="AT50" s="115"/>
      <c r="AU50" s="154"/>
      <c r="AV50" s="153"/>
      <c r="AW50" s="115"/>
      <c r="AX50" s="154"/>
      <c r="AY50" s="153"/>
      <c r="AZ50" s="115"/>
      <c r="BA50" s="154"/>
      <c r="BB50" s="153"/>
      <c r="BC50" s="115"/>
      <c r="BD50" s="154"/>
      <c r="BE50" s="296"/>
      <c r="BF50" s="115"/>
      <c r="BG50" s="154"/>
    </row>
    <row r="51" spans="1:59" ht="3.75" customHeight="1" x14ac:dyDescent="0.25">
      <c r="I51" s="148"/>
      <c r="J51" s="149"/>
      <c r="K51" s="150"/>
      <c r="L51" s="148"/>
      <c r="M51" s="149"/>
      <c r="N51" s="150"/>
      <c r="O51" s="148"/>
      <c r="P51" s="149"/>
      <c r="Q51" s="150"/>
      <c r="R51" s="148"/>
      <c r="S51" s="149"/>
      <c r="T51" s="150"/>
      <c r="U51" s="148"/>
      <c r="V51" s="149"/>
      <c r="W51" s="150"/>
      <c r="X51" s="148"/>
      <c r="Y51" s="149"/>
      <c r="Z51" s="150"/>
      <c r="AA51" s="148"/>
      <c r="AB51" s="149"/>
      <c r="AC51" s="150"/>
      <c r="AD51" s="148"/>
      <c r="AE51" s="149"/>
      <c r="AF51" s="150"/>
      <c r="AG51" s="148"/>
      <c r="AH51" s="149"/>
      <c r="AI51" s="150"/>
      <c r="AJ51" s="148"/>
      <c r="AK51" s="149"/>
      <c r="AL51" s="150"/>
      <c r="AM51" s="148"/>
      <c r="AN51" s="149"/>
      <c r="AO51" s="150"/>
      <c r="AP51" s="148"/>
      <c r="AQ51" s="149"/>
      <c r="AR51" s="150"/>
      <c r="AS51" s="148"/>
      <c r="AT51" s="149"/>
      <c r="AU51" s="150"/>
      <c r="AV51" s="148"/>
      <c r="AW51" s="149"/>
      <c r="AX51" s="150"/>
      <c r="AY51" s="148"/>
      <c r="AZ51" s="149"/>
      <c r="BA51" s="150"/>
      <c r="BB51" s="148"/>
      <c r="BC51" s="149"/>
      <c r="BD51" s="150"/>
      <c r="BE51" s="148"/>
      <c r="BF51" s="149"/>
      <c r="BG51" s="150"/>
    </row>
    <row r="52" spans="1:59" x14ac:dyDescent="0.25">
      <c r="A52" s="14" t="s">
        <v>10</v>
      </c>
      <c r="B52" s="14"/>
      <c r="C52" s="14"/>
      <c r="D52" s="9"/>
      <c r="E52" s="9"/>
      <c r="F52" s="9"/>
      <c r="G52" s="38"/>
      <c r="H52" s="34"/>
      <c r="I52" s="155"/>
      <c r="J52" s="9"/>
      <c r="K52" s="156"/>
      <c r="L52" s="155"/>
      <c r="M52" s="9"/>
      <c r="N52" s="156"/>
      <c r="O52" s="155"/>
      <c r="P52" s="9"/>
      <c r="Q52" s="156"/>
      <c r="R52" s="155"/>
      <c r="S52" s="9"/>
      <c r="T52" s="156"/>
      <c r="U52" s="155"/>
      <c r="V52" s="9"/>
      <c r="W52" s="156"/>
      <c r="X52" s="155"/>
      <c r="Y52" s="9"/>
      <c r="Z52" s="156"/>
      <c r="AA52" s="155"/>
      <c r="AB52" s="9"/>
      <c r="AC52" s="156"/>
      <c r="AD52" s="155"/>
      <c r="AE52" s="9"/>
      <c r="AF52" s="156"/>
      <c r="AG52" s="155"/>
      <c r="AH52" s="9"/>
      <c r="AI52" s="156"/>
      <c r="AJ52" s="155"/>
      <c r="AK52" s="9"/>
      <c r="AL52" s="156"/>
      <c r="AM52" s="155"/>
      <c r="AN52" s="9"/>
      <c r="AO52" s="156"/>
      <c r="AP52" s="155"/>
      <c r="AQ52" s="9"/>
      <c r="AR52" s="156"/>
      <c r="AS52" s="155"/>
      <c r="AT52" s="9"/>
      <c r="AU52" s="156"/>
      <c r="AV52" s="155"/>
      <c r="AW52" s="9"/>
      <c r="AX52" s="156"/>
      <c r="AY52" s="155"/>
      <c r="AZ52" s="9"/>
      <c r="BA52" s="156"/>
      <c r="BB52" s="155"/>
      <c r="BC52" s="9"/>
      <c r="BD52" s="156"/>
      <c r="BE52" s="155"/>
      <c r="BF52" s="9"/>
      <c r="BG52" s="156"/>
    </row>
    <row r="53" spans="1:59" ht="15.75" customHeight="1" thickBot="1" x14ac:dyDescent="0.3">
      <c r="A53" s="342" t="s">
        <v>153</v>
      </c>
      <c r="B53" s="342"/>
      <c r="C53" s="66" t="s">
        <v>81</v>
      </c>
      <c r="D53" s="12"/>
      <c r="E53" s="12"/>
      <c r="F53" s="10"/>
      <c r="G53" s="11"/>
      <c r="H53" s="29"/>
      <c r="I53" s="157">
        <v>108061.88</v>
      </c>
      <c r="J53" s="88"/>
      <c r="K53" s="158"/>
      <c r="L53" s="157">
        <v>127242.28</v>
      </c>
      <c r="M53" s="88"/>
      <c r="N53" s="158"/>
      <c r="O53" s="157">
        <v>102300</v>
      </c>
      <c r="P53" s="88"/>
      <c r="Q53" s="158"/>
      <c r="R53" s="157">
        <f>-O53+L53+I53</f>
        <v>133004.16</v>
      </c>
      <c r="S53" s="88"/>
      <c r="T53" s="158"/>
      <c r="U53" s="157">
        <v>98397</v>
      </c>
      <c r="V53" s="88"/>
      <c r="W53" s="158"/>
      <c r="X53" s="157">
        <v>99708.760000000009</v>
      </c>
      <c r="Y53" s="88"/>
      <c r="Z53" s="158"/>
      <c r="AA53" s="157">
        <v>75622.320000000007</v>
      </c>
      <c r="AB53" s="88"/>
      <c r="AC53" s="158"/>
      <c r="AD53" s="140">
        <f t="shared" ref="AD53" si="12">U53+X53+AA53</f>
        <v>273728.08</v>
      </c>
      <c r="AE53" s="88"/>
      <c r="AF53" s="158"/>
      <c r="AG53" s="157">
        <v>42568.24</v>
      </c>
      <c r="AH53" s="88"/>
      <c r="AI53" s="158"/>
      <c r="AJ53" s="157"/>
      <c r="AK53" s="88"/>
      <c r="AL53" s="158"/>
      <c r="AM53" s="157"/>
      <c r="AN53" s="88"/>
      <c r="AO53" s="158"/>
      <c r="AP53" s="157"/>
      <c r="AQ53" s="88"/>
      <c r="AR53" s="158"/>
      <c r="AS53" s="157"/>
      <c r="AT53" s="88"/>
      <c r="AU53" s="158"/>
      <c r="AV53" s="157"/>
      <c r="AW53" s="88"/>
      <c r="AX53" s="158"/>
      <c r="AY53" s="157"/>
      <c r="AZ53" s="88"/>
      <c r="BA53" s="158"/>
      <c r="BB53" s="157"/>
      <c r="BC53" s="88"/>
      <c r="BD53" s="158"/>
      <c r="BE53" s="107">
        <f t="shared" ref="BE53:BE54" si="13">I53+L53+O53+U53+X53+AA53+AG53+AJ53+AM53+AS53+AV53+AY53</f>
        <v>653900.48</v>
      </c>
      <c r="BF53" s="88"/>
      <c r="BG53" s="158"/>
    </row>
    <row r="54" spans="1:59" ht="15.75" thickBot="1" x14ac:dyDescent="0.3">
      <c r="A54" s="342"/>
      <c r="B54" s="342"/>
      <c r="C54" s="67" t="s">
        <v>82</v>
      </c>
      <c r="D54" s="12"/>
      <c r="E54" s="12"/>
      <c r="F54" s="10"/>
      <c r="G54" s="11"/>
      <c r="H54" s="29"/>
      <c r="I54" s="157">
        <f>I5-I53</f>
        <v>2792860.12</v>
      </c>
      <c r="J54" s="88"/>
      <c r="K54" s="158"/>
      <c r="L54" s="157">
        <f>L5-L53</f>
        <v>3252689.72</v>
      </c>
      <c r="M54" s="88"/>
      <c r="N54" s="158"/>
      <c r="O54" s="157">
        <f>O5-O53</f>
        <v>2656075</v>
      </c>
      <c r="P54" s="88"/>
      <c r="Q54" s="158"/>
      <c r="R54" s="157">
        <f>O54+L54+I54</f>
        <v>8701624.8399999999</v>
      </c>
      <c r="S54" s="88"/>
      <c r="T54" s="158"/>
      <c r="U54" s="157">
        <f>U5-U53</f>
        <v>2557641</v>
      </c>
      <c r="V54" s="88"/>
      <c r="W54" s="158"/>
      <c r="X54" s="157">
        <f>X5-X53</f>
        <v>2589510.2400000002</v>
      </c>
      <c r="Y54" s="88"/>
      <c r="Z54" s="158"/>
      <c r="AA54" s="157">
        <f>AA5-AA53</f>
        <v>2035446.68</v>
      </c>
      <c r="AB54" s="88"/>
      <c r="AC54" s="158"/>
      <c r="AD54" s="157">
        <f>AD5-AD53</f>
        <v>7182597.9199999999</v>
      </c>
      <c r="AE54" s="88"/>
      <c r="AF54" s="158"/>
      <c r="AG54" s="157">
        <f>AG5-AG53</f>
        <v>1239720.76</v>
      </c>
      <c r="AH54" s="88"/>
      <c r="AI54" s="158"/>
      <c r="AJ54" s="157"/>
      <c r="AK54" s="88"/>
      <c r="AL54" s="158"/>
      <c r="AM54" s="157"/>
      <c r="AN54" s="88"/>
      <c r="AO54" s="158"/>
      <c r="AP54" s="157"/>
      <c r="AQ54" s="88"/>
      <c r="AR54" s="158"/>
      <c r="AS54" s="157"/>
      <c r="AT54" s="88"/>
      <c r="AU54" s="158"/>
      <c r="AV54" s="157"/>
      <c r="AW54" s="88"/>
      <c r="AX54" s="158"/>
      <c r="AY54" s="157"/>
      <c r="AZ54" s="88"/>
      <c r="BA54" s="158"/>
      <c r="BB54" s="157"/>
      <c r="BC54" s="88"/>
      <c r="BD54" s="158"/>
      <c r="BE54" s="107">
        <f t="shared" si="13"/>
        <v>17123943.52</v>
      </c>
      <c r="BF54" s="88"/>
      <c r="BG54" s="158"/>
    </row>
    <row r="55" spans="1:59" ht="4.5" customHeight="1" x14ac:dyDescent="0.25">
      <c r="A55" s="342"/>
      <c r="B55" s="342"/>
      <c r="D55" s="12"/>
      <c r="E55" s="12"/>
      <c r="F55" s="10"/>
      <c r="G55" s="11"/>
      <c r="H55" s="29"/>
      <c r="I55" s="159"/>
      <c r="J55" s="11"/>
      <c r="K55" s="160"/>
      <c r="L55" s="159"/>
      <c r="M55" s="11"/>
      <c r="N55" s="160"/>
      <c r="O55" s="159"/>
      <c r="P55" s="11"/>
      <c r="Q55" s="160"/>
      <c r="R55" s="159"/>
      <c r="S55" s="11"/>
      <c r="T55" s="160"/>
      <c r="U55" s="159"/>
      <c r="V55" s="11"/>
      <c r="W55" s="160"/>
      <c r="X55" s="159"/>
      <c r="Y55" s="11"/>
      <c r="Z55" s="160"/>
      <c r="AA55" s="159"/>
      <c r="AB55" s="11"/>
      <c r="AC55" s="160"/>
      <c r="AD55" s="159"/>
      <c r="AE55" s="11"/>
      <c r="AF55" s="160"/>
      <c r="AG55" s="159"/>
      <c r="AH55" s="11"/>
      <c r="AI55" s="160"/>
      <c r="AJ55" s="159"/>
      <c r="AK55" s="11"/>
      <c r="AL55" s="160"/>
      <c r="AM55" s="159"/>
      <c r="AN55" s="11"/>
      <c r="AO55" s="160"/>
      <c r="AP55" s="159"/>
      <c r="AQ55" s="11"/>
      <c r="AR55" s="160"/>
      <c r="AS55" s="159"/>
      <c r="AT55" s="11"/>
      <c r="AU55" s="160"/>
      <c r="AV55" s="159"/>
      <c r="AW55" s="11"/>
      <c r="AX55" s="160"/>
      <c r="AY55" s="159"/>
      <c r="AZ55" s="11"/>
      <c r="BA55" s="160"/>
      <c r="BB55" s="159"/>
      <c r="BC55" s="11"/>
      <c r="BD55" s="160"/>
      <c r="BE55" s="159"/>
      <c r="BF55" s="11"/>
      <c r="BG55" s="160"/>
    </row>
    <row r="56" spans="1:59" x14ac:dyDescent="0.2">
      <c r="A56" s="342"/>
      <c r="B56" s="342"/>
      <c r="C56" s="51" t="s">
        <v>83</v>
      </c>
      <c r="D56" s="12"/>
      <c r="E56" s="12"/>
      <c r="F56" s="10"/>
      <c r="G56" s="11"/>
      <c r="H56" s="29"/>
      <c r="I56" s="234">
        <v>1317876.1739130435</v>
      </c>
      <c r="J56" s="107"/>
      <c r="K56" s="143"/>
      <c r="L56" s="234">
        <v>1345203.2391304348</v>
      </c>
      <c r="M56" s="107"/>
      <c r="N56" s="143"/>
      <c r="O56" s="234">
        <v>1203030.2608695652</v>
      </c>
      <c r="P56" s="107"/>
      <c r="Q56" s="143"/>
      <c r="R56" s="234">
        <f t="shared" ref="R56:R58" si="14">O56+L56+I56</f>
        <v>3866109.6739130435</v>
      </c>
      <c r="S56" s="107"/>
      <c r="T56" s="143"/>
      <c r="U56" s="234">
        <v>1205832</v>
      </c>
      <c r="V56" s="107"/>
      <c r="W56" s="143"/>
      <c r="X56" s="142">
        <v>1295997</v>
      </c>
      <c r="Y56" s="107"/>
      <c r="Z56" s="143"/>
      <c r="AA56" s="142">
        <v>794470</v>
      </c>
      <c r="AB56" s="107"/>
      <c r="AC56" s="143"/>
      <c r="AD56" s="140">
        <f t="shared" ref="AD56:AD58" si="15">U56+X56+AA56</f>
        <v>3296299</v>
      </c>
      <c r="AE56" s="107"/>
      <c r="AF56" s="143"/>
      <c r="AG56" s="142">
        <v>334718</v>
      </c>
      <c r="AH56" s="107"/>
      <c r="AI56" s="143"/>
      <c r="AJ56" s="142"/>
      <c r="AK56" s="107"/>
      <c r="AL56" s="143"/>
      <c r="AM56" s="142"/>
      <c r="AN56" s="107"/>
      <c r="AO56" s="143"/>
      <c r="AP56" s="142"/>
      <c r="AQ56" s="107"/>
      <c r="AR56" s="143"/>
      <c r="AS56" s="142"/>
      <c r="AT56" s="107"/>
      <c r="AU56" s="143"/>
      <c r="AV56" s="142"/>
      <c r="AW56" s="107"/>
      <c r="AX56" s="143"/>
      <c r="AY56" s="142"/>
      <c r="AZ56" s="107"/>
      <c r="BA56" s="143"/>
      <c r="BB56" s="142"/>
      <c r="BC56" s="107"/>
      <c r="BD56" s="143"/>
      <c r="BE56" s="107">
        <f t="shared" ref="BE56:BE58" si="16">I56+L56+O56+U56+X56+AA56+AG56+AJ56+AM56+AS56+AV56+AY56</f>
        <v>7497126.6739130439</v>
      </c>
      <c r="BF56" s="107"/>
      <c r="BG56" s="143"/>
    </row>
    <row r="57" spans="1:59" x14ac:dyDescent="0.25">
      <c r="A57" s="342"/>
      <c r="B57" s="342"/>
      <c r="C57" s="51" t="s">
        <v>84</v>
      </c>
      <c r="D57" s="12"/>
      <c r="E57" s="12"/>
      <c r="F57" s="10"/>
      <c r="G57" s="11"/>
      <c r="H57" s="29"/>
      <c r="I57" s="142">
        <v>205452</v>
      </c>
      <c r="J57" s="107"/>
      <c r="K57" s="143"/>
      <c r="L57" s="142">
        <v>227383</v>
      </c>
      <c r="M57" s="107"/>
      <c r="N57" s="143"/>
      <c r="O57" s="142">
        <v>245549</v>
      </c>
      <c r="P57" s="107"/>
      <c r="Q57" s="143"/>
      <c r="R57" s="142">
        <f t="shared" si="14"/>
        <v>678384</v>
      </c>
      <c r="S57" s="107"/>
      <c r="T57" s="143"/>
      <c r="U57" s="142">
        <v>27563</v>
      </c>
      <c r="V57" s="107"/>
      <c r="W57" s="143"/>
      <c r="X57" s="142">
        <v>15989</v>
      </c>
      <c r="Y57" s="107"/>
      <c r="Z57" s="143"/>
      <c r="AA57" s="142">
        <v>239744</v>
      </c>
      <c r="AB57" s="107"/>
      <c r="AC57" s="143"/>
      <c r="AD57" s="140">
        <f t="shared" si="15"/>
        <v>283296</v>
      </c>
      <c r="AE57" s="107"/>
      <c r="AF57" s="143"/>
      <c r="AG57" s="142">
        <v>166096</v>
      </c>
      <c r="AH57" s="107"/>
      <c r="AI57" s="143"/>
      <c r="AJ57" s="142"/>
      <c r="AK57" s="107"/>
      <c r="AL57" s="143"/>
      <c r="AM57" s="142"/>
      <c r="AN57" s="107"/>
      <c r="AO57" s="143"/>
      <c r="AP57" s="142"/>
      <c r="AQ57" s="107"/>
      <c r="AR57" s="143"/>
      <c r="AS57" s="142"/>
      <c r="AT57" s="107"/>
      <c r="AU57" s="143"/>
      <c r="AV57" s="142"/>
      <c r="AW57" s="107"/>
      <c r="AX57" s="143"/>
      <c r="AY57" s="142"/>
      <c r="AZ57" s="107"/>
      <c r="BA57" s="143"/>
      <c r="BB57" s="142"/>
      <c r="BC57" s="107"/>
      <c r="BD57" s="143"/>
      <c r="BE57" s="107">
        <f t="shared" si="16"/>
        <v>1127776</v>
      </c>
      <c r="BF57" s="107"/>
      <c r="BG57" s="143"/>
    </row>
    <row r="58" spans="1:59" ht="15.75" thickBot="1" x14ac:dyDescent="0.3">
      <c r="A58" s="342"/>
      <c r="B58" s="342"/>
      <c r="C58" s="51" t="s">
        <v>85</v>
      </c>
      <c r="D58" s="12"/>
      <c r="E58" s="12"/>
      <c r="F58" s="10"/>
      <c r="G58" s="11"/>
      <c r="H58" s="29"/>
      <c r="I58" s="142">
        <v>73128</v>
      </c>
      <c r="J58" s="107"/>
      <c r="K58" s="143"/>
      <c r="L58" s="142">
        <v>23256</v>
      </c>
      <c r="M58" s="107"/>
      <c r="N58" s="143"/>
      <c r="O58" s="142">
        <v>38293</v>
      </c>
      <c r="P58" s="107"/>
      <c r="Q58" s="143"/>
      <c r="R58" s="142">
        <f t="shared" si="14"/>
        <v>134677</v>
      </c>
      <c r="S58" s="107"/>
      <c r="T58" s="143"/>
      <c r="U58" s="142">
        <v>249659</v>
      </c>
      <c r="V58" s="107"/>
      <c r="W58" s="143"/>
      <c r="X58" s="142">
        <v>260845</v>
      </c>
      <c r="Y58" s="107"/>
      <c r="Z58" s="143"/>
      <c r="AA58" s="142">
        <v>15667</v>
      </c>
      <c r="AB58" s="107"/>
      <c r="AC58" s="143"/>
      <c r="AD58" s="140">
        <f t="shared" si="15"/>
        <v>526171</v>
      </c>
      <c r="AE58" s="107"/>
      <c r="AF58" s="143"/>
      <c r="AG58" s="142">
        <v>18198</v>
      </c>
      <c r="AH58" s="107"/>
      <c r="AI58" s="143"/>
      <c r="AJ58" s="142"/>
      <c r="AK58" s="107"/>
      <c r="AL58" s="143"/>
      <c r="AM58" s="142"/>
      <c r="AN58" s="107"/>
      <c r="AO58" s="143"/>
      <c r="AP58" s="142"/>
      <c r="AQ58" s="107"/>
      <c r="AR58" s="143"/>
      <c r="AS58" s="142"/>
      <c r="AT58" s="107"/>
      <c r="AU58" s="143"/>
      <c r="AV58" s="142"/>
      <c r="AW58" s="107"/>
      <c r="AX58" s="143"/>
      <c r="AY58" s="142"/>
      <c r="AZ58" s="107"/>
      <c r="BA58" s="143"/>
      <c r="BB58" s="142"/>
      <c r="BC58" s="107"/>
      <c r="BD58" s="143"/>
      <c r="BE58" s="107">
        <f t="shared" si="16"/>
        <v>679046</v>
      </c>
      <c r="BF58" s="107"/>
      <c r="BG58" s="143"/>
    </row>
    <row r="59" spans="1:59" ht="15.75" thickBot="1" x14ac:dyDescent="0.3">
      <c r="A59" s="342"/>
      <c r="B59" s="342"/>
      <c r="C59" s="67" t="s">
        <v>86</v>
      </c>
      <c r="D59" s="12"/>
      <c r="E59" s="12"/>
      <c r="F59" s="10"/>
      <c r="G59" s="11"/>
      <c r="H59" s="29"/>
      <c r="I59" s="142">
        <f>I54-I56-I57-I58</f>
        <v>1196403.9460869567</v>
      </c>
      <c r="J59" s="107"/>
      <c r="K59" s="143"/>
      <c r="L59" s="142">
        <f>L54-L56-L57-L58</f>
        <v>1656847.4808695654</v>
      </c>
      <c r="M59" s="107"/>
      <c r="N59" s="143"/>
      <c r="O59" s="67">
        <f>O54-O56-O57-O58</f>
        <v>1169202.7391304348</v>
      </c>
      <c r="P59" s="107"/>
      <c r="Q59" s="143"/>
      <c r="R59" s="142">
        <f>R54-R56-R57-R58</f>
        <v>4022454.1660869569</v>
      </c>
      <c r="S59" s="107"/>
      <c r="T59" s="143"/>
      <c r="U59" s="67">
        <f>U54-U56-U57-U58</f>
        <v>1074587</v>
      </c>
      <c r="V59" s="67">
        <f>V54-V56-V57-V58</f>
        <v>0</v>
      </c>
      <c r="W59" s="274"/>
      <c r="X59" s="288">
        <f>X54-SUM(X56:X58)</f>
        <v>1016679.2400000002</v>
      </c>
      <c r="Y59" s="288">
        <f t="shared" ref="Y59:Z59" si="17">Y54-SUM(Y56:Y58)</f>
        <v>0</v>
      </c>
      <c r="Z59" s="288">
        <f t="shared" si="17"/>
        <v>0</v>
      </c>
      <c r="AA59" s="300">
        <f>AA54-SUM(AA56:AA58)</f>
        <v>985565.67999999993</v>
      </c>
      <c r="AB59" s="300"/>
      <c r="AC59" s="300"/>
      <c r="AD59" s="300">
        <f t="shared" ref="AD59" si="18">AD54-SUM(AD56:AD58)</f>
        <v>3076831.92</v>
      </c>
      <c r="AE59" s="273"/>
      <c r="AF59" s="274"/>
      <c r="AG59" s="300">
        <f>AG54-SUM(AG56:AG58)</f>
        <v>720708.76</v>
      </c>
      <c r="AH59" s="273"/>
      <c r="AI59" s="274"/>
      <c r="AJ59" s="142"/>
      <c r="AK59" s="107"/>
      <c r="AL59" s="143"/>
      <c r="AM59" s="142"/>
      <c r="AN59" s="107"/>
      <c r="AO59" s="143"/>
      <c r="AP59" s="142"/>
      <c r="AQ59" s="107"/>
      <c r="AR59" s="143"/>
      <c r="AS59" s="142"/>
      <c r="AT59" s="107"/>
      <c r="AU59" s="143"/>
      <c r="AV59" s="142"/>
      <c r="AW59" s="107"/>
      <c r="AX59" s="143"/>
      <c r="AY59" s="142"/>
      <c r="AZ59" s="107"/>
      <c r="BA59" s="143"/>
      <c r="BB59" s="142"/>
      <c r="BC59" s="107"/>
      <c r="BD59" s="143"/>
      <c r="BE59" s="67">
        <f>BE54-BE56-BE57-BE58</f>
        <v>7819994.8460869566</v>
      </c>
      <c r="BF59" s="273"/>
      <c r="BG59" s="274"/>
    </row>
    <row r="60" spans="1:59" ht="3.75" customHeight="1" x14ac:dyDescent="0.25">
      <c r="A60" s="342"/>
      <c r="B60" s="342"/>
      <c r="D60" s="12"/>
      <c r="E60" s="12"/>
      <c r="F60" s="10"/>
      <c r="G60" s="11"/>
      <c r="H60" s="29"/>
      <c r="I60" s="159"/>
      <c r="J60" s="11"/>
      <c r="K60" s="160"/>
      <c r="L60" s="159"/>
      <c r="M60" s="11"/>
      <c r="N60" s="160"/>
      <c r="O60" s="159"/>
      <c r="P60" s="11"/>
      <c r="Q60" s="160"/>
      <c r="R60" s="159"/>
      <c r="S60" s="11"/>
      <c r="T60" s="160"/>
      <c r="U60" s="159"/>
      <c r="V60" s="11"/>
      <c r="W60" s="160"/>
      <c r="X60" s="159"/>
      <c r="Y60" s="11"/>
      <c r="Z60" s="160"/>
      <c r="AA60" s="159"/>
      <c r="AB60" s="11"/>
      <c r="AC60" s="160"/>
      <c r="AD60" s="159"/>
      <c r="AE60" s="11"/>
      <c r="AF60" s="160"/>
      <c r="AG60" s="159"/>
      <c r="AH60" s="11"/>
      <c r="AI60" s="160"/>
      <c r="AJ60" s="159"/>
      <c r="AK60" s="11"/>
      <c r="AL60" s="160"/>
      <c r="AM60" s="159"/>
      <c r="AN60" s="11"/>
      <c r="AO60" s="160"/>
      <c r="AP60" s="159"/>
      <c r="AQ60" s="11"/>
      <c r="AR60" s="160"/>
      <c r="AS60" s="159"/>
      <c r="AT60" s="11"/>
      <c r="AU60" s="160"/>
      <c r="AV60" s="159"/>
      <c r="AW60" s="11"/>
      <c r="AX60" s="160"/>
      <c r="AY60" s="159"/>
      <c r="AZ60" s="11"/>
      <c r="BA60" s="160"/>
      <c r="BB60" s="159"/>
      <c r="BC60" s="11"/>
      <c r="BD60" s="160"/>
      <c r="BE60" s="159"/>
      <c r="BF60" s="11"/>
      <c r="BG60" s="160"/>
    </row>
    <row r="61" spans="1:59" x14ac:dyDescent="0.25">
      <c r="A61" s="342"/>
      <c r="B61" s="342"/>
      <c r="C61" s="195" t="s">
        <v>620</v>
      </c>
      <c r="D61" s="12"/>
      <c r="E61" s="12"/>
      <c r="F61" s="10"/>
      <c r="G61" s="11"/>
      <c r="H61" s="29"/>
      <c r="I61" s="142">
        <v>987317.16429999995</v>
      </c>
      <c r="J61" s="107"/>
      <c r="K61" s="143"/>
      <c r="L61" s="142">
        <v>891034.18</v>
      </c>
      <c r="M61" s="107"/>
      <c r="N61" s="143"/>
      <c r="O61" s="142">
        <v>777530.32000000007</v>
      </c>
      <c r="P61" s="107"/>
      <c r="Q61" s="143"/>
      <c r="R61" s="142">
        <f t="shared" ref="R61:R65" si="19">O61+L61+I61</f>
        <v>2655881.6642999998</v>
      </c>
      <c r="S61" s="107"/>
      <c r="T61" s="143"/>
      <c r="U61" s="142">
        <v>759146.61175070493</v>
      </c>
      <c r="V61" s="107"/>
      <c r="W61" s="143"/>
      <c r="X61" s="142">
        <f>870032+40788</f>
        <v>910820</v>
      </c>
      <c r="Y61" s="107"/>
      <c r="Z61" s="143"/>
      <c r="AA61" s="142">
        <f>807365+34473</f>
        <v>841838</v>
      </c>
      <c r="AB61" s="107"/>
      <c r="AC61" s="143"/>
      <c r="AD61" s="140">
        <f t="shared" ref="AD61:AD65" si="20">U61+X61+AA61</f>
        <v>2511804.6117507052</v>
      </c>
      <c r="AE61" s="107"/>
      <c r="AF61" s="143"/>
      <c r="AG61" s="142">
        <v>523309</v>
      </c>
      <c r="AH61" s="107"/>
      <c r="AI61" s="143"/>
      <c r="AJ61" s="142"/>
      <c r="AK61" s="107"/>
      <c r="AL61" s="143"/>
      <c r="AM61" s="142"/>
      <c r="AN61" s="107"/>
      <c r="AO61" s="143"/>
      <c r="AP61" s="142"/>
      <c r="AQ61" s="107"/>
      <c r="AR61" s="143"/>
      <c r="AS61" s="142"/>
      <c r="AT61" s="107"/>
      <c r="AU61" s="143"/>
      <c r="AV61" s="142"/>
      <c r="AW61" s="107"/>
      <c r="AX61" s="143"/>
      <c r="AY61" s="142"/>
      <c r="AZ61" s="107"/>
      <c r="BA61" s="143"/>
      <c r="BB61" s="142"/>
      <c r="BC61" s="107"/>
      <c r="BD61" s="143"/>
      <c r="BE61" s="107">
        <f t="shared" ref="BE61:BE64" si="21">I61+L61+O61+U61+X61+AA61+AG61+AJ61+AM61+AS61+AV61+AY61</f>
        <v>5690995.2760507055</v>
      </c>
      <c r="BF61" s="107"/>
      <c r="BG61" s="143"/>
    </row>
    <row r="62" spans="1:59" x14ac:dyDescent="0.25">
      <c r="A62" s="342"/>
      <c r="B62" s="342"/>
      <c r="C62" s="195" t="s">
        <v>622</v>
      </c>
      <c r="D62" s="12"/>
      <c r="E62" s="12"/>
      <c r="F62" s="10"/>
      <c r="G62" s="11"/>
      <c r="H62" s="29"/>
      <c r="I62" s="142">
        <v>96605</v>
      </c>
      <c r="J62" s="107"/>
      <c r="K62" s="143"/>
      <c r="L62" s="142">
        <v>104322</v>
      </c>
      <c r="M62" s="107"/>
      <c r="N62" s="143"/>
      <c r="O62" s="142">
        <v>98241</v>
      </c>
      <c r="P62" s="107"/>
      <c r="Q62" s="143"/>
      <c r="R62" s="142">
        <f t="shared" si="19"/>
        <v>299168</v>
      </c>
      <c r="S62" s="107"/>
      <c r="T62" s="143"/>
      <c r="U62" s="142">
        <v>88799</v>
      </c>
      <c r="V62" s="107"/>
      <c r="W62" s="143"/>
      <c r="X62" s="142">
        <v>0</v>
      </c>
      <c r="Y62" s="107"/>
      <c r="Z62" s="143"/>
      <c r="AA62" s="142">
        <v>86986</v>
      </c>
      <c r="AB62" s="107"/>
      <c r="AC62" s="143"/>
      <c r="AD62" s="140">
        <f t="shared" si="20"/>
        <v>175785</v>
      </c>
      <c r="AE62" s="107"/>
      <c r="AF62" s="143"/>
      <c r="AG62" s="142">
        <v>99653</v>
      </c>
      <c r="AH62" s="107"/>
      <c r="AI62" s="143"/>
      <c r="AJ62" s="142"/>
      <c r="AK62" s="107"/>
      <c r="AL62" s="143"/>
      <c r="AM62" s="142"/>
      <c r="AN62" s="107"/>
      <c r="AO62" s="143"/>
      <c r="AP62" s="142"/>
      <c r="AQ62" s="107"/>
      <c r="AR62" s="143"/>
      <c r="AS62" s="142"/>
      <c r="AT62" s="107"/>
      <c r="AU62" s="143"/>
      <c r="AV62" s="142"/>
      <c r="AW62" s="107"/>
      <c r="AX62" s="143"/>
      <c r="AY62" s="142"/>
      <c r="AZ62" s="107"/>
      <c r="BA62" s="143"/>
      <c r="BB62" s="142"/>
      <c r="BC62" s="107"/>
      <c r="BD62" s="143"/>
      <c r="BE62" s="107">
        <f t="shared" si="21"/>
        <v>574606</v>
      </c>
      <c r="BF62" s="107"/>
      <c r="BG62" s="143"/>
    </row>
    <row r="63" spans="1:59" x14ac:dyDescent="0.25">
      <c r="A63" s="342"/>
      <c r="B63" s="342"/>
      <c r="C63" s="195" t="s">
        <v>623</v>
      </c>
      <c r="D63" s="12"/>
      <c r="E63" s="12"/>
      <c r="F63" s="10"/>
      <c r="G63" s="11"/>
      <c r="H63" s="29"/>
      <c r="I63" s="142">
        <v>120450</v>
      </c>
      <c r="J63" s="107"/>
      <c r="K63" s="143"/>
      <c r="L63" s="142">
        <v>120450</v>
      </c>
      <c r="M63" s="107"/>
      <c r="N63" s="143"/>
      <c r="O63" s="142">
        <v>120450</v>
      </c>
      <c r="P63" s="107"/>
      <c r="Q63" s="143"/>
      <c r="R63" s="142">
        <f t="shared" si="19"/>
        <v>361350</v>
      </c>
      <c r="S63" s="107"/>
      <c r="T63" s="143"/>
      <c r="U63" s="142">
        <v>120450</v>
      </c>
      <c r="V63" s="107"/>
      <c r="W63" s="143"/>
      <c r="X63" s="142">
        <f>69177+48180</f>
        <v>117357</v>
      </c>
      <c r="Y63" s="107"/>
      <c r="Z63" s="143"/>
      <c r="AA63" s="142">
        <v>57791</v>
      </c>
      <c r="AB63" s="107"/>
      <c r="AC63" s="143"/>
      <c r="AD63" s="140">
        <f t="shared" si="20"/>
        <v>295598</v>
      </c>
      <c r="AE63" s="107"/>
      <c r="AF63" s="143"/>
      <c r="AG63" s="142">
        <v>58269</v>
      </c>
      <c r="AH63" s="107"/>
      <c r="AI63" s="143"/>
      <c r="AJ63" s="142"/>
      <c r="AK63" s="107"/>
      <c r="AL63" s="143"/>
      <c r="AM63" s="142"/>
      <c r="AN63" s="107"/>
      <c r="AO63" s="143"/>
      <c r="AP63" s="142"/>
      <c r="AQ63" s="107"/>
      <c r="AR63" s="143"/>
      <c r="AS63" s="142"/>
      <c r="AT63" s="107"/>
      <c r="AU63" s="143"/>
      <c r="AV63" s="142"/>
      <c r="AW63" s="107"/>
      <c r="AX63" s="143"/>
      <c r="AY63" s="142"/>
      <c r="AZ63" s="107"/>
      <c r="BA63" s="143"/>
      <c r="BB63" s="142"/>
      <c r="BC63" s="107"/>
      <c r="BD63" s="143"/>
      <c r="BE63" s="107">
        <f t="shared" si="21"/>
        <v>715217</v>
      </c>
      <c r="BF63" s="107"/>
      <c r="BG63" s="143"/>
    </row>
    <row r="64" spans="1:59" x14ac:dyDescent="0.25">
      <c r="A64" s="342"/>
      <c r="B64" s="342"/>
      <c r="C64" s="51" t="s">
        <v>621</v>
      </c>
      <c r="D64" s="12"/>
      <c r="E64" s="12"/>
      <c r="F64" s="10"/>
      <c r="G64" s="11"/>
      <c r="H64" s="29"/>
      <c r="I64" s="142">
        <v>146102.75</v>
      </c>
      <c r="J64" s="107"/>
      <c r="K64" s="143"/>
      <c r="L64" s="142">
        <f>105486.92-3955</f>
        <v>101531.92</v>
      </c>
      <c r="M64" s="107"/>
      <c r="N64" s="143"/>
      <c r="O64" s="142">
        <f>114915-2290</f>
        <v>112625</v>
      </c>
      <c r="P64" s="107"/>
      <c r="Q64" s="143"/>
      <c r="R64" s="142">
        <f t="shared" si="19"/>
        <v>360259.67</v>
      </c>
      <c r="S64" s="107"/>
      <c r="T64" s="143"/>
      <c r="U64" s="142">
        <v>224243.12</v>
      </c>
      <c r="V64" s="107"/>
      <c r="W64" s="143"/>
      <c r="X64" s="142">
        <f>130850+713-2327</f>
        <v>129236</v>
      </c>
      <c r="Y64" s="107"/>
      <c r="Z64" s="143"/>
      <c r="AA64" s="142">
        <f>154658-2647</f>
        <v>152011</v>
      </c>
      <c r="AB64" s="107"/>
      <c r="AC64" s="143"/>
      <c r="AD64" s="140">
        <f t="shared" si="20"/>
        <v>505490.12</v>
      </c>
      <c r="AE64" s="107"/>
      <c r="AF64" s="143"/>
      <c r="AG64" s="142">
        <v>162460</v>
      </c>
      <c r="AH64" s="107"/>
      <c r="AI64" s="143"/>
      <c r="AJ64" s="142"/>
      <c r="AK64" s="107"/>
      <c r="AL64" s="143"/>
      <c r="AM64" s="142"/>
      <c r="AN64" s="107"/>
      <c r="AO64" s="143"/>
      <c r="AP64" s="142"/>
      <c r="AQ64" s="107"/>
      <c r="AR64" s="143"/>
      <c r="AS64" s="142"/>
      <c r="AT64" s="107"/>
      <c r="AU64" s="143"/>
      <c r="AV64" s="142"/>
      <c r="AW64" s="107"/>
      <c r="AX64" s="143"/>
      <c r="AY64" s="142"/>
      <c r="AZ64" s="107"/>
      <c r="BA64" s="143"/>
      <c r="BB64" s="142"/>
      <c r="BC64" s="107"/>
      <c r="BD64" s="143"/>
      <c r="BE64" s="107">
        <f t="shared" si="21"/>
        <v>1028209.79</v>
      </c>
      <c r="BF64" s="107"/>
      <c r="BG64" s="143"/>
    </row>
    <row r="65" spans="1:59" x14ac:dyDescent="0.25">
      <c r="A65" s="342"/>
      <c r="B65" s="342"/>
      <c r="C65" s="51" t="s">
        <v>619</v>
      </c>
      <c r="D65" s="12"/>
      <c r="E65" s="12"/>
      <c r="F65" s="10"/>
      <c r="G65" s="11"/>
      <c r="H65" s="29"/>
      <c r="I65" s="142">
        <v>2600</v>
      </c>
      <c r="J65" s="107"/>
      <c r="K65" s="143"/>
      <c r="L65" s="142">
        <v>900</v>
      </c>
      <c r="M65" s="107"/>
      <c r="N65" s="143"/>
      <c r="O65" s="142">
        <v>1200</v>
      </c>
      <c r="P65" s="107"/>
      <c r="Q65" s="143"/>
      <c r="R65" s="142">
        <f t="shared" si="19"/>
        <v>4700</v>
      </c>
      <c r="S65" s="107"/>
      <c r="T65" s="143"/>
      <c r="U65" s="142">
        <v>0</v>
      </c>
      <c r="V65" s="107"/>
      <c r="W65" s="143"/>
      <c r="X65" s="142">
        <v>1650</v>
      </c>
      <c r="Y65" s="107"/>
      <c r="Z65" s="143"/>
      <c r="AA65" s="142">
        <v>600</v>
      </c>
      <c r="AB65" s="107"/>
      <c r="AC65" s="143"/>
      <c r="AD65" s="140">
        <f t="shared" si="20"/>
        <v>2250</v>
      </c>
      <c r="AE65" s="107"/>
      <c r="AF65" s="143"/>
      <c r="AG65" s="142">
        <v>4500</v>
      </c>
      <c r="AH65" s="107"/>
      <c r="AI65" s="143"/>
      <c r="AJ65" s="142"/>
      <c r="AK65" s="107"/>
      <c r="AL65" s="143"/>
      <c r="AM65" s="142"/>
      <c r="AN65" s="107"/>
      <c r="AO65" s="143"/>
      <c r="AP65" s="142"/>
      <c r="AQ65" s="107"/>
      <c r="AR65" s="143"/>
      <c r="AS65" s="142"/>
      <c r="AT65" s="107"/>
      <c r="AU65" s="143"/>
      <c r="AV65" s="142"/>
      <c r="AW65" s="107"/>
      <c r="AX65" s="143"/>
      <c r="AY65" s="142"/>
      <c r="AZ65" s="107"/>
      <c r="BA65" s="143"/>
      <c r="BB65" s="142"/>
      <c r="BC65" s="107"/>
      <c r="BD65" s="143"/>
      <c r="BE65" s="142"/>
      <c r="BF65" s="107"/>
      <c r="BG65" s="143"/>
    </row>
    <row r="66" spans="1:59" x14ac:dyDescent="0.25">
      <c r="A66" s="342"/>
      <c r="B66" s="342"/>
      <c r="C66" s="51"/>
      <c r="D66" s="12"/>
      <c r="E66" s="12"/>
      <c r="F66" s="10"/>
      <c r="G66" s="11"/>
      <c r="H66" s="29"/>
      <c r="I66" s="142"/>
      <c r="J66" s="107"/>
      <c r="K66" s="143"/>
      <c r="L66" s="142"/>
      <c r="M66" s="107"/>
      <c r="N66" s="143"/>
      <c r="O66" s="142"/>
      <c r="P66" s="107"/>
      <c r="Q66" s="143"/>
      <c r="R66" s="142"/>
      <c r="S66" s="107"/>
      <c r="T66" s="143"/>
      <c r="U66" s="142"/>
      <c r="V66" s="107"/>
      <c r="W66" s="143"/>
      <c r="X66" s="142"/>
      <c r="Y66" s="107"/>
      <c r="Z66" s="143"/>
      <c r="AA66" s="142"/>
      <c r="AB66" s="107"/>
      <c r="AC66" s="143"/>
      <c r="AD66" s="142"/>
      <c r="AE66" s="107"/>
      <c r="AF66" s="143"/>
      <c r="AG66" s="142"/>
      <c r="AH66" s="107"/>
      <c r="AI66" s="143"/>
      <c r="AJ66" s="142"/>
      <c r="AK66" s="107"/>
      <c r="AL66" s="143"/>
      <c r="AM66" s="142"/>
      <c r="AN66" s="107"/>
      <c r="AO66" s="143"/>
      <c r="AP66" s="142"/>
      <c r="AQ66" s="107"/>
      <c r="AR66" s="143"/>
      <c r="AS66" s="142"/>
      <c r="AT66" s="107"/>
      <c r="AU66" s="143"/>
      <c r="AV66" s="142"/>
      <c r="AW66" s="107"/>
      <c r="AX66" s="143"/>
      <c r="AY66" s="142"/>
      <c r="AZ66" s="107"/>
      <c r="BA66" s="143"/>
      <c r="BB66" s="142"/>
      <c r="BC66" s="107"/>
      <c r="BD66" s="143"/>
      <c r="BE66" s="142"/>
      <c r="BF66" s="107"/>
      <c r="BG66" s="143"/>
    </row>
    <row r="67" spans="1:59" ht="3.75" customHeight="1" x14ac:dyDescent="0.25">
      <c r="A67" s="342"/>
      <c r="B67" s="342"/>
      <c r="C67" s="68"/>
      <c r="D67" s="12"/>
      <c r="E67" s="12"/>
      <c r="F67" s="10"/>
      <c r="G67" s="11"/>
      <c r="H67" s="29"/>
      <c r="I67" s="142"/>
      <c r="J67" s="107"/>
      <c r="K67" s="143"/>
      <c r="L67" s="142"/>
      <c r="M67" s="107"/>
      <c r="N67" s="143"/>
      <c r="O67" s="142"/>
      <c r="P67" s="107"/>
      <c r="Q67" s="143"/>
      <c r="R67" s="142"/>
      <c r="S67" s="107"/>
      <c r="T67" s="143"/>
      <c r="U67" s="142"/>
      <c r="V67" s="107"/>
      <c r="W67" s="143"/>
      <c r="X67" s="142"/>
      <c r="Y67" s="107"/>
      <c r="Z67" s="143"/>
      <c r="AA67" s="142"/>
      <c r="AB67" s="107"/>
      <c r="AC67" s="143"/>
      <c r="AD67" s="142"/>
      <c r="AE67" s="107"/>
      <c r="AF67" s="143"/>
      <c r="AG67" s="142"/>
      <c r="AH67" s="107"/>
      <c r="AI67" s="143"/>
      <c r="AJ67" s="142"/>
      <c r="AK67" s="107"/>
      <c r="AL67" s="143"/>
      <c r="AM67" s="142"/>
      <c r="AN67" s="107"/>
      <c r="AO67" s="143"/>
      <c r="AP67" s="142"/>
      <c r="AQ67" s="107"/>
      <c r="AR67" s="143"/>
      <c r="AS67" s="142"/>
      <c r="AT67" s="107"/>
      <c r="AU67" s="143"/>
      <c r="AV67" s="142"/>
      <c r="AW67" s="107"/>
      <c r="AX67" s="143"/>
      <c r="AY67" s="142"/>
      <c r="AZ67" s="107"/>
      <c r="BA67" s="143"/>
      <c r="BB67" s="142"/>
      <c r="BC67" s="107"/>
      <c r="BD67" s="143"/>
      <c r="BE67" s="142"/>
      <c r="BF67" s="107"/>
      <c r="BG67" s="143"/>
    </row>
    <row r="68" spans="1:59" s="278" customFormat="1" ht="15.75" thickBot="1" x14ac:dyDescent="0.3">
      <c r="A68" s="342"/>
      <c r="B68" s="342"/>
      <c r="C68" s="69" t="s">
        <v>87</v>
      </c>
      <c r="D68" s="266"/>
      <c r="E68" s="266"/>
      <c r="F68" s="267"/>
      <c r="G68" s="268"/>
      <c r="H68" s="269"/>
      <c r="I68" s="275">
        <f>I59-SUM(I61:I65)</f>
        <v>-156670.96821304318</v>
      </c>
      <c r="J68" s="275">
        <f t="shared" ref="J68:K68" si="22">J59-SUM(J61:J65)</f>
        <v>0</v>
      </c>
      <c r="K68" s="277">
        <f t="shared" si="22"/>
        <v>0</v>
      </c>
      <c r="L68" s="275">
        <f>L59-SUM(L61:L65)</f>
        <v>438609.3808695653</v>
      </c>
      <c r="M68" s="275"/>
      <c r="N68" s="277"/>
      <c r="O68" s="275">
        <f>O59-SUM(O61:O65)</f>
        <v>59156.419130434748</v>
      </c>
      <c r="P68" s="275"/>
      <c r="Q68" s="277"/>
      <c r="R68" s="275">
        <f>R59-SUM(R61:R65)</f>
        <v>341094.8317869571</v>
      </c>
      <c r="S68" s="275"/>
      <c r="T68" s="277"/>
      <c r="U68" s="275">
        <f>U59-SUM(U61:U65)</f>
        <v>-118051.73175070481</v>
      </c>
      <c r="V68" s="273"/>
      <c r="W68" s="274"/>
      <c r="X68" s="275">
        <f>X59-SUM(X61:X66)</f>
        <v>-142383.75999999978</v>
      </c>
      <c r="Y68" s="273"/>
      <c r="Z68" s="274"/>
      <c r="AA68" s="275">
        <f>AA59-SUM(AA61:AA66)</f>
        <v>-153660.32000000007</v>
      </c>
      <c r="AB68" s="273"/>
      <c r="AC68" s="274"/>
      <c r="AD68" s="275">
        <f>AD59-SUM(AD61:AD66)</f>
        <v>-414095.81175070535</v>
      </c>
      <c r="AE68" s="273"/>
      <c r="AF68" s="274"/>
      <c r="AG68" s="275">
        <f>AG59-SUM(AG61:AG66)</f>
        <v>-127482.23999999999</v>
      </c>
      <c r="AH68" s="273"/>
      <c r="AI68" s="274"/>
      <c r="AJ68" s="275"/>
      <c r="AK68" s="273"/>
      <c r="AL68" s="274"/>
      <c r="AM68" s="275"/>
      <c r="AN68" s="273"/>
      <c r="AO68" s="274"/>
      <c r="AP68" s="275"/>
      <c r="AQ68" s="273"/>
      <c r="AR68" s="274"/>
      <c r="AS68" s="275"/>
      <c r="AT68" s="273"/>
      <c r="AU68" s="274"/>
      <c r="AV68" s="275"/>
      <c r="AW68" s="273"/>
      <c r="AX68" s="274"/>
      <c r="AY68" s="275"/>
      <c r="AZ68" s="273"/>
      <c r="BA68" s="274"/>
      <c r="BB68" s="275"/>
      <c r="BC68" s="273"/>
      <c r="BD68" s="274"/>
      <c r="BE68" s="275">
        <f>BE59-SUM(BE61:BE66)</f>
        <v>-189033.21996374894</v>
      </c>
      <c r="BF68" s="273"/>
      <c r="BG68" s="274"/>
    </row>
    <row r="69" spans="1:59" ht="5.25" customHeight="1" thickBot="1" x14ac:dyDescent="0.3">
      <c r="A69" s="342"/>
      <c r="B69" s="342"/>
      <c r="D69" s="12"/>
      <c r="E69" s="12"/>
      <c r="F69" s="10"/>
      <c r="G69" s="11"/>
      <c r="H69" s="29"/>
      <c r="I69" s="159"/>
      <c r="J69" s="159"/>
      <c r="K69" s="235"/>
      <c r="L69" s="159"/>
      <c r="M69" s="159"/>
      <c r="N69" s="235"/>
      <c r="O69" s="159"/>
      <c r="P69" s="159"/>
      <c r="Q69" s="235"/>
      <c r="R69" s="159"/>
      <c r="S69" s="159"/>
      <c r="T69" s="235"/>
      <c r="U69" s="159"/>
      <c r="V69" s="11"/>
      <c r="W69" s="160"/>
      <c r="X69" s="159"/>
      <c r="Y69" s="11"/>
      <c r="Z69" s="160"/>
      <c r="AA69" s="159"/>
      <c r="AB69" s="11"/>
      <c r="AC69" s="160"/>
      <c r="AD69" s="159"/>
      <c r="AE69" s="11"/>
      <c r="AF69" s="160"/>
      <c r="AG69" s="159"/>
      <c r="AH69" s="11"/>
      <c r="AI69" s="160"/>
      <c r="AJ69" s="159"/>
      <c r="AK69" s="11"/>
      <c r="AL69" s="160"/>
      <c r="AM69" s="159"/>
      <c r="AN69" s="11"/>
      <c r="AO69" s="160"/>
      <c r="AP69" s="159"/>
      <c r="AQ69" s="11"/>
      <c r="AR69" s="160"/>
      <c r="AS69" s="159"/>
      <c r="AT69" s="11"/>
      <c r="AU69" s="160"/>
      <c r="AV69" s="159"/>
      <c r="AW69" s="11"/>
      <c r="AX69" s="160"/>
      <c r="AY69" s="159"/>
      <c r="AZ69" s="11"/>
      <c r="BA69" s="160"/>
      <c r="BB69" s="159"/>
      <c r="BC69" s="11"/>
      <c r="BD69" s="160"/>
      <c r="BE69" s="159"/>
      <c r="BF69" s="11"/>
      <c r="BG69" s="160"/>
    </row>
    <row r="70" spans="1:59" s="278" customFormat="1" ht="15.75" thickBot="1" x14ac:dyDescent="0.3">
      <c r="A70" s="342"/>
      <c r="B70" s="342"/>
      <c r="C70" s="67" t="s">
        <v>88</v>
      </c>
      <c r="D70" s="266"/>
      <c r="E70" s="266"/>
      <c r="F70" s="267"/>
      <c r="G70" s="268"/>
      <c r="H70" s="269"/>
      <c r="I70" s="279">
        <f>I68/I54</f>
        <v>-5.6096962068062028E-2</v>
      </c>
      <c r="J70" s="279"/>
      <c r="K70" s="280"/>
      <c r="L70" s="279">
        <f>L68/L54</f>
        <v>0.13484513391260858</v>
      </c>
      <c r="M70" s="279"/>
      <c r="N70" s="280"/>
      <c r="O70" s="279">
        <f>O68/O54</f>
        <v>2.2272119247549391E-2</v>
      </c>
      <c r="P70" s="279"/>
      <c r="Q70" s="280"/>
      <c r="R70" s="279">
        <f>R68/R54</f>
        <v>3.9198981576291113E-2</v>
      </c>
      <c r="S70" s="279"/>
      <c r="T70" s="280"/>
      <c r="U70" s="279">
        <f>U68/U54</f>
        <v>-4.615649019964288E-2</v>
      </c>
      <c r="V70" s="281"/>
      <c r="W70" s="282"/>
      <c r="X70" s="279">
        <f>X68/X54</f>
        <v>-5.4984822149226086E-2</v>
      </c>
      <c r="Y70" s="281"/>
      <c r="Z70" s="282"/>
      <c r="AA70" s="279">
        <f>AA68/AA54</f>
        <v>-7.5492186314602985E-2</v>
      </c>
      <c r="AB70" s="281"/>
      <c r="AC70" s="282"/>
      <c r="AD70" s="279">
        <f>AD68/AD54</f>
        <v>-5.7652651082925346E-2</v>
      </c>
      <c r="AE70" s="281"/>
      <c r="AF70" s="282"/>
      <c r="AG70" s="279">
        <f>AG68/AG54</f>
        <v>-0.10283141503575369</v>
      </c>
      <c r="AH70" s="281"/>
      <c r="AI70" s="282"/>
      <c r="AJ70" s="279"/>
      <c r="AK70" s="281"/>
      <c r="AL70" s="282"/>
      <c r="AM70" s="279"/>
      <c r="AN70" s="281"/>
      <c r="AO70" s="282"/>
      <c r="AP70" s="279"/>
      <c r="AQ70" s="281"/>
      <c r="AR70" s="282"/>
      <c r="AS70" s="279"/>
      <c r="AT70" s="281"/>
      <c r="AU70" s="282"/>
      <c r="AV70" s="279"/>
      <c r="AW70" s="281"/>
      <c r="AX70" s="282"/>
      <c r="AY70" s="279"/>
      <c r="AZ70" s="281"/>
      <c r="BA70" s="282"/>
      <c r="BB70" s="279"/>
      <c r="BC70" s="281"/>
      <c r="BD70" s="282"/>
      <c r="BE70" s="279">
        <f>BE68/BE54</f>
        <v>-1.1039117230383678E-2</v>
      </c>
      <c r="BF70" s="281"/>
      <c r="BG70" s="282"/>
    </row>
    <row r="71" spans="1:59" ht="3.75" customHeight="1" x14ac:dyDescent="0.25">
      <c r="I71" s="148"/>
      <c r="J71" s="149"/>
      <c r="K71" s="150"/>
      <c r="L71" s="148"/>
      <c r="M71" s="149"/>
      <c r="N71" s="150"/>
      <c r="O71" s="148"/>
      <c r="P71" s="149"/>
      <c r="Q71" s="150"/>
      <c r="R71" s="148"/>
      <c r="S71" s="149"/>
      <c r="T71" s="150"/>
      <c r="U71" s="148"/>
      <c r="V71" s="149"/>
      <c r="W71" s="150"/>
      <c r="X71" s="148"/>
      <c r="Y71" s="149"/>
      <c r="Z71" s="150"/>
      <c r="AA71" s="148"/>
      <c r="AB71" s="149"/>
      <c r="AC71" s="150"/>
      <c r="AD71" s="148"/>
      <c r="AE71" s="149"/>
      <c r="AF71" s="150"/>
      <c r="AG71" s="148"/>
      <c r="AH71" s="149"/>
      <c r="AI71" s="150"/>
      <c r="AJ71" s="148"/>
      <c r="AK71" s="149"/>
      <c r="AL71" s="150"/>
      <c r="AM71" s="148"/>
      <c r="AN71" s="149"/>
      <c r="AO71" s="150"/>
      <c r="AP71" s="148"/>
      <c r="AQ71" s="149"/>
      <c r="AR71" s="150"/>
      <c r="AS71" s="148"/>
      <c r="AT71" s="149"/>
      <c r="AU71" s="150"/>
      <c r="AV71" s="148"/>
      <c r="AW71" s="149"/>
      <c r="AX71" s="150"/>
      <c r="AY71" s="148"/>
      <c r="AZ71" s="149"/>
      <c r="BA71" s="150"/>
      <c r="BB71" s="148"/>
      <c r="BC71" s="149"/>
      <c r="BD71" s="150"/>
      <c r="BE71" s="148"/>
      <c r="BF71" s="149"/>
      <c r="BG71" s="150"/>
    </row>
    <row r="72" spans="1:59" ht="16.5" customHeight="1" x14ac:dyDescent="0.25">
      <c r="A72" s="342" t="s">
        <v>102</v>
      </c>
      <c r="B72" s="346" t="s">
        <v>154</v>
      </c>
      <c r="C72" s="62" t="s">
        <v>94</v>
      </c>
      <c r="D72" s="12"/>
      <c r="E72" s="12"/>
      <c r="F72" s="10"/>
      <c r="G72" s="11"/>
      <c r="H72" s="29"/>
      <c r="I72" s="161">
        <v>-0.11</v>
      </c>
      <c r="J72" s="90"/>
      <c r="K72" s="162"/>
      <c r="L72" s="161">
        <v>0.26</v>
      </c>
      <c r="M72" s="90"/>
      <c r="N72" s="162"/>
      <c r="O72" s="161">
        <v>0.08</v>
      </c>
      <c r="P72" s="90"/>
      <c r="Q72" s="162"/>
      <c r="R72" s="161">
        <f>(O72+L72+I72)/3</f>
        <v>7.6666666666666675E-2</v>
      </c>
      <c r="S72" s="90"/>
      <c r="T72" s="162"/>
      <c r="U72" s="291">
        <v>-0.15910961060923268</v>
      </c>
      <c r="V72" s="90"/>
      <c r="W72" s="162"/>
      <c r="X72" s="161">
        <v>2.2728076307240535E-2</v>
      </c>
      <c r="Y72" s="90"/>
      <c r="Z72" s="162"/>
      <c r="AA72" s="161"/>
      <c r="AB72" s="90"/>
      <c r="AC72" s="162"/>
      <c r="AD72" s="161">
        <v>-4.7756904708413574E-2</v>
      </c>
      <c r="AE72" s="90"/>
      <c r="AF72" s="162"/>
      <c r="AG72" s="161">
        <v>2.8653723367258507E-2</v>
      </c>
      <c r="AH72" s="90"/>
      <c r="AI72" s="162"/>
      <c r="AJ72" s="161"/>
      <c r="AK72" s="90"/>
      <c r="AL72" s="162"/>
      <c r="AM72" s="161"/>
      <c r="AN72" s="90"/>
      <c r="AO72" s="162"/>
      <c r="AP72" s="161"/>
      <c r="AQ72" s="90"/>
      <c r="AR72" s="162"/>
      <c r="AS72" s="161"/>
      <c r="AT72" s="90"/>
      <c r="AU72" s="162"/>
      <c r="AV72" s="161"/>
      <c r="AW72" s="90"/>
      <c r="AX72" s="162"/>
      <c r="AY72" s="161"/>
      <c r="AZ72" s="90"/>
      <c r="BA72" s="162"/>
      <c r="BB72" s="161"/>
      <c r="BC72" s="90"/>
      <c r="BD72" s="162"/>
      <c r="BE72" s="161"/>
      <c r="BF72" s="90"/>
      <c r="BG72" s="162"/>
    </row>
    <row r="73" spans="1:59" ht="16.5" customHeight="1" x14ac:dyDescent="0.25">
      <c r="A73" s="342"/>
      <c r="B73" s="346"/>
      <c r="C73" s="62" t="s">
        <v>95</v>
      </c>
      <c r="D73" s="12"/>
      <c r="E73" s="12"/>
      <c r="F73" s="10"/>
      <c r="G73" s="11"/>
      <c r="H73" s="29"/>
      <c r="I73" s="161">
        <v>0.34</v>
      </c>
      <c r="J73" s="90"/>
      <c r="K73" s="162"/>
      <c r="L73" s="161">
        <v>0.22</v>
      </c>
      <c r="M73" s="90"/>
      <c r="N73" s="162"/>
      <c r="O73" s="161">
        <v>0.22</v>
      </c>
      <c r="P73" s="90"/>
      <c r="Q73" s="162"/>
      <c r="R73" s="161">
        <f t="shared" ref="R73:R75" si="23">(O73+L73+I73)/3</f>
        <v>0.26</v>
      </c>
      <c r="S73" s="90"/>
      <c r="T73" s="162"/>
      <c r="U73" s="161">
        <v>0.13168570236352636</v>
      </c>
      <c r="V73" s="90"/>
      <c r="W73" s="162"/>
      <c r="X73" s="161">
        <v>-0.15429544561372865</v>
      </c>
      <c r="Y73" s="90"/>
      <c r="Z73" s="162"/>
      <c r="AA73" s="161"/>
      <c r="AB73" s="90"/>
      <c r="AC73" s="162"/>
      <c r="AD73" s="161">
        <v>-0.3408520963828226</v>
      </c>
      <c r="AE73" s="90"/>
      <c r="AF73" s="162"/>
      <c r="AG73" s="161">
        <v>0</v>
      </c>
      <c r="AH73" s="90"/>
      <c r="AI73" s="162"/>
      <c r="AJ73" s="161"/>
      <c r="AK73" s="90"/>
      <c r="AL73" s="162"/>
      <c r="AM73" s="161"/>
      <c r="AN73" s="90"/>
      <c r="AO73" s="162"/>
      <c r="AP73" s="161"/>
      <c r="AQ73" s="90"/>
      <c r="AR73" s="162"/>
      <c r="AS73" s="161"/>
      <c r="AT73" s="90"/>
      <c r="AU73" s="162"/>
      <c r="AV73" s="161"/>
      <c r="AW73" s="90"/>
      <c r="AX73" s="162"/>
      <c r="AY73" s="161"/>
      <c r="AZ73" s="90"/>
      <c r="BA73" s="162"/>
      <c r="BB73" s="161"/>
      <c r="BC73" s="90"/>
      <c r="BD73" s="162"/>
      <c r="BE73" s="161"/>
      <c r="BF73" s="90"/>
      <c r="BG73" s="162"/>
    </row>
    <row r="74" spans="1:59" ht="16.5" customHeight="1" x14ac:dyDescent="0.25">
      <c r="A74" s="342"/>
      <c r="B74" s="346"/>
      <c r="C74" s="62" t="s">
        <v>96</v>
      </c>
      <c r="D74" s="12"/>
      <c r="E74" s="12"/>
      <c r="F74" s="10"/>
      <c r="G74" s="11"/>
      <c r="H74" s="29"/>
      <c r="I74" s="161">
        <v>0.05</v>
      </c>
      <c r="J74" s="90"/>
      <c r="K74" s="162"/>
      <c r="L74" s="161">
        <v>0.18</v>
      </c>
      <c r="M74" s="90"/>
      <c r="N74" s="162"/>
      <c r="O74" s="161">
        <v>0.16</v>
      </c>
      <c r="P74" s="90"/>
      <c r="Q74" s="162"/>
      <c r="R74" s="161">
        <f t="shared" si="23"/>
        <v>0.12999999999999998</v>
      </c>
      <c r="S74" s="90"/>
      <c r="T74" s="162"/>
      <c r="U74" s="161">
        <v>0.10225109086423245</v>
      </c>
      <c r="V74" s="90"/>
      <c r="W74" s="162"/>
      <c r="X74" s="161">
        <v>4.0174666557038295E-2</v>
      </c>
      <c r="Y74" s="90"/>
      <c r="Z74" s="162"/>
      <c r="AA74" s="161"/>
      <c r="AB74" s="90"/>
      <c r="AC74" s="162"/>
      <c r="AD74" s="161">
        <v>0.11822831878222152</v>
      </c>
      <c r="AE74" s="90"/>
      <c r="AF74" s="162"/>
      <c r="AG74" s="161">
        <v>0</v>
      </c>
      <c r="AH74" s="90"/>
      <c r="AI74" s="162"/>
      <c r="AJ74" s="161"/>
      <c r="AK74" s="90"/>
      <c r="AL74" s="162"/>
      <c r="AM74" s="161"/>
      <c r="AN74" s="90"/>
      <c r="AO74" s="162"/>
      <c r="AP74" s="161"/>
      <c r="AQ74" s="90"/>
      <c r="AR74" s="162"/>
      <c r="AS74" s="161"/>
      <c r="AT74" s="90"/>
      <c r="AU74" s="162"/>
      <c r="AV74" s="161"/>
      <c r="AW74" s="90"/>
      <c r="AX74" s="162"/>
      <c r="AY74" s="161"/>
      <c r="AZ74" s="90"/>
      <c r="BA74" s="162"/>
      <c r="BB74" s="161"/>
      <c r="BC74" s="90"/>
      <c r="BD74" s="162"/>
      <c r="BE74" s="161"/>
      <c r="BF74" s="90"/>
      <c r="BG74" s="162"/>
    </row>
    <row r="75" spans="1:59" ht="16.5" customHeight="1" x14ac:dyDescent="0.25">
      <c r="A75" s="342"/>
      <c r="B75" s="346"/>
      <c r="C75" s="62" t="s">
        <v>97</v>
      </c>
      <c r="D75" s="12"/>
      <c r="E75" s="12"/>
      <c r="F75" s="10"/>
      <c r="G75" s="11"/>
      <c r="H75" s="29"/>
      <c r="I75" s="161">
        <v>0.21</v>
      </c>
      <c r="J75" s="90"/>
      <c r="K75" s="162"/>
      <c r="L75" s="161">
        <v>0.18</v>
      </c>
      <c r="M75" s="90"/>
      <c r="N75" s="162"/>
      <c r="O75" s="161">
        <v>0.2</v>
      </c>
      <c r="P75" s="90"/>
      <c r="Q75" s="162"/>
      <c r="R75" s="161">
        <f t="shared" si="23"/>
        <v>0.19666666666666666</v>
      </c>
      <c r="S75" s="90"/>
      <c r="T75" s="162"/>
      <c r="U75" s="161">
        <v>5.0294600964015619E-2</v>
      </c>
      <c r="V75" s="90"/>
      <c r="W75" s="162"/>
      <c r="X75" s="161">
        <v>-0.14892793724812001</v>
      </c>
      <c r="Y75" s="90"/>
      <c r="Z75" s="162"/>
      <c r="AA75" s="161"/>
      <c r="AB75" s="90"/>
      <c r="AC75" s="162"/>
      <c r="AD75" s="161">
        <v>-8.5624601485737958E-2</v>
      </c>
      <c r="AE75" s="90"/>
      <c r="AF75" s="162"/>
      <c r="AG75" s="161">
        <v>0</v>
      </c>
      <c r="AH75" s="90"/>
      <c r="AI75" s="162"/>
      <c r="AJ75" s="161"/>
      <c r="AK75" s="90"/>
      <c r="AL75" s="162"/>
      <c r="AM75" s="161"/>
      <c r="AN75" s="90"/>
      <c r="AO75" s="162"/>
      <c r="AP75" s="161"/>
      <c r="AQ75" s="90"/>
      <c r="AR75" s="162"/>
      <c r="AS75" s="161"/>
      <c r="AT75" s="90"/>
      <c r="AU75" s="162"/>
      <c r="AV75" s="161"/>
      <c r="AW75" s="90"/>
      <c r="AX75" s="162"/>
      <c r="AY75" s="161"/>
      <c r="AZ75" s="90"/>
      <c r="BA75" s="162"/>
      <c r="BB75" s="161"/>
      <c r="BC75" s="90"/>
      <c r="BD75" s="162"/>
      <c r="BE75" s="161"/>
      <c r="BF75" s="90"/>
      <c r="BG75" s="162"/>
    </row>
    <row r="76" spans="1:59" ht="6" customHeight="1" x14ac:dyDescent="0.25">
      <c r="I76" s="148"/>
      <c r="J76" s="149"/>
      <c r="K76" s="150"/>
      <c r="L76" s="148"/>
      <c r="M76" s="149"/>
      <c r="N76" s="150"/>
      <c r="O76" s="148"/>
      <c r="P76" s="149"/>
      <c r="Q76" s="150"/>
      <c r="R76" s="148"/>
      <c r="S76" s="149"/>
      <c r="T76" s="150"/>
      <c r="U76" s="148"/>
      <c r="V76" s="149"/>
      <c r="W76" s="150"/>
      <c r="X76" s="148"/>
      <c r="Y76" s="149"/>
      <c r="Z76" s="150"/>
      <c r="AA76" s="148"/>
      <c r="AB76" s="149"/>
      <c r="AC76" s="150"/>
      <c r="AD76" s="148"/>
      <c r="AE76" s="149"/>
      <c r="AF76" s="150"/>
      <c r="AG76" s="148"/>
      <c r="AH76" s="149"/>
      <c r="AI76" s="150"/>
      <c r="AJ76" s="148"/>
      <c r="AK76" s="149"/>
      <c r="AL76" s="150"/>
      <c r="AM76" s="148"/>
      <c r="AN76" s="149"/>
      <c r="AO76" s="150"/>
      <c r="AP76" s="148"/>
      <c r="AQ76" s="149"/>
      <c r="AR76" s="150"/>
      <c r="AS76" s="148"/>
      <c r="AT76" s="149"/>
      <c r="AU76" s="150"/>
      <c r="AV76" s="148"/>
      <c r="AW76" s="149"/>
      <c r="AX76" s="150"/>
      <c r="AY76" s="148"/>
      <c r="AZ76" s="149"/>
      <c r="BA76" s="150"/>
      <c r="BB76" s="148"/>
      <c r="BC76" s="149"/>
      <c r="BD76" s="150"/>
      <c r="BE76" s="148"/>
      <c r="BF76" s="149"/>
      <c r="BG76" s="150"/>
    </row>
    <row r="77" spans="1:59" ht="37.5" customHeight="1" x14ac:dyDescent="0.25">
      <c r="A77" s="347" t="s">
        <v>54</v>
      </c>
      <c r="B77" s="322"/>
      <c r="C77" s="62" t="s">
        <v>103</v>
      </c>
      <c r="D77" s="12"/>
      <c r="E77" s="12"/>
      <c r="F77" s="10"/>
      <c r="G77" s="11"/>
      <c r="H77" s="29"/>
      <c r="I77" s="136">
        <f>SUM(I56:I58)/I5</f>
        <v>0.55032716285134298</v>
      </c>
      <c r="J77" s="85"/>
      <c r="K77" s="137"/>
      <c r="L77" s="136">
        <f>SUM(L56:L58)/L5</f>
        <v>0.47215217321840641</v>
      </c>
      <c r="M77" s="85"/>
      <c r="N77" s="137"/>
      <c r="O77" s="136">
        <f>SUM(O56:O58)/O5</f>
        <v>0.5390392027442118</v>
      </c>
      <c r="P77" s="85"/>
      <c r="Q77" s="137"/>
      <c r="R77" s="136">
        <f>(O77+L77+I77)/3</f>
        <v>0.52050617960465362</v>
      </c>
      <c r="S77" s="85"/>
      <c r="T77" s="137"/>
      <c r="U77" s="136">
        <f>SUM(U56:U58)/U5</f>
        <v>0.55837077632172427</v>
      </c>
      <c r="V77" s="85"/>
      <c r="W77" s="137"/>
      <c r="X77" s="136">
        <f>SUM(X56:X58)/X5</f>
        <v>0.58486534566355508</v>
      </c>
      <c r="Y77" s="85"/>
      <c r="Z77" s="137"/>
      <c r="AA77" s="136">
        <f>SUM(AA56:AA58)/AA5</f>
        <v>0.49732197289619617</v>
      </c>
      <c r="AB77" s="85"/>
      <c r="AC77" s="137"/>
      <c r="AD77" s="136">
        <f>SUM(AD56:AD58)/AD5</f>
        <v>0.55064196495700435</v>
      </c>
      <c r="AE77" s="85"/>
      <c r="AF77" s="137"/>
      <c r="AG77" s="136">
        <f>SUM(AG56:AG58)/AG5</f>
        <v>0.40475431045575527</v>
      </c>
      <c r="AH77" s="85"/>
      <c r="AI77" s="137"/>
      <c r="AJ77" s="136"/>
      <c r="AK77" s="85"/>
      <c r="AL77" s="137"/>
      <c r="AM77" s="136"/>
      <c r="AN77" s="85"/>
      <c r="AO77" s="137"/>
      <c r="AP77" s="136"/>
      <c r="AQ77" s="85"/>
      <c r="AR77" s="137"/>
      <c r="AS77" s="136"/>
      <c r="AT77" s="85"/>
      <c r="AU77" s="137"/>
      <c r="AV77" s="136"/>
      <c r="AW77" s="85"/>
      <c r="AX77" s="137"/>
      <c r="AY77" s="136"/>
      <c r="AZ77" s="85"/>
      <c r="BA77" s="137"/>
      <c r="BB77" s="136"/>
      <c r="BC77" s="85"/>
      <c r="BD77" s="137"/>
      <c r="BE77" s="136"/>
      <c r="BF77" s="85"/>
      <c r="BG77" s="137"/>
    </row>
    <row r="78" spans="1:59" ht="5.25" customHeight="1" x14ac:dyDescent="0.25">
      <c r="I78" s="148"/>
      <c r="J78" s="149"/>
      <c r="K78" s="150"/>
      <c r="L78" s="148"/>
      <c r="M78" s="149"/>
      <c r="N78" s="150"/>
      <c r="O78" s="148"/>
      <c r="P78" s="149"/>
      <c r="Q78" s="150"/>
      <c r="R78" s="148"/>
      <c r="S78" s="149"/>
      <c r="T78" s="150"/>
      <c r="U78" s="148"/>
      <c r="V78" s="149"/>
      <c r="W78" s="150"/>
      <c r="X78" s="148"/>
      <c r="Y78" s="149"/>
      <c r="Z78" s="150"/>
      <c r="AA78" s="148"/>
      <c r="AB78" s="149"/>
      <c r="AC78" s="150"/>
      <c r="AD78" s="148"/>
      <c r="AE78" s="149"/>
      <c r="AF78" s="150"/>
      <c r="AG78" s="148"/>
      <c r="AH78" s="149"/>
      <c r="AI78" s="150"/>
      <c r="AJ78" s="148"/>
      <c r="AK78" s="149"/>
      <c r="AL78" s="150"/>
      <c r="AM78" s="148"/>
      <c r="AN78" s="149"/>
      <c r="AO78" s="150"/>
      <c r="AP78" s="148"/>
      <c r="AQ78" s="149"/>
      <c r="AR78" s="150"/>
      <c r="AS78" s="148"/>
      <c r="AT78" s="149"/>
      <c r="AU78" s="150"/>
      <c r="AV78" s="148"/>
      <c r="AW78" s="149"/>
      <c r="AX78" s="150"/>
      <c r="AY78" s="148"/>
      <c r="AZ78" s="149"/>
      <c r="BA78" s="150"/>
      <c r="BB78" s="148"/>
      <c r="BC78" s="149"/>
      <c r="BD78" s="150"/>
      <c r="BE78" s="148"/>
      <c r="BF78" s="149"/>
      <c r="BG78" s="150"/>
    </row>
    <row r="79" spans="1:59" x14ac:dyDescent="0.25">
      <c r="A79" s="342" t="s">
        <v>155</v>
      </c>
      <c r="B79" s="348"/>
      <c r="C79" s="62" t="s">
        <v>106</v>
      </c>
      <c r="D79" s="12"/>
      <c r="E79" s="12"/>
      <c r="F79" s="10"/>
      <c r="G79" s="11"/>
      <c r="H79" s="29"/>
      <c r="I79" s="159"/>
      <c r="J79" s="11"/>
      <c r="K79" s="160"/>
      <c r="L79" s="159"/>
      <c r="M79" s="11"/>
      <c r="N79" s="160"/>
      <c r="O79" s="159"/>
      <c r="P79" s="11"/>
      <c r="Q79" s="160"/>
      <c r="R79" s="159" t="s">
        <v>194</v>
      </c>
      <c r="S79" s="11"/>
      <c r="T79" s="160"/>
      <c r="U79" s="159" t="s">
        <v>194</v>
      </c>
      <c r="V79" s="11"/>
      <c r="W79" s="160"/>
      <c r="X79" s="159"/>
      <c r="Y79" s="11"/>
      <c r="Z79" s="160"/>
      <c r="AA79" s="159">
        <v>7015</v>
      </c>
      <c r="AB79" s="11"/>
      <c r="AC79" s="160"/>
      <c r="AD79" s="159"/>
      <c r="AE79" s="11"/>
      <c r="AF79" s="160"/>
      <c r="AG79" s="159">
        <v>651</v>
      </c>
      <c r="AH79" s="11"/>
      <c r="AI79" s="160"/>
      <c r="AJ79" s="159"/>
      <c r="AK79" s="11"/>
      <c r="AL79" s="160"/>
      <c r="AM79" s="159"/>
      <c r="AN79" s="11"/>
      <c r="AO79" s="160"/>
      <c r="AP79" s="159"/>
      <c r="AQ79" s="11"/>
      <c r="AR79" s="160"/>
      <c r="AS79" s="159"/>
      <c r="AT79" s="11"/>
      <c r="AU79" s="160"/>
      <c r="AV79" s="159"/>
      <c r="AW79" s="11"/>
      <c r="AX79" s="160"/>
      <c r="AY79" s="159"/>
      <c r="AZ79" s="11"/>
      <c r="BA79" s="160"/>
      <c r="BB79" s="159"/>
      <c r="BC79" s="11"/>
      <c r="BD79" s="160"/>
      <c r="BE79" s="159"/>
      <c r="BF79" s="11"/>
      <c r="BG79" s="160"/>
    </row>
    <row r="80" spans="1:59" ht="5.25" customHeight="1" x14ac:dyDescent="0.25">
      <c r="A80" s="342"/>
      <c r="B80" s="348"/>
      <c r="C80" s="68"/>
      <c r="D80" s="12"/>
      <c r="E80" s="12"/>
      <c r="F80" s="10"/>
      <c r="G80" s="11"/>
      <c r="H80" s="29"/>
      <c r="I80" s="159"/>
      <c r="J80" s="11"/>
      <c r="K80" s="160"/>
      <c r="L80" s="159"/>
      <c r="M80" s="11"/>
      <c r="N80" s="160"/>
      <c r="O80" s="159"/>
      <c r="P80" s="11"/>
      <c r="Q80" s="160"/>
      <c r="R80" s="159"/>
      <c r="S80" s="11"/>
      <c r="T80" s="160"/>
      <c r="U80" s="159"/>
      <c r="V80" s="11"/>
      <c r="W80" s="160"/>
      <c r="X80" s="159"/>
      <c r="Y80" s="11"/>
      <c r="Z80" s="160"/>
      <c r="AA80" s="159"/>
      <c r="AB80" s="11"/>
      <c r="AC80" s="160"/>
      <c r="AD80" s="159"/>
      <c r="AE80" s="11"/>
      <c r="AF80" s="160"/>
      <c r="AG80" s="159"/>
      <c r="AH80" s="11"/>
      <c r="AI80" s="160"/>
      <c r="AJ80" s="159"/>
      <c r="AK80" s="11"/>
      <c r="AL80" s="160"/>
      <c r="AM80" s="159"/>
      <c r="AN80" s="11"/>
      <c r="AO80" s="160"/>
      <c r="AP80" s="159"/>
      <c r="AQ80" s="11"/>
      <c r="AR80" s="160"/>
      <c r="AS80" s="159"/>
      <c r="AT80" s="11"/>
      <c r="AU80" s="160"/>
      <c r="AV80" s="159"/>
      <c r="AW80" s="11"/>
      <c r="AX80" s="160"/>
      <c r="AY80" s="159"/>
      <c r="AZ80" s="11"/>
      <c r="BA80" s="160"/>
      <c r="BB80" s="159"/>
      <c r="BC80" s="11"/>
      <c r="BD80" s="160"/>
      <c r="BE80" s="159"/>
      <c r="BF80" s="11"/>
      <c r="BG80" s="160"/>
    </row>
    <row r="81" spans="1:59" x14ac:dyDescent="0.25">
      <c r="A81" s="348"/>
      <c r="B81" s="348"/>
      <c r="C81" s="62" t="s">
        <v>107</v>
      </c>
      <c r="D81" s="12"/>
      <c r="E81" s="12"/>
      <c r="F81" s="10"/>
      <c r="G81" s="11"/>
      <c r="H81" s="29"/>
      <c r="I81" s="159"/>
      <c r="J81" s="11"/>
      <c r="K81" s="160"/>
      <c r="L81" s="159"/>
      <c r="M81" s="11"/>
      <c r="N81" s="160"/>
      <c r="O81" s="159"/>
      <c r="P81" s="11"/>
      <c r="Q81" s="160"/>
      <c r="R81" s="159" t="s">
        <v>194</v>
      </c>
      <c r="S81" s="11"/>
      <c r="T81" s="160"/>
      <c r="U81" s="159" t="s">
        <v>194</v>
      </c>
      <c r="V81" s="11"/>
      <c r="W81" s="160"/>
      <c r="X81" s="159"/>
      <c r="Y81" s="11"/>
      <c r="Z81" s="160"/>
      <c r="AA81" s="161">
        <f>AA79/AA56</f>
        <v>8.8297858949991821E-3</v>
      </c>
      <c r="AB81" s="11"/>
      <c r="AC81" s="160"/>
      <c r="AD81" s="159"/>
      <c r="AE81" s="11"/>
      <c r="AF81" s="160"/>
      <c r="AG81" s="161">
        <f>AG79/AG56</f>
        <v>1.94492079900095E-3</v>
      </c>
      <c r="AH81" s="11"/>
      <c r="AI81" s="160"/>
      <c r="AJ81" s="159"/>
      <c r="AK81" s="11"/>
      <c r="AL81" s="160"/>
      <c r="AM81" s="159"/>
      <c r="AN81" s="11"/>
      <c r="AO81" s="160"/>
      <c r="AP81" s="159"/>
      <c r="AQ81" s="11"/>
      <c r="AR81" s="160"/>
      <c r="AS81" s="159"/>
      <c r="AT81" s="11"/>
      <c r="AU81" s="160"/>
      <c r="AV81" s="159"/>
      <c r="AW81" s="11"/>
      <c r="AX81" s="160"/>
      <c r="AY81" s="159"/>
      <c r="AZ81" s="11"/>
      <c r="BA81" s="160"/>
      <c r="BB81" s="159"/>
      <c r="BC81" s="11"/>
      <c r="BD81" s="160"/>
      <c r="BE81" s="159"/>
      <c r="BF81" s="11"/>
      <c r="BG81" s="160"/>
    </row>
    <row r="82" spans="1:59" ht="4.5" customHeight="1" x14ac:dyDescent="0.25">
      <c r="A82" s="348"/>
      <c r="B82" s="348"/>
      <c r="C82" s="68"/>
      <c r="D82" s="12"/>
      <c r="E82" s="12"/>
      <c r="F82" s="10"/>
      <c r="G82" s="11"/>
      <c r="H82" s="29"/>
      <c r="I82" s="159"/>
      <c r="J82" s="11"/>
      <c r="K82" s="160"/>
      <c r="L82" s="159"/>
      <c r="M82" s="11"/>
      <c r="N82" s="160"/>
      <c r="O82" s="159"/>
      <c r="P82" s="11"/>
      <c r="Q82" s="160"/>
      <c r="R82" s="159"/>
      <c r="S82" s="11"/>
      <c r="T82" s="160"/>
      <c r="U82" s="159"/>
      <c r="V82" s="11"/>
      <c r="W82" s="160"/>
      <c r="X82" s="159"/>
      <c r="Y82" s="11"/>
      <c r="Z82" s="160"/>
      <c r="AA82" s="159"/>
      <c r="AB82" s="11"/>
      <c r="AC82" s="160"/>
      <c r="AD82" s="159"/>
      <c r="AE82" s="11"/>
      <c r="AF82" s="160"/>
      <c r="AG82" s="159"/>
      <c r="AH82" s="11"/>
      <c r="AI82" s="160"/>
      <c r="AJ82" s="159"/>
      <c r="AK82" s="11"/>
      <c r="AL82" s="160"/>
      <c r="AM82" s="159"/>
      <c r="AN82" s="11"/>
      <c r="AO82" s="160"/>
      <c r="AP82" s="159"/>
      <c r="AQ82" s="11"/>
      <c r="AR82" s="160"/>
      <c r="AS82" s="159"/>
      <c r="AT82" s="11"/>
      <c r="AU82" s="160"/>
      <c r="AV82" s="159"/>
      <c r="AW82" s="11"/>
      <c r="AX82" s="160"/>
      <c r="AY82" s="159"/>
      <c r="AZ82" s="11"/>
      <c r="BA82" s="160"/>
      <c r="BB82" s="159"/>
      <c r="BC82" s="11"/>
      <c r="BD82" s="160"/>
      <c r="BE82" s="159"/>
      <c r="BF82" s="11"/>
      <c r="BG82" s="160"/>
    </row>
    <row r="83" spans="1:59" x14ac:dyDescent="0.25">
      <c r="A83" s="348"/>
      <c r="B83" s="348"/>
      <c r="C83" s="62" t="s">
        <v>110</v>
      </c>
      <c r="D83" s="12"/>
      <c r="E83" s="12"/>
      <c r="F83" s="10"/>
      <c r="G83" s="11"/>
      <c r="H83" s="29"/>
      <c r="I83" s="159"/>
      <c r="J83" s="11"/>
      <c r="K83" s="160"/>
      <c r="L83" s="159"/>
      <c r="M83" s="11"/>
      <c r="N83" s="160"/>
      <c r="O83" s="159"/>
      <c r="P83" s="11"/>
      <c r="Q83" s="160"/>
      <c r="R83" s="159" t="s">
        <v>194</v>
      </c>
      <c r="S83" s="11"/>
      <c r="T83" s="160"/>
      <c r="U83" s="159" t="s">
        <v>194</v>
      </c>
      <c r="V83" s="11"/>
      <c r="W83" s="160"/>
      <c r="X83" s="159"/>
      <c r="Y83" s="11"/>
      <c r="Z83" s="160"/>
      <c r="AA83" s="11"/>
      <c r="AB83" s="11"/>
      <c r="AC83" s="160"/>
      <c r="AD83" s="159"/>
      <c r="AE83" s="11"/>
      <c r="AF83" s="160"/>
      <c r="AG83" s="159"/>
      <c r="AH83" s="11"/>
      <c r="AI83" s="160"/>
      <c r="AJ83" s="159"/>
      <c r="AK83" s="11"/>
      <c r="AL83" s="160"/>
      <c r="AM83" s="159"/>
      <c r="AN83" s="11"/>
      <c r="AO83" s="160"/>
      <c r="AP83" s="159"/>
      <c r="AQ83" s="11"/>
      <c r="AR83" s="160"/>
      <c r="AS83" s="159"/>
      <c r="AT83" s="11"/>
      <c r="AU83" s="160"/>
      <c r="AV83" s="159"/>
      <c r="AW83" s="11"/>
      <c r="AX83" s="160"/>
      <c r="AY83" s="159"/>
      <c r="AZ83" s="11"/>
      <c r="BA83" s="160"/>
      <c r="BB83" s="159"/>
      <c r="BC83" s="11"/>
      <c r="BD83" s="160"/>
      <c r="BE83" s="159"/>
      <c r="BF83" s="11"/>
      <c r="BG83" s="160"/>
    </row>
    <row r="84" spans="1:59" ht="5.25" customHeight="1" x14ac:dyDescent="0.25">
      <c r="I84" s="148"/>
      <c r="J84" s="149"/>
      <c r="K84" s="150"/>
      <c r="L84" s="148"/>
      <c r="M84" s="149"/>
      <c r="N84" s="150"/>
      <c r="O84" s="148"/>
      <c r="P84" s="149"/>
      <c r="Q84" s="150"/>
      <c r="R84" s="148"/>
      <c r="S84" s="149"/>
      <c r="T84" s="150"/>
      <c r="U84" s="148"/>
      <c r="V84" s="149"/>
      <c r="W84" s="150"/>
      <c r="X84" s="148"/>
      <c r="Y84" s="149"/>
      <c r="Z84" s="150"/>
      <c r="AA84" s="149"/>
      <c r="AB84" s="149"/>
      <c r="AC84" s="150"/>
      <c r="AD84" s="148"/>
      <c r="AE84" s="149"/>
      <c r="AF84" s="150"/>
      <c r="AG84" s="148"/>
      <c r="AH84" s="149"/>
      <c r="AI84" s="150"/>
      <c r="AJ84" s="148"/>
      <c r="AK84" s="149"/>
      <c r="AL84" s="150"/>
      <c r="AM84" s="148"/>
      <c r="AN84" s="149"/>
      <c r="AO84" s="150"/>
      <c r="AP84" s="148"/>
      <c r="AQ84" s="149"/>
      <c r="AR84" s="150"/>
      <c r="AS84" s="148"/>
      <c r="AT84" s="149"/>
      <c r="AU84" s="150"/>
      <c r="AV84" s="148"/>
      <c r="AW84" s="149"/>
      <c r="AX84" s="150"/>
      <c r="AY84" s="148"/>
      <c r="AZ84" s="149"/>
      <c r="BA84" s="150"/>
      <c r="BB84" s="148"/>
      <c r="BC84" s="149"/>
      <c r="BD84" s="150"/>
      <c r="BE84" s="148"/>
      <c r="BF84" s="149"/>
      <c r="BG84" s="150"/>
    </row>
    <row r="85" spans="1:59" ht="15" customHeight="1" x14ac:dyDescent="0.25">
      <c r="A85" s="347" t="s">
        <v>156</v>
      </c>
      <c r="B85" s="356" t="s">
        <v>28</v>
      </c>
      <c r="C85" s="62" t="s">
        <v>28</v>
      </c>
      <c r="D85" s="12"/>
      <c r="E85" s="12"/>
      <c r="F85" s="10"/>
      <c r="G85" s="11"/>
      <c r="H85" s="29"/>
      <c r="I85" s="225">
        <v>826583</v>
      </c>
      <c r="J85" s="107"/>
      <c r="K85" s="143"/>
      <c r="L85" s="225">
        <v>815145</v>
      </c>
      <c r="M85" s="107"/>
      <c r="N85" s="143"/>
      <c r="O85" s="225">
        <v>788334</v>
      </c>
      <c r="P85" s="107"/>
      <c r="Q85" s="143"/>
      <c r="R85" s="225">
        <f>SUM(O85+L85+I85)</f>
        <v>2430062</v>
      </c>
      <c r="S85" s="107"/>
      <c r="T85" s="143"/>
      <c r="U85" s="11">
        <v>769187</v>
      </c>
      <c r="V85" s="107"/>
      <c r="W85" s="143"/>
      <c r="X85">
        <v>792997</v>
      </c>
      <c r="Y85" s="107"/>
      <c r="Z85" s="143"/>
      <c r="AA85" s="107">
        <v>706364</v>
      </c>
      <c r="AB85" s="107"/>
      <c r="AC85" s="143"/>
      <c r="AD85" s="142">
        <f>(U85+X85+AA85)</f>
        <v>2268548</v>
      </c>
      <c r="AE85" s="107"/>
      <c r="AF85" s="143"/>
      <c r="AG85" s="142">
        <v>513524</v>
      </c>
      <c r="AH85" s="107"/>
      <c r="AI85" s="143"/>
      <c r="AJ85" s="142"/>
      <c r="AK85" s="107"/>
      <c r="AL85" s="143"/>
      <c r="AM85" s="142"/>
      <c r="AN85" s="107"/>
      <c r="AO85" s="143"/>
      <c r="AP85" s="142"/>
      <c r="AQ85" s="107"/>
      <c r="AR85" s="143"/>
      <c r="AS85" s="142"/>
      <c r="AT85" s="107"/>
      <c r="AU85" s="143"/>
      <c r="AV85" s="142"/>
      <c r="AW85" s="107"/>
      <c r="AX85" s="143"/>
      <c r="AY85" s="142"/>
      <c r="AZ85" s="107"/>
      <c r="BA85" s="143"/>
      <c r="BB85" s="142"/>
      <c r="BC85" s="107"/>
      <c r="BD85" s="143"/>
      <c r="BE85" s="142"/>
      <c r="BF85" s="107"/>
      <c r="BG85" s="143"/>
    </row>
    <row r="86" spans="1:59" x14ac:dyDescent="0.25">
      <c r="A86" s="347"/>
      <c r="B86" s="357"/>
      <c r="C86" s="62" t="s">
        <v>55</v>
      </c>
      <c r="D86" s="12"/>
      <c r="E86" s="12"/>
      <c r="F86" s="10"/>
      <c r="G86" s="11"/>
      <c r="H86" s="29"/>
      <c r="I86" s="136"/>
      <c r="J86" s="85"/>
      <c r="K86" s="137"/>
      <c r="L86" s="136">
        <f>L85/L5</f>
        <v>0.24117201174461497</v>
      </c>
      <c r="M86" s="85"/>
      <c r="N86" s="137"/>
      <c r="O86" s="136">
        <f>O85/O5</f>
        <v>0.28579652875334211</v>
      </c>
      <c r="P86" s="85"/>
      <c r="Q86" s="137"/>
      <c r="R86" s="136">
        <f>R85/R5</f>
        <v>0.26883509644461934</v>
      </c>
      <c r="S86" s="85"/>
      <c r="T86" s="137"/>
      <c r="U86" s="136">
        <f>U85/U5</f>
        <v>0.28959939579177707</v>
      </c>
      <c r="V86" s="85"/>
      <c r="W86" s="137"/>
      <c r="X86" s="136">
        <f>X85/X5</f>
        <v>0.29488003766149207</v>
      </c>
      <c r="Y86" s="85"/>
      <c r="Z86" s="137"/>
      <c r="AA86" s="136">
        <f>AA85/AA5</f>
        <v>0.33460014807663796</v>
      </c>
      <c r="AB86" s="85"/>
      <c r="AC86" s="137"/>
      <c r="AD86" s="136">
        <f>AD85/AD5</f>
        <v>0.30424474466379287</v>
      </c>
      <c r="AE86" s="85"/>
      <c r="AF86" s="137"/>
      <c r="AG86" s="136">
        <f>AG85/AG5</f>
        <v>0.40047446402488052</v>
      </c>
      <c r="AH86" s="85"/>
      <c r="AI86" s="137"/>
      <c r="AJ86" s="136"/>
      <c r="AK86" s="85"/>
      <c r="AL86" s="137"/>
      <c r="AM86" s="136"/>
      <c r="AN86" s="85"/>
      <c r="AO86" s="137"/>
      <c r="AP86" s="136"/>
      <c r="AQ86" s="85"/>
      <c r="AR86" s="137"/>
      <c r="AS86" s="136"/>
      <c r="AT86" s="85"/>
      <c r="AU86" s="137"/>
      <c r="AV86" s="136"/>
      <c r="AW86" s="85"/>
      <c r="AX86" s="137"/>
      <c r="AY86" s="136"/>
      <c r="AZ86" s="85"/>
      <c r="BA86" s="137"/>
      <c r="BB86" s="136"/>
      <c r="BC86" s="85"/>
      <c r="BD86" s="137"/>
      <c r="BE86" s="136"/>
      <c r="BF86" s="85"/>
      <c r="BG86" s="137"/>
    </row>
    <row r="87" spans="1:59" ht="4.5" customHeight="1" x14ac:dyDescent="0.25">
      <c r="A87" s="347"/>
      <c r="B87" s="24"/>
      <c r="C87" s="20"/>
      <c r="D87" s="20"/>
      <c r="E87" s="20"/>
      <c r="F87" s="20"/>
      <c r="G87" s="21"/>
      <c r="H87" s="29"/>
      <c r="I87" s="163"/>
      <c r="J87" s="21"/>
      <c r="K87" s="164"/>
      <c r="L87" s="163"/>
      <c r="M87" s="21"/>
      <c r="N87" s="164"/>
      <c r="O87" s="163"/>
      <c r="P87" s="21"/>
      <c r="Q87" s="164"/>
      <c r="R87" s="163"/>
      <c r="S87" s="21"/>
      <c r="T87" s="164"/>
      <c r="U87" s="163"/>
      <c r="V87" s="21"/>
      <c r="W87" s="164"/>
      <c r="X87" s="163"/>
      <c r="Y87" s="21"/>
      <c r="Z87" s="164"/>
      <c r="AA87" s="21"/>
      <c r="AB87" s="21"/>
      <c r="AC87" s="164"/>
      <c r="AD87" s="163"/>
      <c r="AE87" s="21"/>
      <c r="AF87" s="164"/>
      <c r="AG87" s="163"/>
      <c r="AH87" s="21"/>
      <c r="AI87" s="164"/>
      <c r="AJ87" s="163"/>
      <c r="AK87" s="21"/>
      <c r="AL87" s="164"/>
      <c r="AM87" s="163"/>
      <c r="AN87" s="21"/>
      <c r="AO87" s="164"/>
      <c r="AP87" s="163"/>
      <c r="AQ87" s="21"/>
      <c r="AR87" s="164"/>
      <c r="AS87" s="163"/>
      <c r="AT87" s="21"/>
      <c r="AU87" s="164"/>
      <c r="AV87" s="163"/>
      <c r="AW87" s="21"/>
      <c r="AX87" s="164"/>
      <c r="AY87" s="163"/>
      <c r="AZ87" s="21"/>
      <c r="BA87" s="164"/>
      <c r="BB87" s="163"/>
      <c r="BC87" s="21"/>
      <c r="BD87" s="164"/>
      <c r="BE87" s="163"/>
      <c r="BF87" s="21"/>
      <c r="BG87" s="164"/>
    </row>
    <row r="88" spans="1:59" x14ac:dyDescent="0.25">
      <c r="A88" s="347"/>
      <c r="B88" s="355" t="s">
        <v>34</v>
      </c>
      <c r="C88" s="71" t="s">
        <v>30</v>
      </c>
      <c r="D88" s="12"/>
      <c r="E88" s="12"/>
      <c r="F88" s="10"/>
      <c r="G88" s="11"/>
      <c r="H88" s="29"/>
      <c r="I88" s="225">
        <v>62</v>
      </c>
      <c r="J88" s="11"/>
      <c r="K88" s="160"/>
      <c r="L88" s="225">
        <v>61</v>
      </c>
      <c r="M88" s="11"/>
      <c r="N88" s="160"/>
      <c r="O88" s="225">
        <v>60</v>
      </c>
      <c r="P88" s="11"/>
      <c r="Q88" s="160"/>
      <c r="R88" s="225">
        <f>O88</f>
        <v>60</v>
      </c>
      <c r="S88" s="11"/>
      <c r="T88" s="175"/>
      <c r="U88" s="263">
        <v>148</v>
      </c>
      <c r="V88" s="11"/>
      <c r="W88" s="160"/>
      <c r="X88">
        <v>62</v>
      </c>
      <c r="Y88" s="11"/>
      <c r="Z88" s="160"/>
      <c r="AA88" s="11">
        <v>58</v>
      </c>
      <c r="AB88" s="11"/>
      <c r="AC88" s="160"/>
      <c r="AD88" s="159"/>
      <c r="AE88" s="11"/>
      <c r="AF88" s="160"/>
      <c r="AG88" s="159">
        <v>33</v>
      </c>
      <c r="AH88" s="11"/>
      <c r="AI88" s="160"/>
      <c r="AJ88" s="159"/>
      <c r="AK88" s="11"/>
      <c r="AL88" s="160"/>
      <c r="AM88" s="159"/>
      <c r="AN88" s="11"/>
      <c r="AO88" s="160"/>
      <c r="AP88" s="159"/>
      <c r="AQ88" s="11"/>
      <c r="AR88" s="160"/>
      <c r="AS88" s="159"/>
      <c r="AT88" s="11"/>
      <c r="AU88" s="160"/>
      <c r="AV88" s="159"/>
      <c r="AW88" s="11"/>
      <c r="AX88" s="160"/>
      <c r="AY88" s="159"/>
      <c r="AZ88" s="11"/>
      <c r="BA88" s="160"/>
      <c r="BB88" s="159"/>
      <c r="BC88" s="11"/>
      <c r="BD88" s="160"/>
      <c r="BE88" s="159"/>
      <c r="BF88" s="11"/>
      <c r="BG88" s="160"/>
    </row>
    <row r="89" spans="1:59" x14ac:dyDescent="0.25">
      <c r="A89" s="347"/>
      <c r="B89" s="355"/>
      <c r="C89" s="71" t="s">
        <v>31</v>
      </c>
      <c r="D89" s="12"/>
      <c r="E89" s="12"/>
      <c r="F89" s="10"/>
      <c r="G89" s="11"/>
      <c r="H89" s="29"/>
      <c r="I89" s="225">
        <v>6</v>
      </c>
      <c r="J89" s="11"/>
      <c r="K89" s="160"/>
      <c r="L89" s="225">
        <v>6</v>
      </c>
      <c r="M89" s="11"/>
      <c r="N89" s="160"/>
      <c r="O89" s="225">
        <v>6</v>
      </c>
      <c r="P89" s="11"/>
      <c r="Q89" s="160"/>
      <c r="R89" s="225">
        <f>O89</f>
        <v>6</v>
      </c>
      <c r="S89" s="11"/>
      <c r="T89" s="175"/>
      <c r="U89" s="263">
        <v>6</v>
      </c>
      <c r="V89" s="11"/>
      <c r="W89" s="160"/>
      <c r="X89">
        <v>6</v>
      </c>
      <c r="Y89" s="11"/>
      <c r="Z89" s="160"/>
      <c r="AA89" s="11">
        <v>5</v>
      </c>
      <c r="AB89" s="11"/>
      <c r="AC89" s="160"/>
      <c r="AD89" s="159"/>
      <c r="AE89" s="11"/>
      <c r="AF89" s="160"/>
      <c r="AG89" s="159">
        <v>6</v>
      </c>
      <c r="AH89" s="11"/>
      <c r="AI89" s="160"/>
      <c r="AJ89" s="159"/>
      <c r="AK89" s="11"/>
      <c r="AL89" s="160"/>
      <c r="AM89" s="159"/>
      <c r="AN89" s="11"/>
      <c r="AO89" s="160"/>
      <c r="AP89" s="159"/>
      <c r="AQ89" s="11"/>
      <c r="AR89" s="160"/>
      <c r="AS89" s="159"/>
      <c r="AT89" s="11"/>
      <c r="AU89" s="160"/>
      <c r="AV89" s="159"/>
      <c r="AW89" s="11"/>
      <c r="AX89" s="160"/>
      <c r="AY89" s="159"/>
      <c r="AZ89" s="11"/>
      <c r="BA89" s="160"/>
      <c r="BB89" s="159"/>
      <c r="BC89" s="11"/>
      <c r="BD89" s="160"/>
      <c r="BE89" s="159"/>
      <c r="BF89" s="11"/>
      <c r="BG89" s="160"/>
    </row>
    <row r="90" spans="1:59" x14ac:dyDescent="0.25">
      <c r="A90" s="347"/>
      <c r="B90" s="355"/>
      <c r="C90" s="62" t="s">
        <v>32</v>
      </c>
      <c r="D90" s="12"/>
      <c r="E90" s="12"/>
      <c r="F90" s="10"/>
      <c r="G90" s="11"/>
      <c r="H90" s="29"/>
      <c r="I90" s="159"/>
      <c r="J90" s="11"/>
      <c r="K90" s="160"/>
      <c r="L90" s="159"/>
      <c r="M90" s="11"/>
      <c r="N90" s="160"/>
      <c r="O90" s="159"/>
      <c r="P90" s="11"/>
      <c r="Q90" s="160"/>
      <c r="R90" s="159"/>
      <c r="S90" s="11"/>
      <c r="T90" s="175"/>
      <c r="U90" s="263"/>
      <c r="V90" s="11"/>
      <c r="W90" s="160"/>
      <c r="X90">
        <v>1</v>
      </c>
      <c r="Y90" s="11"/>
      <c r="Z90" s="160"/>
      <c r="AA90" s="11">
        <v>1</v>
      </c>
      <c r="AB90" s="11"/>
      <c r="AC90" s="160"/>
      <c r="AD90" s="159"/>
      <c r="AE90" s="11"/>
      <c r="AF90" s="160"/>
      <c r="AG90" s="159">
        <v>1</v>
      </c>
      <c r="AH90" s="11"/>
      <c r="AI90" s="160"/>
      <c r="AJ90" s="159"/>
      <c r="AK90" s="11"/>
      <c r="AL90" s="160"/>
      <c r="AM90" s="159"/>
      <c r="AN90" s="11"/>
      <c r="AO90" s="160"/>
      <c r="AP90" s="159"/>
      <c r="AQ90" s="11"/>
      <c r="AR90" s="160"/>
      <c r="AS90" s="159"/>
      <c r="AT90" s="11"/>
      <c r="AU90" s="160"/>
      <c r="AV90" s="159"/>
      <c r="AW90" s="11"/>
      <c r="AX90" s="160"/>
      <c r="AY90" s="159"/>
      <c r="AZ90" s="11"/>
      <c r="BA90" s="160"/>
      <c r="BB90" s="159"/>
      <c r="BC90" s="11"/>
      <c r="BD90" s="160"/>
      <c r="BE90" s="159"/>
      <c r="BF90" s="11"/>
      <c r="BG90" s="160"/>
    </row>
    <row r="91" spans="1:59" x14ac:dyDescent="0.25">
      <c r="A91" s="347"/>
      <c r="B91" s="355"/>
      <c r="C91" s="62" t="s">
        <v>33</v>
      </c>
      <c r="D91" s="12"/>
      <c r="E91" s="12"/>
      <c r="F91" s="10"/>
      <c r="G91" s="11"/>
      <c r="H91" s="29"/>
      <c r="I91" s="159"/>
      <c r="J91" s="11"/>
      <c r="K91" s="160"/>
      <c r="L91" s="159"/>
      <c r="M91" s="11"/>
      <c r="N91" s="160"/>
      <c r="O91" s="159"/>
      <c r="P91" s="11"/>
      <c r="Q91" s="160"/>
      <c r="R91" s="159"/>
      <c r="S91" s="11"/>
      <c r="T91" s="175"/>
      <c r="U91" s="263"/>
      <c r="V91" s="11"/>
      <c r="W91" s="160"/>
      <c r="X91" s="159"/>
      <c r="Y91" s="11"/>
      <c r="Z91" s="160"/>
      <c r="AA91" s="11"/>
      <c r="AB91" s="11"/>
      <c r="AC91" s="160"/>
      <c r="AD91" s="159"/>
      <c r="AE91" s="11"/>
      <c r="AF91" s="160"/>
      <c r="AG91" s="159">
        <v>0</v>
      </c>
      <c r="AH91" s="11"/>
      <c r="AI91" s="160"/>
      <c r="AJ91" s="159"/>
      <c r="AK91" s="11"/>
      <c r="AL91" s="160"/>
      <c r="AM91" s="159"/>
      <c r="AN91" s="11"/>
      <c r="AO91" s="160"/>
      <c r="AP91" s="159"/>
      <c r="AQ91" s="11"/>
      <c r="AR91" s="160"/>
      <c r="AS91" s="159"/>
      <c r="AT91" s="11"/>
      <c r="AU91" s="160"/>
      <c r="AV91" s="159"/>
      <c r="AW91" s="11"/>
      <c r="AX91" s="160"/>
      <c r="AY91" s="159"/>
      <c r="AZ91" s="11"/>
      <c r="BA91" s="160"/>
      <c r="BB91" s="159"/>
      <c r="BC91" s="11"/>
      <c r="BD91" s="160"/>
      <c r="BE91" s="159"/>
      <c r="BF91" s="11"/>
      <c r="BG91" s="160"/>
    </row>
    <row r="92" spans="1:59" ht="4.5" customHeight="1" x14ac:dyDescent="0.25">
      <c r="A92" s="347"/>
      <c r="I92" s="148"/>
      <c r="J92" s="149"/>
      <c r="K92" s="150"/>
      <c r="L92" s="148"/>
      <c r="M92" s="149"/>
      <c r="N92" s="150"/>
      <c r="O92" s="148"/>
      <c r="P92" s="149"/>
      <c r="Q92" s="150"/>
      <c r="R92" s="148"/>
      <c r="S92" s="149"/>
      <c r="T92" s="150"/>
      <c r="U92" s="148"/>
      <c r="V92" s="149"/>
      <c r="W92" s="150"/>
      <c r="X92" s="148"/>
      <c r="Y92" s="149"/>
      <c r="Z92" s="150"/>
      <c r="AA92" s="149"/>
      <c r="AB92" s="149"/>
      <c r="AC92" s="150"/>
      <c r="AD92" s="148"/>
      <c r="AE92" s="149"/>
      <c r="AF92" s="150"/>
      <c r="AG92" s="148"/>
      <c r="AH92" s="149"/>
      <c r="AI92" s="150"/>
      <c r="AJ92" s="148"/>
      <c r="AK92" s="149"/>
      <c r="AL92" s="150"/>
      <c r="AM92" s="148"/>
      <c r="AN92" s="149"/>
      <c r="AO92" s="150"/>
      <c r="AP92" s="148"/>
      <c r="AQ92" s="149"/>
      <c r="AR92" s="150"/>
      <c r="AS92" s="148"/>
      <c r="AT92" s="149"/>
      <c r="AU92" s="150"/>
      <c r="AV92" s="148"/>
      <c r="AW92" s="149"/>
      <c r="AX92" s="150"/>
      <c r="AY92" s="148"/>
      <c r="AZ92" s="149"/>
      <c r="BA92" s="150"/>
      <c r="BB92" s="148"/>
      <c r="BC92" s="149"/>
      <c r="BD92" s="150"/>
      <c r="BE92" s="148"/>
      <c r="BF92" s="149"/>
      <c r="BG92" s="150"/>
    </row>
    <row r="93" spans="1:59" x14ac:dyDescent="0.25">
      <c r="A93" s="347"/>
      <c r="B93" s="355" t="s">
        <v>29</v>
      </c>
      <c r="C93" s="62" t="s">
        <v>35</v>
      </c>
      <c r="D93" s="12"/>
      <c r="E93" s="12"/>
      <c r="F93" s="10"/>
      <c r="G93" s="11"/>
      <c r="H93" s="29"/>
      <c r="I93" s="159"/>
      <c r="J93" s="11"/>
      <c r="K93" s="160"/>
      <c r="L93" s="159"/>
      <c r="M93" s="11"/>
      <c r="N93" s="160"/>
      <c r="O93" s="159"/>
      <c r="P93" s="11"/>
      <c r="Q93" s="160"/>
      <c r="R93" s="159"/>
      <c r="S93" s="11"/>
      <c r="T93" s="175"/>
      <c r="U93" s="263">
        <v>1602289</v>
      </c>
      <c r="V93" s="11"/>
      <c r="W93" s="160"/>
      <c r="X93">
        <v>640810</v>
      </c>
      <c r="Y93" s="11"/>
      <c r="Z93" s="160"/>
      <c r="AA93" s="11">
        <v>581354</v>
      </c>
      <c r="AB93" s="11"/>
      <c r="AC93" s="160"/>
      <c r="AD93" s="159"/>
      <c r="AE93" s="11"/>
      <c r="AF93" s="160"/>
      <c r="AG93" s="180">
        <v>352183</v>
      </c>
      <c r="AH93" s="11"/>
      <c r="AI93" s="160"/>
      <c r="AJ93" s="159"/>
      <c r="AK93" s="11"/>
      <c r="AL93" s="160"/>
      <c r="AM93" s="159"/>
      <c r="AN93" s="11"/>
      <c r="AO93" s="160"/>
      <c r="AP93" s="159"/>
      <c r="AQ93" s="11"/>
      <c r="AR93" s="160"/>
      <c r="AS93" s="159"/>
      <c r="AT93" s="11"/>
      <c r="AU93" s="160"/>
      <c r="AV93" s="159"/>
      <c r="AW93" s="11"/>
      <c r="AX93" s="160"/>
      <c r="AY93" s="159"/>
      <c r="AZ93" s="11"/>
      <c r="BA93" s="160"/>
      <c r="BB93" s="159"/>
      <c r="BC93" s="11"/>
      <c r="BD93" s="160"/>
      <c r="BE93" s="159"/>
      <c r="BF93" s="11"/>
      <c r="BG93" s="160"/>
    </row>
    <row r="94" spans="1:59" x14ac:dyDescent="0.25">
      <c r="A94" s="347"/>
      <c r="B94" s="355"/>
      <c r="C94" s="62" t="s">
        <v>36</v>
      </c>
      <c r="D94" s="12"/>
      <c r="E94" s="12"/>
      <c r="F94" s="10"/>
      <c r="G94" s="11"/>
      <c r="H94" s="29"/>
      <c r="I94" s="159"/>
      <c r="J94" s="11"/>
      <c r="K94" s="160"/>
      <c r="L94" s="159"/>
      <c r="M94" s="11"/>
      <c r="N94" s="160"/>
      <c r="O94" s="159"/>
      <c r="P94" s="11"/>
      <c r="Q94" s="160"/>
      <c r="R94" s="159"/>
      <c r="S94" s="11"/>
      <c r="T94" s="160"/>
      <c r="U94" s="159"/>
      <c r="V94" s="11"/>
      <c r="W94" s="160"/>
      <c r="X94">
        <v>142965</v>
      </c>
      <c r="Y94" s="11"/>
      <c r="Z94" s="160"/>
      <c r="AA94" s="11">
        <v>114535</v>
      </c>
      <c r="AB94" s="11"/>
      <c r="AC94" s="160"/>
      <c r="AD94" s="159"/>
      <c r="AE94" s="11"/>
      <c r="AF94" s="160"/>
      <c r="AG94" s="180">
        <v>149648</v>
      </c>
      <c r="AH94" s="11"/>
      <c r="AI94" s="160"/>
      <c r="AJ94" s="159"/>
      <c r="AK94" s="11"/>
      <c r="AL94" s="160"/>
      <c r="AM94" s="159"/>
      <c r="AN94" s="11"/>
      <c r="AO94" s="160"/>
      <c r="AP94" s="159"/>
      <c r="AQ94" s="11"/>
      <c r="AR94" s="160"/>
      <c r="AS94" s="159"/>
      <c r="AT94" s="11"/>
      <c r="AU94" s="160"/>
      <c r="AV94" s="159"/>
      <c r="AW94" s="11"/>
      <c r="AX94" s="160"/>
      <c r="AY94" s="159"/>
      <c r="AZ94" s="11"/>
      <c r="BA94" s="160"/>
      <c r="BB94" s="159"/>
      <c r="BC94" s="11"/>
      <c r="BD94" s="160"/>
      <c r="BE94" s="159"/>
      <c r="BF94" s="11"/>
      <c r="BG94" s="160"/>
    </row>
    <row r="95" spans="1:59" x14ac:dyDescent="0.25">
      <c r="A95" s="347"/>
      <c r="B95" s="355"/>
      <c r="C95" s="62" t="s">
        <v>37</v>
      </c>
      <c r="D95" s="12"/>
      <c r="E95" s="12"/>
      <c r="F95" s="10"/>
      <c r="G95" s="11"/>
      <c r="H95" s="29"/>
      <c r="I95" s="159"/>
      <c r="J95" s="11"/>
      <c r="K95" s="160"/>
      <c r="L95" s="159"/>
      <c r="M95" s="11"/>
      <c r="N95" s="160"/>
      <c r="O95" s="159"/>
      <c r="P95" s="11"/>
      <c r="Q95" s="160"/>
      <c r="R95" s="159"/>
      <c r="S95" s="11"/>
      <c r="T95" s="160"/>
      <c r="U95" s="159"/>
      <c r="V95" s="11"/>
      <c r="W95" s="160"/>
      <c r="X95" s="289">
        <v>9222</v>
      </c>
      <c r="Y95" s="11"/>
      <c r="Z95" s="160"/>
      <c r="AA95" s="11">
        <v>10475</v>
      </c>
      <c r="AB95" s="11"/>
      <c r="AC95" s="160"/>
      <c r="AD95" s="159"/>
      <c r="AE95" s="11"/>
      <c r="AF95" s="160"/>
      <c r="AG95" s="180">
        <v>11693</v>
      </c>
      <c r="AH95" s="11"/>
      <c r="AI95" s="160"/>
      <c r="AJ95" s="159"/>
      <c r="AK95" s="11"/>
      <c r="AL95" s="160"/>
      <c r="AM95" s="159"/>
      <c r="AN95" s="11"/>
      <c r="AO95" s="160"/>
      <c r="AP95" s="159"/>
      <c r="AQ95" s="11"/>
      <c r="AR95" s="160"/>
      <c r="AS95" s="159"/>
      <c r="AT95" s="11"/>
      <c r="AU95" s="160"/>
      <c r="AV95" s="159"/>
      <c r="AW95" s="11"/>
      <c r="AX95" s="160"/>
      <c r="AY95" s="159"/>
      <c r="AZ95" s="11"/>
      <c r="BA95" s="160"/>
      <c r="BB95" s="159"/>
      <c r="BC95" s="11"/>
      <c r="BD95" s="160"/>
      <c r="BE95" s="159"/>
      <c r="BF95" s="11"/>
      <c r="BG95" s="160"/>
    </row>
    <row r="96" spans="1:59" x14ac:dyDescent="0.25">
      <c r="A96" s="347"/>
      <c r="B96" s="355"/>
      <c r="C96" s="62" t="s">
        <v>38</v>
      </c>
      <c r="D96" s="12"/>
      <c r="E96" s="12"/>
      <c r="F96" s="10"/>
      <c r="G96" s="11"/>
      <c r="H96" s="29"/>
      <c r="I96" s="159"/>
      <c r="J96" s="11"/>
      <c r="K96" s="160"/>
      <c r="L96" s="159"/>
      <c r="M96" s="11"/>
      <c r="N96" s="160"/>
      <c r="O96" s="159"/>
      <c r="P96" s="11"/>
      <c r="Q96" s="160"/>
      <c r="R96" s="159"/>
      <c r="S96" s="11"/>
      <c r="T96" s="160"/>
      <c r="U96" s="159"/>
      <c r="V96" s="11"/>
      <c r="W96" s="160"/>
      <c r="X96" s="159"/>
      <c r="Y96" s="11"/>
      <c r="Z96" s="160"/>
      <c r="AA96" s="11"/>
      <c r="AB96" s="11"/>
      <c r="AC96" s="160"/>
      <c r="AD96" s="159"/>
      <c r="AE96" s="11"/>
      <c r="AF96" s="160"/>
      <c r="AG96" s="180"/>
      <c r="AH96" s="11"/>
      <c r="AI96" s="160"/>
      <c r="AJ96" s="159"/>
      <c r="AK96" s="11"/>
      <c r="AL96" s="160"/>
      <c r="AM96" s="159"/>
      <c r="AN96" s="11"/>
      <c r="AO96" s="160"/>
      <c r="AP96" s="159"/>
      <c r="AQ96" s="11"/>
      <c r="AR96" s="160"/>
      <c r="AS96" s="159"/>
      <c r="AT96" s="11"/>
      <c r="AU96" s="160"/>
      <c r="AV96" s="159"/>
      <c r="AW96" s="11"/>
      <c r="AX96" s="160"/>
      <c r="AY96" s="159"/>
      <c r="AZ96" s="11"/>
      <c r="BA96" s="160"/>
      <c r="BB96" s="159"/>
      <c r="BC96" s="11"/>
      <c r="BD96" s="160"/>
      <c r="BE96" s="159"/>
      <c r="BF96" s="11"/>
      <c r="BG96" s="160"/>
    </row>
    <row r="97" spans="1:59" ht="3.75" customHeight="1" x14ac:dyDescent="0.25">
      <c r="A97" s="347"/>
      <c r="I97" s="148"/>
      <c r="J97" s="149"/>
      <c r="K97" s="150"/>
      <c r="L97" s="148"/>
      <c r="M97" s="149"/>
      <c r="N97" s="150"/>
      <c r="O97" s="148"/>
      <c r="P97" s="149"/>
      <c r="Q97" s="150"/>
      <c r="R97" s="148"/>
      <c r="S97" s="149"/>
      <c r="T97" s="150"/>
      <c r="U97" s="148"/>
      <c r="V97" s="149"/>
      <c r="W97" s="150"/>
      <c r="X97" s="148"/>
      <c r="Y97" s="149"/>
      <c r="Z97" s="150"/>
      <c r="AA97" s="149"/>
      <c r="AB97" s="149"/>
      <c r="AC97" s="150"/>
      <c r="AD97" s="148"/>
      <c r="AE97" s="149"/>
      <c r="AF97" s="150"/>
      <c r="AG97" s="148"/>
      <c r="AH97" s="149"/>
      <c r="AI97" s="150"/>
      <c r="AJ97" s="148"/>
      <c r="AK97" s="149"/>
      <c r="AL97" s="150"/>
      <c r="AM97" s="148"/>
      <c r="AN97" s="149"/>
      <c r="AO97" s="150"/>
      <c r="AP97" s="148"/>
      <c r="AQ97" s="149"/>
      <c r="AR97" s="150"/>
      <c r="AS97" s="148"/>
      <c r="AT97" s="149"/>
      <c r="AU97" s="150"/>
      <c r="AV97" s="148"/>
      <c r="AW97" s="149"/>
      <c r="AX97" s="150"/>
      <c r="AY97" s="148"/>
      <c r="AZ97" s="149"/>
      <c r="BA97" s="150"/>
      <c r="BB97" s="148"/>
      <c r="BC97" s="149"/>
      <c r="BD97" s="150"/>
      <c r="BE97" s="148"/>
      <c r="BF97" s="149"/>
      <c r="BG97" s="150"/>
    </row>
    <row r="98" spans="1:59" x14ac:dyDescent="0.25">
      <c r="A98" s="347"/>
      <c r="B98" s="355" t="s">
        <v>39</v>
      </c>
      <c r="C98" s="62" t="s">
        <v>40</v>
      </c>
      <c r="D98" s="12"/>
      <c r="E98" s="12"/>
      <c r="F98" s="10"/>
      <c r="G98" s="11"/>
      <c r="H98" s="29"/>
      <c r="I98" s="142">
        <v>428</v>
      </c>
      <c r="J98" s="11"/>
      <c r="K98" s="160"/>
      <c r="L98" s="142">
        <v>756</v>
      </c>
      <c r="M98" s="11"/>
      <c r="N98" s="160"/>
      <c r="O98" s="142">
        <v>266</v>
      </c>
      <c r="P98" s="11"/>
      <c r="Q98" s="160"/>
      <c r="R98" s="142">
        <f>(O98+L98+I98)/3</f>
        <v>483.33333333333331</v>
      </c>
      <c r="S98" s="11"/>
      <c r="T98" s="175"/>
      <c r="U98" s="263">
        <v>1122</v>
      </c>
      <c r="V98" s="11"/>
      <c r="W98" s="160"/>
      <c r="X98">
        <v>5367</v>
      </c>
      <c r="Y98" s="11"/>
      <c r="Z98" s="160"/>
      <c r="AA98" s="11">
        <v>8</v>
      </c>
      <c r="AB98" s="11"/>
      <c r="AC98" s="160"/>
      <c r="AD98" s="159"/>
      <c r="AE98" s="11"/>
      <c r="AF98" s="160"/>
      <c r="AG98" s="159">
        <v>8</v>
      </c>
      <c r="AH98" s="11"/>
      <c r="AI98" s="160"/>
      <c r="AJ98" s="159"/>
      <c r="AK98" s="11"/>
      <c r="AL98" s="160"/>
      <c r="AM98" s="159"/>
      <c r="AN98" s="11"/>
      <c r="AO98" s="160"/>
      <c r="AP98" s="159"/>
      <c r="AQ98" s="11"/>
      <c r="AR98" s="160"/>
      <c r="AS98" s="159"/>
      <c r="AT98" s="11"/>
      <c r="AU98" s="160"/>
      <c r="AV98" s="159"/>
      <c r="AW98" s="11"/>
      <c r="AX98" s="160"/>
      <c r="AY98" s="159"/>
      <c r="AZ98" s="11"/>
      <c r="BA98" s="160"/>
      <c r="BB98" s="159"/>
      <c r="BC98" s="11"/>
      <c r="BD98" s="160"/>
      <c r="BE98" s="159"/>
      <c r="BF98" s="11"/>
      <c r="BG98" s="160"/>
    </row>
    <row r="99" spans="1:59" x14ac:dyDescent="0.25">
      <c r="A99" s="347"/>
      <c r="B99" s="355"/>
      <c r="C99" s="62" t="s">
        <v>41</v>
      </c>
      <c r="D99" s="12"/>
      <c r="E99" s="12"/>
      <c r="F99" s="10"/>
      <c r="G99" s="11"/>
      <c r="H99" s="29"/>
      <c r="I99" s="236">
        <v>28811</v>
      </c>
      <c r="J99" s="11"/>
      <c r="K99" s="160"/>
      <c r="L99" s="236">
        <v>51430</v>
      </c>
      <c r="M99" s="11"/>
      <c r="N99" s="160"/>
      <c r="O99" s="236">
        <v>19213</v>
      </c>
      <c r="P99" s="11"/>
      <c r="Q99" s="160"/>
      <c r="R99" s="236">
        <f>(O99+L99+I99)/3</f>
        <v>33151.333333333336</v>
      </c>
      <c r="S99" s="11"/>
      <c r="T99" s="175"/>
      <c r="U99" s="263">
        <v>79543</v>
      </c>
      <c r="V99" s="11"/>
      <c r="W99" s="160"/>
      <c r="X99" t="s">
        <v>659</v>
      </c>
      <c r="Y99" s="11"/>
      <c r="Z99" s="160"/>
      <c r="AA99" s="11">
        <v>405</v>
      </c>
      <c r="AB99" s="11"/>
      <c r="AC99" s="160"/>
      <c r="AD99" s="159"/>
      <c r="AE99" s="11"/>
      <c r="AF99" s="160"/>
      <c r="AG99" s="159">
        <v>527</v>
      </c>
      <c r="AH99" s="11"/>
      <c r="AI99" s="160"/>
      <c r="AJ99" s="159"/>
      <c r="AK99" s="11"/>
      <c r="AL99" s="160"/>
      <c r="AM99" s="159"/>
      <c r="AN99" s="11"/>
      <c r="AO99" s="160"/>
      <c r="AP99" s="159"/>
      <c r="AQ99" s="11"/>
      <c r="AR99" s="160"/>
      <c r="AS99" s="159"/>
      <c r="AT99" s="11"/>
      <c r="AU99" s="160"/>
      <c r="AV99" s="159"/>
      <c r="AW99" s="11"/>
      <c r="AX99" s="160"/>
      <c r="AY99" s="159"/>
      <c r="AZ99" s="11"/>
      <c r="BA99" s="160"/>
      <c r="BB99" s="159"/>
      <c r="BC99" s="11"/>
      <c r="BD99" s="160"/>
      <c r="BE99" s="159"/>
      <c r="BF99" s="11"/>
      <c r="BG99" s="160"/>
    </row>
    <row r="100" spans="1:59" ht="24" x14ac:dyDescent="0.25">
      <c r="A100" s="347"/>
      <c r="B100" s="355"/>
      <c r="C100" s="62" t="s">
        <v>56</v>
      </c>
      <c r="D100" s="12"/>
      <c r="E100" s="12"/>
      <c r="F100" s="10"/>
      <c r="G100" s="11"/>
      <c r="H100" s="29"/>
      <c r="I100" s="159"/>
      <c r="J100" s="11"/>
      <c r="K100" s="160"/>
      <c r="L100" s="159"/>
      <c r="M100" s="11"/>
      <c r="N100" s="160"/>
      <c r="O100" s="159"/>
      <c r="P100" s="11"/>
      <c r="Q100" s="160"/>
      <c r="R100" s="159"/>
      <c r="S100" s="11"/>
      <c r="T100" s="175"/>
      <c r="U100" s="263" t="s">
        <v>659</v>
      </c>
      <c r="V100" s="11"/>
      <c r="W100" s="160"/>
      <c r="X100" s="159"/>
      <c r="Y100" s="11"/>
      <c r="Z100" s="160"/>
      <c r="AA100" s="11" t="s">
        <v>316</v>
      </c>
      <c r="AB100" s="11"/>
      <c r="AC100" s="160"/>
      <c r="AD100" s="159"/>
      <c r="AE100" s="11"/>
      <c r="AF100" s="160"/>
      <c r="AG100" s="309" t="s">
        <v>739</v>
      </c>
      <c r="AH100" s="11"/>
      <c r="AI100" s="160"/>
      <c r="AJ100" s="159"/>
      <c r="AK100" s="11"/>
      <c r="AL100" s="160"/>
      <c r="AM100" s="159"/>
      <c r="AN100" s="11"/>
      <c r="AO100" s="160"/>
      <c r="AP100" s="159"/>
      <c r="AQ100" s="11"/>
      <c r="AR100" s="160"/>
      <c r="AS100" s="159"/>
      <c r="AT100" s="11"/>
      <c r="AU100" s="160"/>
      <c r="AV100" s="159"/>
      <c r="AW100" s="11"/>
      <c r="AX100" s="160"/>
      <c r="AY100" s="159"/>
      <c r="AZ100" s="11"/>
      <c r="BA100" s="160"/>
      <c r="BB100" s="159"/>
      <c r="BC100" s="11"/>
      <c r="BD100" s="160"/>
      <c r="BE100" s="159"/>
      <c r="BF100" s="11"/>
      <c r="BG100" s="160"/>
    </row>
    <row r="101" spans="1:59" ht="5.25" customHeight="1" x14ac:dyDescent="0.25">
      <c r="A101" s="347"/>
      <c r="I101" s="148"/>
      <c r="J101" s="149"/>
      <c r="K101" s="150"/>
      <c r="L101" s="148"/>
      <c r="M101" s="149"/>
      <c r="N101" s="150"/>
      <c r="O101" s="148"/>
      <c r="P101" s="149"/>
      <c r="Q101" s="150"/>
      <c r="R101" s="148"/>
      <c r="S101" s="149"/>
      <c r="T101" s="150"/>
      <c r="U101" s="148"/>
      <c r="V101" s="149"/>
      <c r="W101" s="150"/>
      <c r="X101" s="148"/>
      <c r="Y101" s="149"/>
      <c r="Z101" s="150"/>
      <c r="AA101" s="148"/>
      <c r="AB101" s="149"/>
      <c r="AC101" s="150"/>
      <c r="AD101" s="148"/>
      <c r="AE101" s="149"/>
      <c r="AF101" s="150"/>
      <c r="AG101" s="148"/>
      <c r="AH101" s="149"/>
      <c r="AI101" s="150"/>
      <c r="AJ101" s="148"/>
      <c r="AK101" s="149"/>
      <c r="AL101" s="150"/>
      <c r="AM101" s="148"/>
      <c r="AN101" s="149"/>
      <c r="AO101" s="150"/>
      <c r="AP101" s="148"/>
      <c r="AQ101" s="149"/>
      <c r="AR101" s="150"/>
      <c r="AS101" s="148"/>
      <c r="AT101" s="149"/>
      <c r="AU101" s="150"/>
      <c r="AV101" s="148"/>
      <c r="AW101" s="149"/>
      <c r="AX101" s="150"/>
      <c r="AY101" s="148"/>
      <c r="AZ101" s="149"/>
      <c r="BA101" s="150"/>
      <c r="BB101" s="148"/>
      <c r="BC101" s="149"/>
      <c r="BD101" s="150"/>
      <c r="BE101" s="148"/>
      <c r="BF101" s="149"/>
      <c r="BG101" s="150"/>
    </row>
    <row r="102" spans="1:59" x14ac:dyDescent="0.25">
      <c r="A102" s="347"/>
      <c r="B102" s="57" t="s">
        <v>117</v>
      </c>
      <c r="C102" s="62" t="s">
        <v>118</v>
      </c>
      <c r="D102" s="12"/>
      <c r="E102" s="12"/>
      <c r="F102" s="10"/>
      <c r="G102" s="11"/>
      <c r="H102" s="29"/>
      <c r="I102" s="159"/>
      <c r="J102" s="11"/>
      <c r="K102" s="160"/>
      <c r="L102" s="159"/>
      <c r="M102" s="11"/>
      <c r="N102" s="160"/>
      <c r="O102" s="159"/>
      <c r="P102" s="11"/>
      <c r="Q102" s="160"/>
      <c r="R102" s="159" t="s">
        <v>194</v>
      </c>
      <c r="S102" s="11"/>
      <c r="T102" s="160"/>
      <c r="U102" s="159"/>
      <c r="V102" s="11"/>
      <c r="W102" s="160"/>
      <c r="X102" s="159"/>
      <c r="Y102" s="11"/>
      <c r="Z102" s="160"/>
      <c r="AA102" s="11"/>
      <c r="AB102" s="11"/>
      <c r="AC102" s="160"/>
      <c r="AD102" s="159"/>
      <c r="AE102" s="11"/>
      <c r="AF102" s="160"/>
      <c r="AG102" s="159"/>
      <c r="AH102" s="11"/>
      <c r="AI102" s="160"/>
      <c r="AJ102" s="159"/>
      <c r="AK102" s="11"/>
      <c r="AL102" s="160"/>
      <c r="AM102" s="159"/>
      <c r="AN102" s="11"/>
      <c r="AO102" s="160"/>
      <c r="AP102" s="159"/>
      <c r="AQ102" s="11"/>
      <c r="AR102" s="160"/>
      <c r="AS102" s="159"/>
      <c r="AT102" s="11"/>
      <c r="AU102" s="160"/>
      <c r="AV102" s="159"/>
      <c r="AW102" s="11"/>
      <c r="AX102" s="160"/>
      <c r="AY102" s="159"/>
      <c r="AZ102" s="11"/>
      <c r="BA102" s="160"/>
      <c r="BB102" s="159"/>
      <c r="BC102" s="11"/>
      <c r="BD102" s="160"/>
      <c r="BE102" s="159"/>
      <c r="BF102" s="11"/>
      <c r="BG102" s="160"/>
    </row>
    <row r="103" spans="1:59" ht="4.5" customHeight="1" x14ac:dyDescent="0.25">
      <c r="A103" s="347"/>
      <c r="D103" s="31"/>
      <c r="E103" s="31"/>
      <c r="F103" s="32"/>
      <c r="G103" s="30"/>
      <c r="H103" s="29"/>
      <c r="I103" s="165"/>
      <c r="J103" s="30"/>
      <c r="K103" s="166"/>
      <c r="L103" s="165"/>
      <c r="M103" s="30"/>
      <c r="N103" s="166"/>
      <c r="O103" s="165"/>
      <c r="P103" s="30"/>
      <c r="Q103" s="166"/>
      <c r="R103" s="165"/>
      <c r="S103" s="30"/>
      <c r="T103" s="166"/>
      <c r="U103" s="165"/>
      <c r="V103" s="30"/>
      <c r="W103" s="166"/>
      <c r="X103" s="165"/>
      <c r="Y103" s="30"/>
      <c r="Z103" s="166"/>
      <c r="AA103" s="30"/>
      <c r="AB103" s="30"/>
      <c r="AC103" s="166"/>
      <c r="AD103" s="165"/>
      <c r="AE103" s="30"/>
      <c r="AF103" s="166"/>
      <c r="AG103" s="165"/>
      <c r="AH103" s="30"/>
      <c r="AI103" s="166"/>
      <c r="AJ103" s="165"/>
      <c r="AK103" s="30"/>
      <c r="AL103" s="166"/>
      <c r="AM103" s="165"/>
      <c r="AN103" s="30"/>
      <c r="AO103" s="166"/>
      <c r="AP103" s="165"/>
      <c r="AQ103" s="30"/>
      <c r="AR103" s="166"/>
      <c r="AS103" s="165"/>
      <c r="AT103" s="30"/>
      <c r="AU103" s="166"/>
      <c r="AV103" s="165"/>
      <c r="AW103" s="30"/>
      <c r="AX103" s="166"/>
      <c r="AY103" s="165"/>
      <c r="AZ103" s="30"/>
      <c r="BA103" s="166"/>
      <c r="BB103" s="165"/>
      <c r="BC103" s="30"/>
      <c r="BD103" s="166"/>
      <c r="BE103" s="165"/>
      <c r="BF103" s="30"/>
      <c r="BG103" s="166"/>
    </row>
    <row r="104" spans="1:59" x14ac:dyDescent="0.25">
      <c r="A104" s="347"/>
      <c r="B104" s="356" t="s">
        <v>119</v>
      </c>
      <c r="C104" s="62" t="s">
        <v>120</v>
      </c>
      <c r="D104" s="12"/>
      <c r="E104" s="12"/>
      <c r="F104" s="10"/>
      <c r="G104" s="11"/>
      <c r="H104" s="29"/>
      <c r="I104" s="237">
        <v>38242</v>
      </c>
      <c r="J104" s="11"/>
      <c r="K104" s="160"/>
      <c r="L104" s="237">
        <v>55714</v>
      </c>
      <c r="M104" s="11"/>
      <c r="N104" s="160"/>
      <c r="O104" s="237">
        <v>49665</v>
      </c>
      <c r="P104" s="11"/>
      <c r="Q104" s="160"/>
      <c r="R104" s="237">
        <f>(O104+L104+I104)/3</f>
        <v>47873.666666666664</v>
      </c>
      <c r="S104" s="11"/>
      <c r="T104" s="175"/>
      <c r="U104" s="263">
        <v>253902</v>
      </c>
      <c r="V104" s="11"/>
      <c r="W104" s="160"/>
      <c r="X104" s="263">
        <v>58676</v>
      </c>
      <c r="Y104" s="11"/>
      <c r="Z104" s="160"/>
      <c r="AA104" s="11">
        <v>55089</v>
      </c>
      <c r="AB104" s="11"/>
      <c r="AC104" s="160"/>
      <c r="AD104" s="159"/>
      <c r="AE104" s="11"/>
      <c r="AF104" s="160"/>
      <c r="AG104" s="11">
        <v>26188</v>
      </c>
      <c r="AH104" s="11"/>
      <c r="AI104" s="160"/>
      <c r="AJ104" s="159"/>
      <c r="AK104" s="11"/>
      <c r="AL104" s="160"/>
      <c r="AM104" s="159"/>
      <c r="AN104" s="11"/>
      <c r="AO104" s="160"/>
      <c r="AP104" s="159"/>
      <c r="AQ104" s="11"/>
      <c r="AR104" s="160"/>
      <c r="AS104" s="159"/>
      <c r="AT104" s="11"/>
      <c r="AU104" s="160"/>
      <c r="AV104" s="159"/>
      <c r="AW104" s="11"/>
      <c r="AX104" s="160"/>
      <c r="AY104" s="159"/>
      <c r="AZ104" s="11"/>
      <c r="BA104" s="160"/>
      <c r="BB104" s="159"/>
      <c r="BC104" s="11"/>
      <c r="BD104" s="160"/>
      <c r="BE104" s="159"/>
      <c r="BF104" s="11"/>
      <c r="BG104" s="160"/>
    </row>
    <row r="105" spans="1:59" x14ac:dyDescent="0.25">
      <c r="A105" s="347"/>
      <c r="B105" s="357"/>
      <c r="C105" s="62" t="s">
        <v>121</v>
      </c>
      <c r="D105" s="12"/>
      <c r="E105" s="12"/>
      <c r="F105" s="10"/>
      <c r="G105" s="11"/>
      <c r="H105" s="29"/>
      <c r="I105" s="238">
        <v>19</v>
      </c>
      <c r="J105" s="11"/>
      <c r="K105" s="160"/>
      <c r="L105" s="238">
        <v>21</v>
      </c>
      <c r="M105" s="11"/>
      <c r="N105" s="160"/>
      <c r="O105" s="238">
        <v>20</v>
      </c>
      <c r="P105" s="11"/>
      <c r="Q105" s="160"/>
      <c r="R105" s="238">
        <f>(O105+L105+I105)/3</f>
        <v>20</v>
      </c>
      <c r="S105" s="11"/>
      <c r="T105" s="175"/>
      <c r="U105" s="263">
        <v>81</v>
      </c>
      <c r="V105" s="11"/>
      <c r="W105" s="160"/>
      <c r="X105" s="263">
        <v>21</v>
      </c>
      <c r="Y105" s="11"/>
      <c r="Z105" s="160"/>
      <c r="AA105" s="11">
        <v>22</v>
      </c>
      <c r="AB105" s="11"/>
      <c r="AC105" s="160"/>
      <c r="AD105" s="159"/>
      <c r="AE105" s="11"/>
      <c r="AF105" s="160"/>
      <c r="AG105" s="11">
        <v>29</v>
      </c>
      <c r="AH105" s="11"/>
      <c r="AI105" s="160"/>
      <c r="AJ105" s="159"/>
      <c r="AK105" s="11"/>
      <c r="AL105" s="160"/>
      <c r="AM105" s="159"/>
      <c r="AN105" s="11"/>
      <c r="AO105" s="160"/>
      <c r="AP105" s="159"/>
      <c r="AQ105" s="11"/>
      <c r="AR105" s="160"/>
      <c r="AS105" s="159"/>
      <c r="AT105" s="11"/>
      <c r="AU105" s="160"/>
      <c r="AV105" s="159"/>
      <c r="AW105" s="11"/>
      <c r="AX105" s="160"/>
      <c r="AY105" s="159"/>
      <c r="AZ105" s="11"/>
      <c r="BA105" s="160"/>
      <c r="BB105" s="159"/>
      <c r="BC105" s="11"/>
      <c r="BD105" s="160"/>
      <c r="BE105" s="159"/>
      <c r="BF105" s="11"/>
      <c r="BG105" s="160"/>
    </row>
    <row r="106" spans="1:59" ht="4.5" customHeight="1" x14ac:dyDescent="0.25">
      <c r="A106" s="347"/>
      <c r="D106" s="31"/>
      <c r="E106" s="31"/>
      <c r="F106" s="32"/>
      <c r="G106" s="30"/>
      <c r="H106" s="29"/>
      <c r="I106" s="165"/>
      <c r="J106" s="30"/>
      <c r="K106" s="166"/>
      <c r="L106" s="165"/>
      <c r="M106" s="30"/>
      <c r="N106" s="166"/>
      <c r="O106" s="165"/>
      <c r="P106" s="30"/>
      <c r="Q106" s="166"/>
      <c r="R106" s="165"/>
      <c r="S106" s="30"/>
      <c r="T106" s="166"/>
      <c r="U106" s="165"/>
      <c r="V106" s="30"/>
      <c r="W106" s="166"/>
      <c r="X106" s="165"/>
      <c r="Y106" s="30"/>
      <c r="Z106" s="166"/>
      <c r="AA106" s="30"/>
      <c r="AB106" s="30"/>
      <c r="AC106" s="166"/>
      <c r="AD106" s="165"/>
      <c r="AE106" s="30"/>
      <c r="AF106" s="166"/>
      <c r="AG106" s="165"/>
      <c r="AH106" s="30"/>
      <c r="AI106" s="166"/>
      <c r="AJ106" s="165"/>
      <c r="AK106" s="30"/>
      <c r="AL106" s="166"/>
      <c r="AM106" s="165"/>
      <c r="AN106" s="30"/>
      <c r="AO106" s="166"/>
      <c r="AP106" s="165"/>
      <c r="AQ106" s="30"/>
      <c r="AR106" s="166"/>
      <c r="AS106" s="165"/>
      <c r="AT106" s="30"/>
      <c r="AU106" s="166"/>
      <c r="AV106" s="165"/>
      <c r="AW106" s="30"/>
      <c r="AX106" s="166"/>
      <c r="AY106" s="165"/>
      <c r="AZ106" s="30"/>
      <c r="BA106" s="166"/>
      <c r="BB106" s="165"/>
      <c r="BC106" s="30"/>
      <c r="BD106" s="166"/>
      <c r="BE106" s="165"/>
      <c r="BF106" s="30"/>
      <c r="BG106" s="166"/>
    </row>
    <row r="107" spans="1:59" x14ac:dyDescent="0.25">
      <c r="A107" s="347"/>
      <c r="B107" s="355" t="s">
        <v>122</v>
      </c>
      <c r="C107" s="62" t="s">
        <v>123</v>
      </c>
      <c r="D107" s="12"/>
      <c r="E107" s="12"/>
      <c r="F107" s="10"/>
      <c r="G107" s="11"/>
      <c r="H107" s="29"/>
      <c r="I107" s="159"/>
      <c r="J107" s="11"/>
      <c r="K107" s="160"/>
      <c r="L107" s="159"/>
      <c r="M107" s="11"/>
      <c r="N107" s="160"/>
      <c r="O107" s="159"/>
      <c r="P107" s="11"/>
      <c r="Q107" s="160"/>
      <c r="R107" s="159" t="s">
        <v>194</v>
      </c>
      <c r="S107" s="11"/>
      <c r="T107" s="160"/>
      <c r="U107" s="159"/>
      <c r="V107" s="11"/>
      <c r="W107" s="160"/>
      <c r="X107" s="159"/>
      <c r="Y107" s="11"/>
      <c r="Z107" s="160"/>
      <c r="AA107" s="11"/>
      <c r="AB107" s="11"/>
      <c r="AC107" s="160"/>
      <c r="AD107" s="159"/>
      <c r="AE107" s="11"/>
      <c r="AF107" s="160"/>
      <c r="AG107" s="159"/>
      <c r="AH107" s="11"/>
      <c r="AI107" s="160"/>
      <c r="AJ107" s="159"/>
      <c r="AK107" s="11"/>
      <c r="AL107" s="160"/>
      <c r="AM107" s="159"/>
      <c r="AN107" s="11"/>
      <c r="AO107" s="160"/>
      <c r="AP107" s="159"/>
      <c r="AQ107" s="11"/>
      <c r="AR107" s="160"/>
      <c r="AS107" s="159"/>
      <c r="AT107" s="11"/>
      <c r="AU107" s="160"/>
      <c r="AV107" s="159"/>
      <c r="AW107" s="11"/>
      <c r="AX107" s="160"/>
      <c r="AY107" s="159"/>
      <c r="AZ107" s="11"/>
      <c r="BA107" s="160"/>
      <c r="BB107" s="159"/>
      <c r="BC107" s="11"/>
      <c r="BD107" s="160"/>
      <c r="BE107" s="159"/>
      <c r="BF107" s="11"/>
      <c r="BG107" s="160"/>
    </row>
    <row r="108" spans="1:59" x14ac:dyDescent="0.25">
      <c r="A108" s="347"/>
      <c r="B108" s="355"/>
      <c r="C108" s="62" t="s">
        <v>124</v>
      </c>
      <c r="D108" s="12"/>
      <c r="E108" s="12"/>
      <c r="F108" s="10"/>
      <c r="G108" s="11"/>
      <c r="H108" s="29"/>
      <c r="I108" s="159"/>
      <c r="J108" s="11"/>
      <c r="K108" s="160"/>
      <c r="L108" s="159"/>
      <c r="M108" s="11"/>
      <c r="N108" s="160"/>
      <c r="O108" s="159"/>
      <c r="P108" s="11"/>
      <c r="Q108" s="160"/>
      <c r="R108" s="159" t="s">
        <v>194</v>
      </c>
      <c r="S108" s="11"/>
      <c r="T108" s="160"/>
      <c r="U108" s="159"/>
      <c r="V108" s="11"/>
      <c r="W108" s="160"/>
      <c r="X108" s="159"/>
      <c r="Y108" s="11"/>
      <c r="Z108" s="160"/>
      <c r="AA108" s="159"/>
      <c r="AB108" s="11"/>
      <c r="AC108" s="160"/>
      <c r="AD108" s="159"/>
      <c r="AE108" s="11"/>
      <c r="AF108" s="160"/>
      <c r="AG108" s="159"/>
      <c r="AH108" s="11"/>
      <c r="AI108" s="160"/>
      <c r="AJ108" s="159"/>
      <c r="AK108" s="11"/>
      <c r="AL108" s="160"/>
      <c r="AM108" s="159"/>
      <c r="AN108" s="11"/>
      <c r="AO108" s="160"/>
      <c r="AP108" s="159"/>
      <c r="AQ108" s="11"/>
      <c r="AR108" s="160"/>
      <c r="AS108" s="159"/>
      <c r="AT108" s="11"/>
      <c r="AU108" s="160"/>
      <c r="AV108" s="159"/>
      <c r="AW108" s="11"/>
      <c r="AX108" s="160"/>
      <c r="AY108" s="159"/>
      <c r="AZ108" s="11"/>
      <c r="BA108" s="160"/>
      <c r="BB108" s="159"/>
      <c r="BC108" s="11"/>
      <c r="BD108" s="160"/>
      <c r="BE108" s="159"/>
      <c r="BF108" s="11"/>
      <c r="BG108" s="160"/>
    </row>
    <row r="109" spans="1:59" ht="4.5" customHeight="1" x14ac:dyDescent="0.25">
      <c r="D109" s="72"/>
      <c r="E109" s="72"/>
      <c r="F109" s="72"/>
      <c r="I109" s="167"/>
      <c r="J109" s="72"/>
      <c r="K109" s="168"/>
      <c r="L109" s="167"/>
      <c r="M109" s="72"/>
      <c r="N109" s="168"/>
      <c r="O109" s="167"/>
      <c r="P109" s="72"/>
      <c r="Q109" s="168"/>
      <c r="R109" s="167"/>
      <c r="S109" s="72"/>
      <c r="T109" s="168"/>
      <c r="U109" s="167"/>
      <c r="V109" s="72"/>
      <c r="W109" s="168"/>
      <c r="X109" s="167"/>
      <c r="Y109" s="72"/>
      <c r="Z109" s="168"/>
      <c r="AA109" s="167"/>
      <c r="AB109" s="72"/>
      <c r="AC109" s="168"/>
      <c r="AD109" s="167"/>
      <c r="AE109" s="72"/>
      <c r="AF109" s="168"/>
      <c r="AG109" s="167"/>
      <c r="AH109" s="72"/>
      <c r="AI109" s="168"/>
      <c r="AJ109" s="167"/>
      <c r="AK109" s="72"/>
      <c r="AL109" s="168"/>
      <c r="AM109" s="167"/>
      <c r="AN109" s="72"/>
      <c r="AO109" s="168"/>
      <c r="AP109" s="167"/>
      <c r="AQ109" s="72"/>
      <c r="AR109" s="168"/>
      <c r="AS109" s="167"/>
      <c r="AT109" s="72"/>
      <c r="AU109" s="168"/>
      <c r="AV109" s="167"/>
      <c r="AW109" s="72"/>
      <c r="AX109" s="168"/>
      <c r="AY109" s="167"/>
      <c r="AZ109" s="72"/>
      <c r="BA109" s="168"/>
      <c r="BB109" s="167"/>
      <c r="BC109" s="72"/>
      <c r="BD109" s="168"/>
      <c r="BE109" s="167"/>
      <c r="BF109" s="72"/>
      <c r="BG109" s="168"/>
    </row>
    <row r="110" spans="1:59" x14ac:dyDescent="0.25">
      <c r="A110" s="14" t="s">
        <v>11</v>
      </c>
      <c r="B110" s="14"/>
      <c r="C110" s="14"/>
      <c r="D110" s="9"/>
      <c r="E110" s="9"/>
      <c r="F110" s="9"/>
      <c r="G110" s="38"/>
      <c r="H110" s="34"/>
      <c r="I110" s="169"/>
      <c r="J110" s="9"/>
      <c r="K110" s="156"/>
      <c r="L110" s="169"/>
      <c r="M110" s="9"/>
      <c r="N110" s="156"/>
      <c r="O110" s="169"/>
      <c r="P110" s="9"/>
      <c r="Q110" s="156"/>
      <c r="R110" s="169"/>
      <c r="S110" s="9"/>
      <c r="T110" s="156"/>
      <c r="U110" s="169"/>
      <c r="V110" s="9"/>
      <c r="W110" s="156"/>
      <c r="X110" s="169"/>
      <c r="Y110" s="9"/>
      <c r="Z110" s="156"/>
      <c r="AA110" s="169"/>
      <c r="AB110" s="9"/>
      <c r="AC110" s="156"/>
      <c r="AD110" s="169"/>
      <c r="AE110" s="9"/>
      <c r="AF110" s="156"/>
      <c r="AG110" s="169"/>
      <c r="AH110" s="9"/>
      <c r="AI110" s="156"/>
      <c r="AJ110" s="169"/>
      <c r="AK110" s="9"/>
      <c r="AL110" s="156"/>
      <c r="AM110" s="169"/>
      <c r="AN110" s="9"/>
      <c r="AO110" s="156"/>
      <c r="AP110" s="169"/>
      <c r="AQ110" s="9"/>
      <c r="AR110" s="156"/>
      <c r="AS110" s="169"/>
      <c r="AT110" s="9"/>
      <c r="AU110" s="156"/>
      <c r="AV110" s="169"/>
      <c r="AW110" s="9"/>
      <c r="AX110" s="156"/>
      <c r="AY110" s="169"/>
      <c r="AZ110" s="9"/>
      <c r="BA110" s="156"/>
      <c r="BB110" s="169"/>
      <c r="BC110" s="9"/>
      <c r="BD110" s="156"/>
      <c r="BE110" s="169"/>
      <c r="BF110" s="9"/>
      <c r="BG110" s="156"/>
    </row>
    <row r="111" spans="1:59" ht="4.5" customHeight="1" x14ac:dyDescent="0.25">
      <c r="A111" s="18"/>
      <c r="B111" s="24"/>
      <c r="C111" s="20"/>
      <c r="D111" s="20"/>
      <c r="E111" s="20"/>
      <c r="F111" s="20"/>
      <c r="G111" s="21"/>
      <c r="H111" s="29"/>
      <c r="I111" s="163"/>
      <c r="J111" s="21"/>
      <c r="K111" s="164"/>
      <c r="L111" s="163"/>
      <c r="M111" s="21"/>
      <c r="N111" s="164"/>
      <c r="O111" s="163"/>
      <c r="P111" s="21"/>
      <c r="Q111" s="164"/>
      <c r="R111" s="163"/>
      <c r="S111" s="21"/>
      <c r="T111" s="164"/>
      <c r="U111" s="163"/>
      <c r="V111" s="21"/>
      <c r="W111" s="164"/>
      <c r="X111" s="163"/>
      <c r="Y111" s="21"/>
      <c r="Z111" s="164"/>
      <c r="AA111" s="163"/>
      <c r="AB111" s="21"/>
      <c r="AC111" s="164"/>
      <c r="AD111" s="163"/>
      <c r="AE111" s="21"/>
      <c r="AF111" s="164"/>
      <c r="AG111" s="163"/>
      <c r="AH111" s="21"/>
      <c r="AI111" s="164"/>
      <c r="AJ111" s="163"/>
      <c r="AK111" s="21"/>
      <c r="AL111" s="164"/>
      <c r="AM111" s="163"/>
      <c r="AN111" s="21"/>
      <c r="AO111" s="164"/>
      <c r="AP111" s="163"/>
      <c r="AQ111" s="21"/>
      <c r="AR111" s="164"/>
      <c r="AS111" s="163"/>
      <c r="AT111" s="21"/>
      <c r="AU111" s="164"/>
      <c r="AV111" s="163"/>
      <c r="AW111" s="21"/>
      <c r="AX111" s="164"/>
      <c r="AY111" s="163"/>
      <c r="AZ111" s="21"/>
      <c r="BA111" s="164"/>
      <c r="BB111" s="163"/>
      <c r="BC111" s="21"/>
      <c r="BD111" s="164"/>
      <c r="BE111" s="163"/>
      <c r="BF111" s="21"/>
      <c r="BG111" s="164"/>
    </row>
    <row r="112" spans="1:59" x14ac:dyDescent="0.25">
      <c r="A112" s="325" t="s">
        <v>57</v>
      </c>
      <c r="B112" s="325"/>
      <c r="C112" s="62" t="s">
        <v>44</v>
      </c>
      <c r="D112" s="10"/>
      <c r="E112" s="10"/>
      <c r="F112" s="10"/>
      <c r="G112" s="11"/>
      <c r="H112" s="29"/>
      <c r="I112" s="159"/>
      <c r="J112" s="11"/>
      <c r="K112" s="160"/>
      <c r="L112" s="159"/>
      <c r="M112" s="11"/>
      <c r="N112" s="160"/>
      <c r="O112" s="159"/>
      <c r="P112" s="11"/>
      <c r="Q112" s="160"/>
      <c r="R112" s="159" t="s">
        <v>194</v>
      </c>
      <c r="S112" s="11"/>
      <c r="T112" s="160"/>
      <c r="U112" s="159">
        <v>4</v>
      </c>
      <c r="V112" s="11"/>
      <c r="W112" s="160"/>
      <c r="X112" s="159">
        <v>0</v>
      </c>
      <c r="Y112" s="11"/>
      <c r="Z112" s="160"/>
      <c r="AA112" s="159">
        <v>2</v>
      </c>
      <c r="AB112" s="11"/>
      <c r="AC112" s="160"/>
      <c r="AD112" s="159"/>
      <c r="AE112" s="11"/>
      <c r="AF112" s="160"/>
      <c r="AG112" s="159"/>
      <c r="AH112" s="11"/>
      <c r="AI112" s="160"/>
      <c r="AJ112" s="159"/>
      <c r="AK112" s="11"/>
      <c r="AL112" s="160"/>
      <c r="AM112" s="159"/>
      <c r="AN112" s="11"/>
      <c r="AO112" s="160"/>
      <c r="AP112" s="159"/>
      <c r="AQ112" s="11"/>
      <c r="AR112" s="160"/>
      <c r="AS112" s="159"/>
      <c r="AT112" s="11"/>
      <c r="AU112" s="160"/>
      <c r="AV112" s="159"/>
      <c r="AW112" s="11"/>
      <c r="AX112" s="160"/>
      <c r="AY112" s="159"/>
      <c r="AZ112" s="11"/>
      <c r="BA112" s="160"/>
      <c r="BB112" s="159"/>
      <c r="BC112" s="11"/>
      <c r="BD112" s="160"/>
      <c r="BE112" s="159"/>
      <c r="BF112" s="11"/>
      <c r="BG112" s="160"/>
    </row>
    <row r="113" spans="1:59" ht="24" x14ac:dyDescent="0.25">
      <c r="A113" s="325"/>
      <c r="B113" s="325"/>
      <c r="C113" s="62" t="s">
        <v>43</v>
      </c>
      <c r="D113" s="10"/>
      <c r="E113" s="10"/>
      <c r="F113" s="10"/>
      <c r="G113" s="11"/>
      <c r="H113" s="29"/>
      <c r="I113" s="159"/>
      <c r="J113" s="11"/>
      <c r="K113" s="160"/>
      <c r="L113" s="159"/>
      <c r="M113" s="11"/>
      <c r="N113" s="160"/>
      <c r="O113" s="159"/>
      <c r="P113" s="11"/>
      <c r="Q113" s="160"/>
      <c r="R113" s="159" t="s">
        <v>194</v>
      </c>
      <c r="S113" s="11"/>
      <c r="T113" s="160"/>
      <c r="U113" s="159">
        <v>0</v>
      </c>
      <c r="V113" s="11"/>
      <c r="W113" s="160"/>
      <c r="X113" s="159"/>
      <c r="Y113" s="11"/>
      <c r="Z113" s="160"/>
      <c r="AA113" s="159"/>
      <c r="AB113" s="11"/>
      <c r="AC113" s="160"/>
      <c r="AD113" s="159"/>
      <c r="AE113" s="11"/>
      <c r="AF113" s="160"/>
      <c r="AG113" s="159"/>
      <c r="AH113" s="11"/>
      <c r="AI113" s="160"/>
      <c r="AJ113" s="159"/>
      <c r="AK113" s="11"/>
      <c r="AL113" s="160"/>
      <c r="AM113" s="159"/>
      <c r="AN113" s="11"/>
      <c r="AO113" s="160"/>
      <c r="AP113" s="159"/>
      <c r="AQ113" s="11"/>
      <c r="AR113" s="160"/>
      <c r="AS113" s="159"/>
      <c r="AT113" s="11"/>
      <c r="AU113" s="160"/>
      <c r="AV113" s="159"/>
      <c r="AW113" s="11"/>
      <c r="AX113" s="160"/>
      <c r="AY113" s="159"/>
      <c r="AZ113" s="11"/>
      <c r="BA113" s="160"/>
      <c r="BB113" s="159"/>
      <c r="BC113" s="11"/>
      <c r="BD113" s="160"/>
      <c r="BE113" s="159"/>
      <c r="BF113" s="11"/>
      <c r="BG113" s="160"/>
    </row>
    <row r="114" spans="1:59" ht="4.5" customHeight="1" x14ac:dyDescent="0.25">
      <c r="D114" s="72"/>
      <c r="E114" s="72"/>
      <c r="F114" s="72"/>
      <c r="I114" s="167"/>
      <c r="J114" s="72"/>
      <c r="K114" s="168"/>
      <c r="L114" s="167"/>
      <c r="M114" s="72"/>
      <c r="N114" s="168"/>
      <c r="O114" s="167"/>
      <c r="P114" s="72"/>
      <c r="Q114" s="168"/>
      <c r="R114" s="167"/>
      <c r="S114" s="72"/>
      <c r="T114" s="168"/>
      <c r="U114" s="167"/>
      <c r="V114" s="72"/>
      <c r="W114" s="168"/>
      <c r="X114" s="167"/>
      <c r="Y114" s="72"/>
      <c r="Z114" s="168"/>
      <c r="AA114" s="167"/>
      <c r="AB114" s="72"/>
      <c r="AC114" s="168"/>
      <c r="AD114" s="167"/>
      <c r="AE114" s="72"/>
      <c r="AF114" s="168"/>
      <c r="AG114" s="167"/>
      <c r="AH114" s="72"/>
      <c r="AI114" s="168"/>
      <c r="AJ114" s="167"/>
      <c r="AK114" s="72"/>
      <c r="AL114" s="168"/>
      <c r="AM114" s="167"/>
      <c r="AN114" s="72"/>
      <c r="AO114" s="168"/>
      <c r="AP114" s="167"/>
      <c r="AQ114" s="72"/>
      <c r="AR114" s="168"/>
      <c r="AS114" s="167"/>
      <c r="AT114" s="72"/>
      <c r="AU114" s="168"/>
      <c r="AV114" s="167"/>
      <c r="AW114" s="72"/>
      <c r="AX114" s="168"/>
      <c r="AY114" s="167"/>
      <c r="AZ114" s="72"/>
      <c r="BA114" s="168"/>
      <c r="BB114" s="167"/>
      <c r="BC114" s="72"/>
      <c r="BD114" s="168"/>
      <c r="BE114" s="167"/>
      <c r="BF114" s="72"/>
      <c r="BG114" s="168"/>
    </row>
    <row r="115" spans="1:59" ht="24" x14ac:dyDescent="0.25">
      <c r="A115" s="363" t="s">
        <v>172</v>
      </c>
      <c r="B115" s="364"/>
      <c r="C115" s="62" t="s">
        <v>47</v>
      </c>
      <c r="D115" s="10"/>
      <c r="E115" s="10"/>
      <c r="F115" s="10"/>
      <c r="G115" s="11"/>
      <c r="H115" s="29"/>
      <c r="I115" s="159"/>
      <c r="J115" s="11"/>
      <c r="K115" s="160"/>
      <c r="L115" s="159"/>
      <c r="M115" s="11"/>
      <c r="N115" s="160"/>
      <c r="O115" s="159"/>
      <c r="P115" s="11"/>
      <c r="Q115" s="160"/>
      <c r="R115" s="159" t="s">
        <v>194</v>
      </c>
      <c r="S115" s="11"/>
      <c r="T115" s="160"/>
      <c r="U115" s="159"/>
      <c r="V115" s="11"/>
      <c r="W115" s="160"/>
      <c r="X115" s="159"/>
      <c r="Y115" s="11"/>
      <c r="Z115" s="160"/>
      <c r="AA115" s="159"/>
      <c r="AB115" s="11"/>
      <c r="AC115" s="160"/>
      <c r="AD115" s="159"/>
      <c r="AE115" s="11"/>
      <c r="AF115" s="160"/>
      <c r="AG115" s="159"/>
      <c r="AH115" s="11"/>
      <c r="AI115" s="160"/>
      <c r="AJ115" s="159"/>
      <c r="AK115" s="11"/>
      <c r="AL115" s="160"/>
      <c r="AM115" s="159"/>
      <c r="AN115" s="11"/>
      <c r="AO115" s="160"/>
      <c r="AP115" s="159"/>
      <c r="AQ115" s="11"/>
      <c r="AR115" s="160"/>
      <c r="AS115" s="159"/>
      <c r="AT115" s="11"/>
      <c r="AU115" s="160"/>
      <c r="AV115" s="159"/>
      <c r="AW115" s="11"/>
      <c r="AX115" s="160"/>
      <c r="AY115" s="159"/>
      <c r="AZ115" s="11"/>
      <c r="BA115" s="160"/>
      <c r="BB115" s="159"/>
      <c r="BC115" s="11"/>
      <c r="BD115" s="160"/>
      <c r="BE115" s="159"/>
      <c r="BF115" s="11"/>
      <c r="BG115" s="160"/>
    </row>
    <row r="116" spans="1:59" ht="24" x14ac:dyDescent="0.25">
      <c r="A116" s="365"/>
      <c r="B116" s="366"/>
      <c r="C116" s="62" t="s">
        <v>46</v>
      </c>
      <c r="D116" s="10"/>
      <c r="E116" s="10"/>
      <c r="F116" s="10"/>
      <c r="G116" s="11"/>
      <c r="H116" s="29"/>
      <c r="I116" s="159"/>
      <c r="J116" s="11"/>
      <c r="K116" s="160"/>
      <c r="L116" s="159"/>
      <c r="M116" s="11"/>
      <c r="N116" s="160"/>
      <c r="O116" s="159"/>
      <c r="P116" s="11"/>
      <c r="Q116" s="160"/>
      <c r="R116" s="159" t="s">
        <v>194</v>
      </c>
      <c r="S116" s="11"/>
      <c r="T116" s="160"/>
      <c r="U116" s="159"/>
      <c r="V116" s="11"/>
      <c r="W116" s="160"/>
      <c r="X116" s="159"/>
      <c r="Y116" s="11"/>
      <c r="Z116" s="160"/>
      <c r="AA116" s="159"/>
      <c r="AB116" s="11"/>
      <c r="AC116" s="160"/>
      <c r="AD116" s="159"/>
      <c r="AE116" s="11"/>
      <c r="AF116" s="160"/>
      <c r="AG116" s="159"/>
      <c r="AH116" s="11"/>
      <c r="AI116" s="160"/>
      <c r="AJ116" s="159"/>
      <c r="AK116" s="11"/>
      <c r="AL116" s="160"/>
      <c r="AM116" s="159"/>
      <c r="AN116" s="11"/>
      <c r="AO116" s="160"/>
      <c r="AP116" s="159"/>
      <c r="AQ116" s="11"/>
      <c r="AR116" s="160"/>
      <c r="AS116" s="159"/>
      <c r="AT116" s="11"/>
      <c r="AU116" s="160"/>
      <c r="AV116" s="159"/>
      <c r="AW116" s="11"/>
      <c r="AX116" s="160"/>
      <c r="AY116" s="159"/>
      <c r="AZ116" s="11"/>
      <c r="BA116" s="160"/>
      <c r="BB116" s="159"/>
      <c r="BC116" s="11"/>
      <c r="BD116" s="160"/>
      <c r="BE116" s="159"/>
      <c r="BF116" s="11"/>
      <c r="BG116" s="160"/>
    </row>
    <row r="117" spans="1:59" ht="4.5" customHeight="1" x14ac:dyDescent="0.25">
      <c r="D117" s="73"/>
      <c r="E117" s="73"/>
      <c r="F117" s="73"/>
      <c r="I117" s="170"/>
      <c r="J117" s="73"/>
      <c r="K117" s="171"/>
      <c r="L117" s="170"/>
      <c r="M117" s="73"/>
      <c r="N117" s="171"/>
      <c r="O117" s="170"/>
      <c r="P117" s="73"/>
      <c r="Q117" s="171"/>
      <c r="R117" s="170"/>
      <c r="S117" s="73"/>
      <c r="T117" s="171"/>
      <c r="U117" s="170"/>
      <c r="V117" s="73"/>
      <c r="W117" s="171"/>
      <c r="X117" s="170"/>
      <c r="Y117" s="73"/>
      <c r="Z117" s="171"/>
      <c r="AA117" s="170"/>
      <c r="AB117" s="73"/>
      <c r="AC117" s="171"/>
      <c r="AD117" s="170"/>
      <c r="AE117" s="73"/>
      <c r="AF117" s="171"/>
      <c r="AG117" s="170"/>
      <c r="AH117" s="73"/>
      <c r="AI117" s="171"/>
      <c r="AJ117" s="170"/>
      <c r="AK117" s="73"/>
      <c r="AL117" s="171"/>
      <c r="AM117" s="170"/>
      <c r="AN117" s="73"/>
      <c r="AO117" s="171"/>
      <c r="AP117" s="170"/>
      <c r="AQ117" s="73"/>
      <c r="AR117" s="171"/>
      <c r="AS117" s="170"/>
      <c r="AT117" s="73"/>
      <c r="AU117" s="171"/>
      <c r="AV117" s="170"/>
      <c r="AW117" s="73"/>
      <c r="AX117" s="171"/>
      <c r="AY117" s="170"/>
      <c r="AZ117" s="73"/>
      <c r="BA117" s="171"/>
      <c r="BB117" s="170"/>
      <c r="BC117" s="73"/>
      <c r="BD117" s="171"/>
      <c r="BE117" s="170"/>
      <c r="BF117" s="73"/>
      <c r="BG117" s="171"/>
    </row>
    <row r="118" spans="1:59" ht="4.5" customHeight="1" x14ac:dyDescent="0.25">
      <c r="D118" s="73"/>
      <c r="E118" s="73"/>
      <c r="F118" s="73"/>
      <c r="I118" s="170"/>
      <c r="J118" s="73"/>
      <c r="K118" s="171"/>
      <c r="L118" s="170"/>
      <c r="M118" s="73"/>
      <c r="N118" s="171"/>
      <c r="O118" s="170"/>
      <c r="P118" s="73"/>
      <c r="Q118" s="171"/>
      <c r="R118" s="170"/>
      <c r="S118" s="73"/>
      <c r="T118" s="171"/>
      <c r="U118" s="170"/>
      <c r="V118" s="73"/>
      <c r="W118" s="171"/>
      <c r="X118" s="170"/>
      <c r="Y118" s="73"/>
      <c r="Z118" s="171"/>
      <c r="AA118" s="170"/>
      <c r="AB118" s="73"/>
      <c r="AC118" s="171"/>
      <c r="AD118" s="170"/>
      <c r="AE118" s="73"/>
      <c r="AF118" s="171"/>
      <c r="AG118" s="170"/>
      <c r="AH118" s="73"/>
      <c r="AI118" s="171"/>
      <c r="AJ118" s="170"/>
      <c r="AK118" s="73"/>
      <c r="AL118" s="171"/>
      <c r="AM118" s="170"/>
      <c r="AN118" s="73"/>
      <c r="AO118" s="171"/>
      <c r="AP118" s="170"/>
      <c r="AQ118" s="73"/>
      <c r="AR118" s="171"/>
      <c r="AS118" s="170"/>
      <c r="AT118" s="73"/>
      <c r="AU118" s="171"/>
      <c r="AV118" s="170"/>
      <c r="AW118" s="73"/>
      <c r="AX118" s="171"/>
      <c r="AY118" s="170"/>
      <c r="AZ118" s="73"/>
      <c r="BA118" s="171"/>
      <c r="BB118" s="170"/>
      <c r="BC118" s="73"/>
      <c r="BD118" s="171"/>
      <c r="BE118" s="170"/>
      <c r="BF118" s="73"/>
      <c r="BG118" s="171"/>
    </row>
    <row r="119" spans="1:59" x14ac:dyDescent="0.25">
      <c r="A119" s="14" t="s">
        <v>20</v>
      </c>
      <c r="B119" s="14"/>
      <c r="C119" s="14"/>
      <c r="D119" s="9"/>
      <c r="E119" s="9"/>
      <c r="F119" s="9"/>
      <c r="G119" s="38"/>
      <c r="H119" s="34"/>
      <c r="I119" s="169"/>
      <c r="J119" s="9"/>
      <c r="K119" s="156"/>
      <c r="L119" s="169"/>
      <c r="M119" s="9"/>
      <c r="N119" s="156"/>
      <c r="O119" s="169"/>
      <c r="P119" s="9"/>
      <c r="Q119" s="156"/>
      <c r="R119" s="169"/>
      <c r="S119" s="9"/>
      <c r="T119" s="156"/>
      <c r="U119" s="169"/>
      <c r="V119" s="9"/>
      <c r="W119" s="156"/>
      <c r="X119" s="169"/>
      <c r="Y119" s="9"/>
      <c r="Z119" s="156"/>
      <c r="AA119" s="169"/>
      <c r="AB119" s="9"/>
      <c r="AC119" s="156"/>
      <c r="AD119" s="169"/>
      <c r="AE119" s="9"/>
      <c r="AF119" s="156"/>
      <c r="AG119" s="169"/>
      <c r="AH119" s="9"/>
      <c r="AI119" s="156"/>
      <c r="AJ119" s="169"/>
      <c r="AK119" s="9"/>
      <c r="AL119" s="156"/>
      <c r="AM119" s="169"/>
      <c r="AN119" s="9"/>
      <c r="AO119" s="156"/>
      <c r="AP119" s="169"/>
      <c r="AQ119" s="9"/>
      <c r="AR119" s="156"/>
      <c r="AS119" s="169"/>
      <c r="AT119" s="9"/>
      <c r="AU119" s="156"/>
      <c r="AV119" s="169"/>
      <c r="AW119" s="9"/>
      <c r="AX119" s="156"/>
      <c r="AY119" s="169"/>
      <c r="AZ119" s="9"/>
      <c r="BA119" s="156"/>
      <c r="BB119" s="169"/>
      <c r="BC119" s="9"/>
      <c r="BD119" s="156"/>
      <c r="BE119" s="169"/>
      <c r="BF119" s="9"/>
      <c r="BG119" s="156"/>
    </row>
    <row r="120" spans="1:59" ht="4.5" customHeight="1" x14ac:dyDescent="0.25">
      <c r="A120" s="31"/>
      <c r="B120" s="31"/>
      <c r="C120" s="32"/>
      <c r="D120" s="73"/>
      <c r="E120" s="73"/>
      <c r="F120" s="73"/>
      <c r="I120" s="148"/>
      <c r="J120" s="149"/>
      <c r="K120" s="150"/>
      <c r="L120" s="148"/>
      <c r="M120" s="149"/>
      <c r="N120" s="150"/>
      <c r="O120" s="148"/>
      <c r="P120" s="149"/>
      <c r="Q120" s="150"/>
      <c r="R120" s="148"/>
      <c r="S120" s="149"/>
      <c r="T120" s="150"/>
      <c r="U120" s="148"/>
      <c r="V120" s="149"/>
      <c r="W120" s="150"/>
      <c r="X120" s="148"/>
      <c r="Y120" s="149"/>
      <c r="Z120" s="150"/>
      <c r="AA120" s="148"/>
      <c r="AB120" s="149"/>
      <c r="AC120" s="150"/>
      <c r="AD120" s="148"/>
      <c r="AE120" s="149"/>
      <c r="AF120" s="150"/>
      <c r="AG120" s="148"/>
      <c r="AH120" s="149"/>
      <c r="AI120" s="150"/>
      <c r="AJ120" s="148"/>
      <c r="AK120" s="149"/>
      <c r="AL120" s="150"/>
      <c r="AM120" s="148"/>
      <c r="AN120" s="149"/>
      <c r="AO120" s="150"/>
      <c r="AP120" s="148"/>
      <c r="AQ120" s="149"/>
      <c r="AR120" s="150"/>
      <c r="AS120" s="148"/>
      <c r="AT120" s="149"/>
      <c r="AU120" s="150"/>
      <c r="AV120" s="148"/>
      <c r="AW120" s="149"/>
      <c r="AX120" s="150"/>
      <c r="AY120" s="148"/>
      <c r="AZ120" s="149"/>
      <c r="BA120" s="150"/>
      <c r="BB120" s="148"/>
      <c r="BC120" s="149"/>
      <c r="BD120" s="150"/>
      <c r="BE120" s="148"/>
      <c r="BF120" s="149"/>
      <c r="BG120" s="150"/>
    </row>
    <row r="121" spans="1:59" x14ac:dyDescent="0.25">
      <c r="A121" s="327" t="s">
        <v>45</v>
      </c>
      <c r="B121" s="328"/>
      <c r="C121" s="28" t="s">
        <v>157</v>
      </c>
      <c r="D121" s="10"/>
      <c r="E121" s="10"/>
      <c r="F121" s="10"/>
      <c r="G121" s="11"/>
      <c r="H121" s="29"/>
      <c r="I121" s="159"/>
      <c r="J121" s="11"/>
      <c r="K121" s="160"/>
      <c r="L121" s="159"/>
      <c r="M121" s="11"/>
      <c r="N121" s="160"/>
      <c r="O121" s="159"/>
      <c r="P121" s="11"/>
      <c r="Q121" s="160"/>
      <c r="R121" s="159" t="s">
        <v>194</v>
      </c>
      <c r="S121" s="11"/>
      <c r="T121" s="160"/>
      <c r="U121" s="159"/>
      <c r="V121" s="11"/>
      <c r="W121" s="160"/>
      <c r="X121" s="159"/>
      <c r="Y121" s="11"/>
      <c r="Z121" s="160"/>
      <c r="AA121" s="159"/>
      <c r="AB121" s="11"/>
      <c r="AC121" s="160"/>
      <c r="AD121" s="159"/>
      <c r="AE121" s="11"/>
      <c r="AF121" s="160"/>
      <c r="AG121" s="159"/>
      <c r="AH121" s="11"/>
      <c r="AI121" s="160"/>
      <c r="AJ121" s="159"/>
      <c r="AK121" s="11"/>
      <c r="AL121" s="160"/>
      <c r="AM121" s="159"/>
      <c r="AN121" s="11"/>
      <c r="AO121" s="160"/>
      <c r="AP121" s="159"/>
      <c r="AQ121" s="11"/>
      <c r="AR121" s="160"/>
      <c r="AS121" s="159"/>
      <c r="AT121" s="11"/>
      <c r="AU121" s="160"/>
      <c r="AV121" s="159"/>
      <c r="AW121" s="11"/>
      <c r="AX121" s="160"/>
      <c r="AY121" s="159"/>
      <c r="AZ121" s="11"/>
      <c r="BA121" s="160"/>
      <c r="BB121" s="159"/>
      <c r="BC121" s="11"/>
      <c r="BD121" s="160"/>
      <c r="BE121" s="159"/>
      <c r="BF121" s="11"/>
      <c r="BG121" s="160"/>
    </row>
    <row r="122" spans="1:59" x14ac:dyDescent="0.25">
      <c r="A122" s="329"/>
      <c r="B122" s="330"/>
      <c r="C122" s="28" t="s">
        <v>130</v>
      </c>
      <c r="D122" s="10"/>
      <c r="E122" s="10"/>
      <c r="F122" s="10"/>
      <c r="G122" s="11"/>
      <c r="H122" s="29"/>
      <c r="I122" s="159"/>
      <c r="J122" s="11"/>
      <c r="K122" s="160"/>
      <c r="L122" s="159"/>
      <c r="M122" s="11"/>
      <c r="N122" s="160"/>
      <c r="O122" s="159"/>
      <c r="P122" s="11"/>
      <c r="Q122" s="160"/>
      <c r="R122" s="159" t="s">
        <v>194</v>
      </c>
      <c r="S122" s="11"/>
      <c r="T122" s="160"/>
      <c r="U122" s="159"/>
      <c r="V122" s="11"/>
      <c r="W122" s="160"/>
      <c r="X122" s="159"/>
      <c r="Y122" s="11"/>
      <c r="Z122" s="160"/>
      <c r="AA122" s="159"/>
      <c r="AB122" s="11"/>
      <c r="AC122" s="160"/>
      <c r="AD122" s="159"/>
      <c r="AE122" s="11"/>
      <c r="AF122" s="160"/>
      <c r="AG122" s="159"/>
      <c r="AH122" s="11"/>
      <c r="AI122" s="160"/>
      <c r="AJ122" s="159"/>
      <c r="AK122" s="11"/>
      <c r="AL122" s="160"/>
      <c r="AM122" s="159"/>
      <c r="AN122" s="11"/>
      <c r="AO122" s="160"/>
      <c r="AP122" s="159"/>
      <c r="AQ122" s="11"/>
      <c r="AR122" s="160"/>
      <c r="AS122" s="159"/>
      <c r="AT122" s="11"/>
      <c r="AU122" s="160"/>
      <c r="AV122" s="159"/>
      <c r="AW122" s="11"/>
      <c r="AX122" s="160"/>
      <c r="AY122" s="159"/>
      <c r="AZ122" s="11"/>
      <c r="BA122" s="160"/>
      <c r="BB122" s="159"/>
      <c r="BC122" s="11"/>
      <c r="BD122" s="160"/>
      <c r="BE122" s="159"/>
      <c r="BF122" s="11"/>
      <c r="BG122" s="160"/>
    </row>
    <row r="123" spans="1:59" x14ac:dyDescent="0.25">
      <c r="A123" s="331"/>
      <c r="B123" s="332"/>
      <c r="C123" s="28" t="s">
        <v>131</v>
      </c>
      <c r="D123" s="10"/>
      <c r="E123" s="10"/>
      <c r="F123" s="10"/>
      <c r="G123" s="11"/>
      <c r="H123" s="29"/>
      <c r="I123" s="159"/>
      <c r="J123" s="11"/>
      <c r="K123" s="160"/>
      <c r="L123" s="159"/>
      <c r="M123" s="11"/>
      <c r="N123" s="160"/>
      <c r="O123" s="159"/>
      <c r="P123" s="11"/>
      <c r="Q123" s="160"/>
      <c r="R123" s="159" t="s">
        <v>194</v>
      </c>
      <c r="S123" s="11"/>
      <c r="T123" s="160"/>
      <c r="U123" s="159"/>
      <c r="V123" s="11"/>
      <c r="W123" s="160"/>
      <c r="X123" s="159"/>
      <c r="Y123" s="11"/>
      <c r="Z123" s="160"/>
      <c r="AA123" s="159"/>
      <c r="AB123" s="11"/>
      <c r="AC123" s="160"/>
      <c r="AD123" s="159"/>
      <c r="AE123" s="11"/>
      <c r="AF123" s="160"/>
      <c r="AG123" s="159"/>
      <c r="AH123" s="11"/>
      <c r="AI123" s="160"/>
      <c r="AJ123" s="159"/>
      <c r="AK123" s="11"/>
      <c r="AL123" s="160"/>
      <c r="AM123" s="159"/>
      <c r="AN123" s="11"/>
      <c r="AO123" s="160"/>
      <c r="AP123" s="159"/>
      <c r="AQ123" s="11"/>
      <c r="AR123" s="160"/>
      <c r="AS123" s="159"/>
      <c r="AT123" s="11"/>
      <c r="AU123" s="160"/>
      <c r="AV123" s="159"/>
      <c r="AW123" s="11"/>
      <c r="AX123" s="160"/>
      <c r="AY123" s="159"/>
      <c r="AZ123" s="11"/>
      <c r="BA123" s="160"/>
      <c r="BB123" s="159"/>
      <c r="BC123" s="11"/>
      <c r="BD123" s="160"/>
      <c r="BE123" s="159"/>
      <c r="BF123" s="11"/>
      <c r="BG123" s="160"/>
    </row>
    <row r="124" spans="1:59" ht="3.75" customHeight="1" x14ac:dyDescent="0.25">
      <c r="D124" s="73"/>
      <c r="E124" s="73"/>
      <c r="F124" s="73"/>
      <c r="I124" s="148"/>
      <c r="J124" s="149"/>
      <c r="K124" s="150"/>
      <c r="L124" s="148"/>
      <c r="M124" s="149"/>
      <c r="N124" s="150"/>
      <c r="O124" s="148"/>
      <c r="P124" s="149"/>
      <c r="Q124" s="150"/>
      <c r="R124" s="148"/>
      <c r="S124" s="149"/>
      <c r="T124" s="150"/>
      <c r="U124" s="148"/>
      <c r="V124" s="149"/>
      <c r="W124" s="150"/>
      <c r="X124" s="148"/>
      <c r="Y124" s="149"/>
      <c r="Z124" s="150"/>
      <c r="AA124" s="148"/>
      <c r="AB124" s="149"/>
      <c r="AC124" s="150"/>
      <c r="AD124" s="148"/>
      <c r="AE124" s="149"/>
      <c r="AF124" s="150"/>
      <c r="AG124" s="148"/>
      <c r="AH124" s="149"/>
      <c r="AI124" s="150"/>
      <c r="AJ124" s="148"/>
      <c r="AK124" s="149"/>
      <c r="AL124" s="150"/>
      <c r="AM124" s="148"/>
      <c r="AN124" s="149"/>
      <c r="AO124" s="150"/>
      <c r="AP124" s="148"/>
      <c r="AQ124" s="149"/>
      <c r="AR124" s="150"/>
      <c r="AS124" s="148"/>
      <c r="AT124" s="149"/>
      <c r="AU124" s="150"/>
      <c r="AV124" s="148"/>
      <c r="AW124" s="149"/>
      <c r="AX124" s="150"/>
      <c r="AY124" s="148"/>
      <c r="AZ124" s="149"/>
      <c r="BA124" s="150"/>
      <c r="BB124" s="148"/>
      <c r="BC124" s="149"/>
      <c r="BD124" s="150"/>
      <c r="BE124" s="148"/>
      <c r="BF124" s="149"/>
      <c r="BG124" s="150"/>
    </row>
    <row r="125" spans="1:59" x14ac:dyDescent="0.25">
      <c r="A125" s="360" t="s">
        <v>132</v>
      </c>
      <c r="B125" s="360"/>
      <c r="C125" s="28" t="s">
        <v>641</v>
      </c>
      <c r="D125" s="10"/>
      <c r="E125" s="10"/>
      <c r="F125" s="10"/>
      <c r="G125" s="11"/>
      <c r="H125" s="29"/>
      <c r="I125" s="159">
        <v>8</v>
      </c>
      <c r="J125" s="11"/>
      <c r="K125" s="160"/>
      <c r="L125" s="159">
        <v>0</v>
      </c>
      <c r="M125" s="11"/>
      <c r="N125" s="160"/>
      <c r="O125" s="159">
        <v>3</v>
      </c>
      <c r="P125" s="11"/>
      <c r="Q125" s="160"/>
      <c r="R125" s="159" t="s">
        <v>658</v>
      </c>
      <c r="S125" s="11"/>
      <c r="T125" s="160"/>
      <c r="U125" s="159"/>
      <c r="V125" s="11"/>
      <c r="W125" s="160"/>
      <c r="X125" s="159"/>
      <c r="Y125" s="11"/>
      <c r="Z125" s="160"/>
      <c r="AA125" s="159"/>
      <c r="AB125" s="11"/>
      <c r="AC125" s="160"/>
      <c r="AD125" s="159"/>
      <c r="AE125" s="11"/>
      <c r="AF125" s="160"/>
      <c r="AG125" s="159"/>
      <c r="AH125" s="11"/>
      <c r="AI125" s="160"/>
      <c r="AJ125" s="159"/>
      <c r="AK125" s="11"/>
      <c r="AL125" s="160"/>
      <c r="AM125" s="159"/>
      <c r="AN125" s="11"/>
      <c r="AO125" s="160"/>
      <c r="AP125" s="159"/>
      <c r="AQ125" s="11"/>
      <c r="AR125" s="160"/>
      <c r="AS125" s="159"/>
      <c r="AT125" s="11"/>
      <c r="AU125" s="160"/>
      <c r="AV125" s="159"/>
      <c r="AW125" s="11"/>
      <c r="AX125" s="160"/>
      <c r="AY125" s="159"/>
      <c r="AZ125" s="11"/>
      <c r="BA125" s="160"/>
      <c r="BB125" s="159"/>
      <c r="BC125" s="11"/>
      <c r="BD125" s="160"/>
      <c r="BE125" s="159"/>
      <c r="BF125" s="11"/>
      <c r="BG125" s="160"/>
    </row>
    <row r="126" spans="1:59" x14ac:dyDescent="0.25">
      <c r="A126" s="360"/>
      <c r="B126" s="360"/>
      <c r="C126" s="28" t="s">
        <v>642</v>
      </c>
      <c r="D126" s="10"/>
      <c r="E126" s="10"/>
      <c r="F126" s="10"/>
      <c r="G126" s="11"/>
      <c r="H126" s="29"/>
      <c r="I126" s="159">
        <v>0</v>
      </c>
      <c r="J126" s="11"/>
      <c r="K126" s="160"/>
      <c r="L126" s="159">
        <v>0</v>
      </c>
      <c r="M126" s="11"/>
      <c r="N126" s="160"/>
      <c r="O126" s="159">
        <v>0</v>
      </c>
      <c r="P126" s="11"/>
      <c r="Q126" s="160"/>
      <c r="R126" s="159" t="s">
        <v>658</v>
      </c>
      <c r="S126" s="11"/>
      <c r="T126" s="160"/>
      <c r="U126" s="159"/>
      <c r="V126" s="11"/>
      <c r="W126" s="160"/>
      <c r="X126" s="159"/>
      <c r="Y126" s="11"/>
      <c r="Z126" s="160"/>
      <c r="AA126" s="159"/>
      <c r="AB126" s="11"/>
      <c r="AC126" s="160"/>
      <c r="AD126" s="159"/>
      <c r="AE126" s="11"/>
      <c r="AF126" s="160"/>
      <c r="AG126" s="159"/>
      <c r="AH126" s="11"/>
      <c r="AI126" s="160"/>
      <c r="AJ126" s="159"/>
      <c r="AK126" s="11"/>
      <c r="AL126" s="160"/>
      <c r="AM126" s="159"/>
      <c r="AN126" s="11"/>
      <c r="AO126" s="160"/>
      <c r="AP126" s="159"/>
      <c r="AQ126" s="11"/>
      <c r="AR126" s="160"/>
      <c r="AS126" s="159"/>
      <c r="AT126" s="11"/>
      <c r="AU126" s="160"/>
      <c r="AV126" s="159"/>
      <c r="AW126" s="11"/>
      <c r="AX126" s="160"/>
      <c r="AY126" s="159"/>
      <c r="AZ126" s="11"/>
      <c r="BA126" s="160"/>
      <c r="BB126" s="159"/>
      <c r="BC126" s="11"/>
      <c r="BD126" s="160"/>
      <c r="BE126" s="159"/>
      <c r="BF126" s="11"/>
      <c r="BG126" s="160"/>
    </row>
    <row r="127" spans="1:59" x14ac:dyDescent="0.25">
      <c r="A127" s="360"/>
      <c r="B127" s="360"/>
      <c r="C127" s="28" t="s">
        <v>643</v>
      </c>
      <c r="D127" s="10"/>
      <c r="E127" s="10"/>
      <c r="F127" s="10"/>
      <c r="G127" s="11"/>
      <c r="H127" s="29"/>
      <c r="I127" s="159">
        <v>8</v>
      </c>
      <c r="J127" s="11"/>
      <c r="K127" s="160"/>
      <c r="L127" s="159">
        <v>0</v>
      </c>
      <c r="M127" s="11"/>
      <c r="N127" s="160"/>
      <c r="O127" s="159">
        <v>3</v>
      </c>
      <c r="P127" s="11"/>
      <c r="Q127" s="160"/>
      <c r="R127" s="159" t="s">
        <v>658</v>
      </c>
      <c r="S127" s="11"/>
      <c r="T127" s="160"/>
      <c r="U127" s="159"/>
      <c r="V127" s="11"/>
      <c r="W127" s="160"/>
      <c r="X127" s="159"/>
      <c r="Y127" s="11"/>
      <c r="Z127" s="160"/>
      <c r="AA127" s="159"/>
      <c r="AB127" s="11"/>
      <c r="AC127" s="160"/>
      <c r="AD127" s="159"/>
      <c r="AE127" s="11"/>
      <c r="AF127" s="160"/>
      <c r="AG127" s="159"/>
      <c r="AH127" s="11"/>
      <c r="AI127" s="160"/>
      <c r="AJ127" s="159"/>
      <c r="AK127" s="11"/>
      <c r="AL127" s="160"/>
      <c r="AM127" s="159"/>
      <c r="AN127" s="11"/>
      <c r="AO127" s="160"/>
      <c r="AP127" s="159"/>
      <c r="AQ127" s="11"/>
      <c r="AR127" s="160"/>
      <c r="AS127" s="159"/>
      <c r="AT127" s="11"/>
      <c r="AU127" s="160"/>
      <c r="AV127" s="159"/>
      <c r="AW127" s="11"/>
      <c r="AX127" s="160"/>
      <c r="AY127" s="159"/>
      <c r="AZ127" s="11"/>
      <c r="BA127" s="160"/>
      <c r="BB127" s="159"/>
      <c r="BC127" s="11"/>
      <c r="BD127" s="160"/>
      <c r="BE127" s="159"/>
      <c r="BF127" s="11"/>
      <c r="BG127" s="160"/>
    </row>
    <row r="128" spans="1:59" ht="3.75" customHeight="1" x14ac:dyDescent="0.25">
      <c r="D128" s="73"/>
      <c r="E128" s="73"/>
      <c r="F128" s="73"/>
      <c r="I128" s="148"/>
      <c r="J128" s="149"/>
      <c r="K128" s="150"/>
      <c r="L128" s="148"/>
      <c r="M128" s="149"/>
      <c r="N128" s="150"/>
      <c r="O128" s="148"/>
      <c r="P128" s="149"/>
      <c r="Q128" s="150"/>
      <c r="R128" s="148"/>
      <c r="S128" s="149"/>
      <c r="T128" s="150"/>
      <c r="U128" s="148"/>
      <c r="V128" s="149"/>
      <c r="W128" s="150"/>
      <c r="X128" s="148"/>
      <c r="Y128" s="149"/>
      <c r="Z128" s="150"/>
      <c r="AA128" s="148"/>
      <c r="AB128" s="149"/>
      <c r="AC128" s="150"/>
      <c r="AD128" s="148"/>
      <c r="AE128" s="149"/>
      <c r="AF128" s="150"/>
      <c r="AG128" s="148"/>
      <c r="AH128" s="149"/>
      <c r="AI128" s="150"/>
      <c r="AJ128" s="148"/>
      <c r="AK128" s="149"/>
      <c r="AL128" s="150"/>
      <c r="AM128" s="148"/>
      <c r="AN128" s="149"/>
      <c r="AO128" s="150"/>
      <c r="AP128" s="148"/>
      <c r="AQ128" s="149"/>
      <c r="AR128" s="150"/>
      <c r="AS128" s="148"/>
      <c r="AT128" s="149"/>
      <c r="AU128" s="150"/>
      <c r="AV128" s="148"/>
      <c r="AW128" s="149"/>
      <c r="AX128" s="150"/>
      <c r="AY128" s="148"/>
      <c r="AZ128" s="149"/>
      <c r="BA128" s="150"/>
      <c r="BB128" s="148"/>
      <c r="BC128" s="149"/>
      <c r="BD128" s="150"/>
      <c r="BE128" s="148"/>
      <c r="BF128" s="149"/>
      <c r="BG128" s="150"/>
    </row>
    <row r="129" spans="1:59" ht="15.75" thickBot="1" x14ac:dyDescent="0.3">
      <c r="A129" s="367" t="s">
        <v>158</v>
      </c>
      <c r="B129" s="367"/>
      <c r="C129" s="28" t="s">
        <v>159</v>
      </c>
      <c r="D129" s="10"/>
      <c r="E129" s="10"/>
      <c r="F129" s="10"/>
      <c r="G129" s="11"/>
      <c r="H129" s="29"/>
      <c r="I129" s="172"/>
      <c r="J129" s="173"/>
      <c r="K129" s="174"/>
      <c r="L129" s="172"/>
      <c r="M129" s="173"/>
      <c r="N129" s="174"/>
      <c r="O129" s="172"/>
      <c r="P129" s="173"/>
      <c r="Q129" s="174"/>
      <c r="R129" s="172" t="s">
        <v>194</v>
      </c>
      <c r="S129" s="173"/>
      <c r="T129" s="174"/>
      <c r="U129" s="172"/>
      <c r="V129" s="173"/>
      <c r="W129" s="174"/>
      <c r="X129" s="172"/>
      <c r="Y129" s="173"/>
      <c r="Z129" s="174"/>
      <c r="AA129" s="172"/>
      <c r="AB129" s="173"/>
      <c r="AC129" s="174"/>
      <c r="AD129" s="172"/>
      <c r="AE129" s="173"/>
      <c r="AF129" s="174"/>
      <c r="AG129" s="172"/>
      <c r="AH129" s="173"/>
      <c r="AI129" s="174"/>
      <c r="AJ129" s="172"/>
      <c r="AK129" s="173"/>
      <c r="AL129" s="174"/>
      <c r="AM129" s="172"/>
      <c r="AN129" s="173"/>
      <c r="AO129" s="174"/>
      <c r="AP129" s="172"/>
      <c r="AQ129" s="173"/>
      <c r="AR129" s="174"/>
      <c r="AS129" s="172"/>
      <c r="AT129" s="173"/>
      <c r="AU129" s="174"/>
      <c r="AV129" s="172"/>
      <c r="AW129" s="173"/>
      <c r="AX129" s="174"/>
      <c r="AY129" s="172"/>
      <c r="AZ129" s="173"/>
      <c r="BA129" s="174"/>
      <c r="BB129" s="172"/>
      <c r="BC129" s="173"/>
      <c r="BD129" s="174"/>
      <c r="BE129" s="172"/>
      <c r="BF129" s="173"/>
      <c r="BG129" s="174"/>
    </row>
  </sheetData>
  <autoFilter ref="A1:Q3">
    <filterColumn colId="0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</autoFilter>
  <customSheetViews>
    <customSheetView guid="{40DAEB26-20D3-4AB4-B94D-0ED6F1AA8B5C}" scale="130" showGridLines="0" showAutoFilter="1" hiddenColumns="1" state="hidden">
      <pane xSplit="7" ySplit="2" topLeftCell="AC3" activePane="bottomRight" state="frozen"/>
      <selection pane="bottomRight" activeCell="AE14" sqref="AE14"/>
      <pageMargins left="0.7" right="0.7" top="0.75" bottom="0.75" header="0.3" footer="0.3"/>
      <pageSetup orientation="portrait" r:id="rId1"/>
      <autoFilter ref="A1:Q3">
        <filterColumn colId="0" showButton="0"/>
        <filterColumn colId="8" showButton="0"/>
        <filterColumn colId="9" showButton="0"/>
        <filterColumn colId="11" showButton="0"/>
        <filterColumn colId="12" showButton="0"/>
        <filterColumn colId="14" showButton="0"/>
        <filterColumn colId="15" showButton="0"/>
      </autoFilter>
    </customSheetView>
    <customSheetView guid="{DD1F7198-8B36-4512-8BBD-8050BD05AADA}" showGridLines="0" hiddenColumns="1">
      <pane xSplit="7" ySplit="2" topLeftCell="X88" activePane="bottomRight" state="frozen"/>
      <selection pane="bottomRight" activeCell="AG112" sqref="AG112"/>
      <pageMargins left="0.7" right="0.7" top="0.75" bottom="0.75" header="0.3" footer="0.3"/>
      <pageSetup orientation="portrait" r:id="rId2"/>
    </customSheetView>
  </customSheetViews>
  <mergeCells count="46">
    <mergeCell ref="A112:B113"/>
    <mergeCell ref="A115:B116"/>
    <mergeCell ref="A121:B123"/>
    <mergeCell ref="A125:B127"/>
    <mergeCell ref="A129:B129"/>
    <mergeCell ref="A77:B77"/>
    <mergeCell ref="A79:B83"/>
    <mergeCell ref="A85:A108"/>
    <mergeCell ref="B85:B86"/>
    <mergeCell ref="B88:B91"/>
    <mergeCell ref="B93:B96"/>
    <mergeCell ref="B98:B100"/>
    <mergeCell ref="B104:B105"/>
    <mergeCell ref="B107:B108"/>
    <mergeCell ref="A30:B43"/>
    <mergeCell ref="A45:B47"/>
    <mergeCell ref="A49:B50"/>
    <mergeCell ref="A53:B70"/>
    <mergeCell ref="A72:A75"/>
    <mergeCell ref="B72:B75"/>
    <mergeCell ref="A3:B3"/>
    <mergeCell ref="A5:A28"/>
    <mergeCell ref="B5:B7"/>
    <mergeCell ref="B9:B11"/>
    <mergeCell ref="B13:B15"/>
    <mergeCell ref="B17:B19"/>
    <mergeCell ref="B21:B23"/>
    <mergeCell ref="B25:B28"/>
    <mergeCell ref="BE1:BG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U1:W1"/>
    <mergeCell ref="A1:B1"/>
    <mergeCell ref="I1:K1"/>
    <mergeCell ref="L1:N1"/>
    <mergeCell ref="O1:Q1"/>
    <mergeCell ref="R1:T1"/>
  </mergeCell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GY122"/>
  <sheetViews>
    <sheetView showGridLines="0" zoomScale="130" zoomScaleNormal="100" workbookViewId="0">
      <pane xSplit="7" ySplit="2" topLeftCell="H57" activePane="bottomRight" state="frozen"/>
      <selection pane="topRight" activeCell="H1" sqref="H1"/>
      <selection pane="bottomLeft" activeCell="A3" sqref="A3"/>
      <selection pane="bottomRight" activeCell="V69" sqref="V69"/>
    </sheetView>
  </sheetViews>
  <sheetFormatPr defaultRowHeight="15" x14ac:dyDescent="0.25"/>
  <cols>
    <col min="1" max="1" width="11.42578125" style="63" customWidth="1"/>
    <col min="2" max="2" width="14.5703125" style="63" customWidth="1"/>
    <col min="3" max="3" width="40.7109375" style="63" customWidth="1"/>
    <col min="4" max="5" width="11" style="63" hidden="1" customWidth="1"/>
    <col min="6" max="6" width="11.5703125" style="63" hidden="1" customWidth="1"/>
    <col min="7" max="7" width="9.5703125" style="63" hidden="1" customWidth="1"/>
    <col min="8" max="8" width="1.28515625" style="65" customWidth="1"/>
    <col min="9" max="9" width="10.42578125" style="63" customWidth="1"/>
    <col min="10" max="10" width="8.7109375" style="63" hidden="1" customWidth="1"/>
    <col min="11" max="11" width="9.42578125" style="63" hidden="1" customWidth="1"/>
    <col min="12" max="12" width="9.5703125" style="63" hidden="1" customWidth="1"/>
    <col min="13" max="13" width="8.7109375" style="63" hidden="1" customWidth="1"/>
    <col min="14" max="14" width="9.42578125" style="63" hidden="1" customWidth="1"/>
    <col min="15" max="15" width="9.5703125" style="63" hidden="1" customWidth="1"/>
    <col min="16" max="16" width="8.7109375" style="63" hidden="1" customWidth="1"/>
    <col min="17" max="17" width="9.42578125" style="63" hidden="1" customWidth="1"/>
    <col min="18" max="19" width="9.5703125" style="63" hidden="1" customWidth="1"/>
    <col min="20" max="20" width="7.42578125" style="63" customWidth="1"/>
    <col min="21" max="21" width="9.5703125" style="63" bestFit="1" customWidth="1"/>
    <col min="22" max="22" width="9.140625" style="63" bestFit="1" customWidth="1"/>
    <col min="23" max="23" width="9.42578125" style="63" bestFit="1" customWidth="1"/>
    <col min="24" max="24" width="9.5703125" style="63" bestFit="1" customWidth="1"/>
    <col min="25" max="25" width="8.7109375" style="63" bestFit="1" customWidth="1"/>
    <col min="26" max="26" width="9.42578125" style="63" bestFit="1" customWidth="1"/>
    <col min="27" max="27" width="9.5703125" style="63" bestFit="1" customWidth="1"/>
    <col min="28" max="28" width="8.7109375" style="63" bestFit="1" customWidth="1"/>
    <col min="29" max="29" width="9.42578125" style="63" bestFit="1" customWidth="1"/>
    <col min="30" max="30" width="9.5703125" style="63" bestFit="1" customWidth="1"/>
    <col min="31" max="31" width="7.85546875" style="63" bestFit="1" customWidth="1"/>
    <col min="32" max="32" width="14" style="63" customWidth="1"/>
    <col min="33" max="33" width="9.5703125" style="63" bestFit="1" customWidth="1"/>
    <col min="34" max="34" width="8.7109375" style="63" bestFit="1" customWidth="1"/>
    <col min="35" max="35" width="9.42578125" style="63" bestFit="1" customWidth="1"/>
    <col min="36" max="56" width="14" style="63" hidden="1" customWidth="1"/>
    <col min="57" max="59" width="14" style="63" customWidth="1"/>
    <col min="60" max="16384" width="9.140625" style="63"/>
  </cols>
  <sheetData>
    <row r="1" spans="1:59" ht="36" x14ac:dyDescent="0.25">
      <c r="A1" s="321" t="s">
        <v>1</v>
      </c>
      <c r="B1" s="321"/>
      <c r="C1" s="45" t="s">
        <v>2</v>
      </c>
      <c r="D1" s="45" t="s">
        <v>139</v>
      </c>
      <c r="E1" s="45" t="s">
        <v>140</v>
      </c>
      <c r="F1" s="45" t="s">
        <v>141</v>
      </c>
      <c r="G1" s="36" t="s">
        <v>142</v>
      </c>
      <c r="H1" s="33"/>
      <c r="I1" s="311" t="s">
        <v>7</v>
      </c>
      <c r="J1" s="312"/>
      <c r="K1" s="313"/>
      <c r="L1" s="311" t="s">
        <v>8</v>
      </c>
      <c r="M1" s="312"/>
      <c r="N1" s="313"/>
      <c r="O1" s="311" t="s">
        <v>21</v>
      </c>
      <c r="P1" s="312"/>
      <c r="Q1" s="313"/>
      <c r="R1" s="311" t="s">
        <v>199</v>
      </c>
      <c r="S1" s="312"/>
      <c r="T1" s="313"/>
      <c r="U1" s="311" t="s">
        <v>22</v>
      </c>
      <c r="V1" s="312"/>
      <c r="W1" s="313"/>
      <c r="X1" s="311" t="s">
        <v>23</v>
      </c>
      <c r="Y1" s="312"/>
      <c r="Z1" s="313"/>
      <c r="AA1" s="311" t="s">
        <v>24</v>
      </c>
      <c r="AB1" s="312"/>
      <c r="AC1" s="313"/>
      <c r="AD1" s="311" t="s">
        <v>200</v>
      </c>
      <c r="AE1" s="312"/>
      <c r="AF1" s="313"/>
      <c r="AG1" s="311" t="s">
        <v>25</v>
      </c>
      <c r="AH1" s="312"/>
      <c r="AI1" s="313"/>
      <c r="AJ1" s="311" t="s">
        <v>186</v>
      </c>
      <c r="AK1" s="312"/>
      <c r="AL1" s="313"/>
      <c r="AM1" s="311" t="s">
        <v>187</v>
      </c>
      <c r="AN1" s="312"/>
      <c r="AO1" s="313"/>
      <c r="AP1" s="311" t="s">
        <v>201</v>
      </c>
      <c r="AQ1" s="312"/>
      <c r="AR1" s="313"/>
      <c r="AS1" s="311" t="s">
        <v>188</v>
      </c>
      <c r="AT1" s="312"/>
      <c r="AU1" s="313"/>
      <c r="AV1" s="311" t="s">
        <v>189</v>
      </c>
      <c r="AW1" s="312"/>
      <c r="AX1" s="313"/>
      <c r="AY1" s="311" t="s">
        <v>190</v>
      </c>
      <c r="AZ1" s="312"/>
      <c r="BA1" s="313"/>
      <c r="BB1" s="311" t="s">
        <v>198</v>
      </c>
      <c r="BC1" s="312"/>
      <c r="BD1" s="313"/>
      <c r="BE1" s="311" t="s">
        <v>617</v>
      </c>
      <c r="BF1" s="312"/>
      <c r="BG1" s="313"/>
    </row>
    <row r="2" spans="1:59" ht="15" customHeight="1" thickBot="1" x14ac:dyDescent="0.3">
      <c r="A2" s="15" t="s">
        <v>9</v>
      </c>
      <c r="B2" s="15"/>
      <c r="C2" s="15"/>
      <c r="D2" s="9"/>
      <c r="E2" s="9"/>
      <c r="F2" s="9"/>
      <c r="G2" s="37"/>
      <c r="H2" s="34"/>
      <c r="I2" s="132" t="s">
        <v>195</v>
      </c>
      <c r="J2" s="133" t="s">
        <v>196</v>
      </c>
      <c r="K2" s="134" t="s">
        <v>197</v>
      </c>
      <c r="L2" s="132" t="s">
        <v>195</v>
      </c>
      <c r="M2" s="133" t="s">
        <v>196</v>
      </c>
      <c r="N2" s="134" t="s">
        <v>197</v>
      </c>
      <c r="O2" s="132" t="s">
        <v>195</v>
      </c>
      <c r="P2" s="133" t="s">
        <v>196</v>
      </c>
      <c r="Q2" s="134" t="s">
        <v>197</v>
      </c>
      <c r="R2" s="132" t="s">
        <v>195</v>
      </c>
      <c r="S2" s="133" t="s">
        <v>196</v>
      </c>
      <c r="T2" s="134" t="s">
        <v>197</v>
      </c>
      <c r="U2" s="132" t="s">
        <v>195</v>
      </c>
      <c r="V2" s="133" t="s">
        <v>196</v>
      </c>
      <c r="W2" s="134" t="s">
        <v>197</v>
      </c>
      <c r="X2" s="132" t="s">
        <v>195</v>
      </c>
      <c r="Y2" s="133" t="s">
        <v>196</v>
      </c>
      <c r="Z2" s="134" t="s">
        <v>197</v>
      </c>
      <c r="AA2" s="132" t="s">
        <v>195</v>
      </c>
      <c r="AB2" s="133" t="s">
        <v>196</v>
      </c>
      <c r="AC2" s="134" t="s">
        <v>197</v>
      </c>
      <c r="AD2" s="132" t="s">
        <v>195</v>
      </c>
      <c r="AE2" s="133" t="s">
        <v>196</v>
      </c>
      <c r="AF2" s="134" t="s">
        <v>197</v>
      </c>
      <c r="AG2" s="132" t="s">
        <v>195</v>
      </c>
      <c r="AH2" s="133" t="s">
        <v>196</v>
      </c>
      <c r="AI2" s="134" t="s">
        <v>197</v>
      </c>
      <c r="AJ2" s="132" t="s">
        <v>195</v>
      </c>
      <c r="AK2" s="133" t="s">
        <v>196</v>
      </c>
      <c r="AL2" s="134" t="s">
        <v>197</v>
      </c>
      <c r="AM2" s="132" t="s">
        <v>195</v>
      </c>
      <c r="AN2" s="133" t="s">
        <v>196</v>
      </c>
      <c r="AO2" s="134" t="s">
        <v>197</v>
      </c>
      <c r="AP2" s="132" t="s">
        <v>195</v>
      </c>
      <c r="AQ2" s="133" t="s">
        <v>196</v>
      </c>
      <c r="AR2" s="134" t="s">
        <v>197</v>
      </c>
      <c r="AS2" s="132" t="s">
        <v>195</v>
      </c>
      <c r="AT2" s="133" t="s">
        <v>196</v>
      </c>
      <c r="AU2" s="134" t="s">
        <v>197</v>
      </c>
      <c r="AV2" s="132" t="s">
        <v>195</v>
      </c>
      <c r="AW2" s="133" t="s">
        <v>196</v>
      </c>
      <c r="AX2" s="134" t="s">
        <v>197</v>
      </c>
      <c r="AY2" s="132" t="s">
        <v>195</v>
      </c>
      <c r="AZ2" s="133" t="s">
        <v>196</v>
      </c>
      <c r="BA2" s="134" t="s">
        <v>197</v>
      </c>
      <c r="BB2" s="132" t="s">
        <v>195</v>
      </c>
      <c r="BC2" s="133" t="s">
        <v>196</v>
      </c>
      <c r="BD2" s="134" t="s">
        <v>197</v>
      </c>
      <c r="BE2" s="132" t="s">
        <v>195</v>
      </c>
      <c r="BF2" s="133" t="s">
        <v>196</v>
      </c>
      <c r="BG2" s="134" t="s">
        <v>197</v>
      </c>
    </row>
    <row r="3" spans="1:59" ht="28.5" customHeight="1" x14ac:dyDescent="0.25">
      <c r="A3" s="361" t="s">
        <v>160</v>
      </c>
      <c r="B3" s="362"/>
      <c r="C3" s="62" t="s">
        <v>145</v>
      </c>
      <c r="D3" s="10"/>
      <c r="E3" s="10"/>
      <c r="F3" s="10"/>
      <c r="G3" s="11"/>
      <c r="H3" s="81"/>
      <c r="I3" s="202">
        <f>I5/'TSF Prasadam Overall'!I4</f>
        <v>610719.15</v>
      </c>
      <c r="J3" s="85">
        <f>J5/'TSF Prasadam Overall'!J4</f>
        <v>373430.77166666667</v>
      </c>
      <c r="K3" s="137"/>
      <c r="L3" s="202">
        <f>'HT Stores BSC'!L5/'TSF Prasadam Overall'!L4</f>
        <v>585289.4</v>
      </c>
      <c r="M3" s="85">
        <f>M5/'TSF Prasadam Overall'!M4</f>
        <v>555085.93627450988</v>
      </c>
      <c r="N3" s="137"/>
      <c r="O3" s="202">
        <f>O5/'TSF Prasadam Overall'!O4</f>
        <v>470747.9</v>
      </c>
      <c r="P3" s="85">
        <f>P5/'TSF Prasadam Overall'!P4</f>
        <v>467976.10539215687</v>
      </c>
      <c r="Q3" s="137"/>
      <c r="R3" s="202">
        <f>R5/'TSF Prasadam Overall'!R4</f>
        <v>555585.48333333328</v>
      </c>
      <c r="S3" s="85">
        <f>S5/'TSF Prasadam Overall'!S4</f>
        <v>465497.60444444447</v>
      </c>
      <c r="T3" s="137"/>
      <c r="U3" s="202">
        <f>U5/'TSF Prasadam Overall'!U4</f>
        <v>427898.5</v>
      </c>
      <c r="V3" s="85">
        <f>V5/'TSF Prasadam Overall'!V4</f>
        <v>357863.5882352941</v>
      </c>
      <c r="W3" s="137"/>
      <c r="X3" s="136">
        <f>X5/'TSF Prasadam Overall'!X4</f>
        <v>584618.80000000005</v>
      </c>
      <c r="Y3" s="85"/>
      <c r="Z3" s="137"/>
      <c r="AA3" s="136">
        <f>AA5/'TSF Prasadam Overall'!AA4</f>
        <v>493940.6</v>
      </c>
      <c r="AB3" s="85"/>
      <c r="AC3" s="137"/>
      <c r="AD3" s="136">
        <f>AD5/'TSF Prasadam Overall'!AD4</f>
        <v>502152.63333333336</v>
      </c>
      <c r="AE3" s="85"/>
      <c r="AF3" s="137"/>
      <c r="AG3" s="136">
        <f>AG5/'TSF Prasadam Overall'!AG4</f>
        <v>653652.80000000005</v>
      </c>
      <c r="AH3" s="85"/>
      <c r="AI3" s="137"/>
      <c r="AJ3" s="136"/>
      <c r="AK3" s="85"/>
      <c r="AL3" s="137"/>
      <c r="AM3" s="136"/>
      <c r="AN3" s="85"/>
      <c r="AO3" s="137"/>
      <c r="AP3" s="136"/>
      <c r="AQ3" s="85"/>
      <c r="AR3" s="137"/>
      <c r="AS3" s="136"/>
      <c r="AT3" s="85"/>
      <c r="AU3" s="137"/>
      <c r="AV3" s="136"/>
      <c r="AW3" s="85"/>
      <c r="AX3" s="137"/>
      <c r="AY3" s="136"/>
      <c r="AZ3" s="85"/>
      <c r="BA3" s="137"/>
      <c r="BB3" s="136"/>
      <c r="BC3" s="85"/>
      <c r="BD3" s="137"/>
      <c r="BE3" s="136">
        <f>BE5/'TSF Prasadam Overall'!BE4</f>
        <v>546695.30714285711</v>
      </c>
      <c r="BF3" s="85"/>
      <c r="BG3" s="137"/>
    </row>
    <row r="4" spans="1:59" ht="3" customHeight="1" x14ac:dyDescent="0.25">
      <c r="A4" s="44"/>
      <c r="B4" s="44"/>
      <c r="C4" s="40"/>
      <c r="D4" s="40"/>
      <c r="E4" s="40"/>
      <c r="F4" s="40"/>
      <c r="G4" s="41"/>
      <c r="H4" s="29"/>
      <c r="I4" s="138"/>
      <c r="J4" s="41"/>
      <c r="K4" s="139"/>
      <c r="L4" s="138"/>
      <c r="M4" s="41"/>
      <c r="N4" s="139"/>
      <c r="O4" s="138"/>
      <c r="P4" s="41"/>
      <c r="Q4" s="139"/>
      <c r="R4" s="138"/>
      <c r="S4" s="41"/>
      <c r="T4" s="139"/>
      <c r="U4" s="138"/>
      <c r="V4" s="41"/>
      <c r="W4" s="139"/>
      <c r="X4" s="138"/>
      <c r="Y4" s="41"/>
      <c r="Z4" s="139"/>
      <c r="AA4" s="138"/>
      <c r="AB4" s="41"/>
      <c r="AC4" s="139"/>
      <c r="AD4" s="138"/>
      <c r="AE4" s="41"/>
      <c r="AF4" s="139"/>
      <c r="AG4" s="138"/>
      <c r="AH4" s="41"/>
      <c r="AI4" s="139"/>
      <c r="AJ4" s="138"/>
      <c r="AK4" s="41"/>
      <c r="AL4" s="139"/>
      <c r="AM4" s="138"/>
      <c r="AN4" s="41"/>
      <c r="AO4" s="139"/>
      <c r="AP4" s="138"/>
      <c r="AQ4" s="41"/>
      <c r="AR4" s="139"/>
      <c r="AS4" s="138"/>
      <c r="AT4" s="41"/>
      <c r="AU4" s="139"/>
      <c r="AV4" s="138"/>
      <c r="AW4" s="41"/>
      <c r="AX4" s="139"/>
      <c r="AY4" s="138"/>
      <c r="AZ4" s="41"/>
      <c r="BA4" s="139"/>
      <c r="BB4" s="138"/>
      <c r="BC4" s="41"/>
      <c r="BD4" s="139"/>
      <c r="BE4" s="138"/>
      <c r="BF4" s="41"/>
      <c r="BG4" s="139"/>
    </row>
    <row r="5" spans="1:59" ht="16.5" customHeight="1" x14ac:dyDescent="0.2">
      <c r="A5" s="323" t="s">
        <v>76</v>
      </c>
      <c r="B5" s="323" t="s">
        <v>71</v>
      </c>
      <c r="C5" s="48" t="s">
        <v>202</v>
      </c>
      <c r="D5" s="10"/>
      <c r="E5" s="10"/>
      <c r="F5" s="10"/>
      <c r="G5" s="11"/>
      <c r="H5" s="81"/>
      <c r="I5" s="142">
        <f>I9+I13+I17</f>
        <v>12214383</v>
      </c>
      <c r="J5" s="107">
        <v>6348323.1183333332</v>
      </c>
      <c r="K5" s="137">
        <f>(I5-J5)/J5</f>
        <v>0.92403297253822236</v>
      </c>
      <c r="L5" s="142">
        <f>L9+L13+L17</f>
        <v>11705788</v>
      </c>
      <c r="M5" s="107">
        <v>9436460.9166666679</v>
      </c>
      <c r="N5" s="137">
        <f>(L5-M5)/M5</f>
        <v>0.2404849766637881</v>
      </c>
      <c r="O5" s="142">
        <f>O9+O13+O17</f>
        <v>9414958</v>
      </c>
      <c r="P5" s="107">
        <f>P13+P17</f>
        <v>7955593.791666667</v>
      </c>
      <c r="Q5" s="137">
        <f>(O5-P5)/P5</f>
        <v>0.18343875347959435</v>
      </c>
      <c r="R5" s="142">
        <f>O5+L5+I5</f>
        <v>33335129</v>
      </c>
      <c r="S5" s="107">
        <f>P5+M5+J5</f>
        <v>23740377.826666668</v>
      </c>
      <c r="T5" s="137">
        <f>(R5-S5)/S5</f>
        <v>0.40415326341419516</v>
      </c>
      <c r="U5" s="142">
        <f>U9+U13+U17</f>
        <v>8557970</v>
      </c>
      <c r="V5" s="142">
        <f>V9+V13+V17</f>
        <v>6083681</v>
      </c>
      <c r="W5" s="187"/>
      <c r="X5" s="142">
        <f>X9+X13+X17</f>
        <v>11692376</v>
      </c>
      <c r="Y5" s="142">
        <f>Y9+Y13+Y17</f>
        <v>9227297</v>
      </c>
      <c r="Z5" s="143"/>
      <c r="AA5" s="142">
        <f>AA9+AA13+AA17</f>
        <v>9878812</v>
      </c>
      <c r="AB5" s="142">
        <f>AB9+AB13+AB17</f>
        <v>5822410</v>
      </c>
      <c r="AC5" s="143"/>
      <c r="AD5" s="107">
        <f>AA5+X5+U5</f>
        <v>30129158</v>
      </c>
      <c r="AE5" s="107"/>
      <c r="AF5" s="143"/>
      <c r="AG5" s="142">
        <f>AG9+AG13+AG17+4732</f>
        <v>13073056</v>
      </c>
      <c r="AH5" s="107">
        <v>6020639</v>
      </c>
      <c r="AI5" s="143"/>
      <c r="AJ5" s="142"/>
      <c r="AK5" s="107"/>
      <c r="AL5" s="143"/>
      <c r="AM5" s="142"/>
      <c r="AN5" s="107"/>
      <c r="AO5" s="143"/>
      <c r="AP5" s="142"/>
      <c r="AQ5" s="107"/>
      <c r="AR5" s="143"/>
      <c r="AS5" s="142"/>
      <c r="AT5" s="107"/>
      <c r="AU5" s="143"/>
      <c r="AV5" s="142"/>
      <c r="AW5" s="107"/>
      <c r="AX5" s="143"/>
      <c r="AY5" s="142"/>
      <c r="AZ5" s="107"/>
      <c r="BA5" s="143"/>
      <c r="BB5" s="142"/>
      <c r="BC5" s="107"/>
      <c r="BD5" s="143"/>
      <c r="BE5" s="107">
        <f>I5+L5+O5+U5+X5+AA5+AG5+AJ5+AM5+AS5+AV5+AY5</f>
        <v>76537343</v>
      </c>
      <c r="BF5" s="107">
        <f>J5+M5+P5+V5+Y5+AB5+AH5+AK5+AN5+AT5+AW5+AZ5</f>
        <v>50894404.826666668</v>
      </c>
      <c r="BG5" s="137">
        <f>(BE5-BF5)/BF5</f>
        <v>0.50384591902914722</v>
      </c>
    </row>
    <row r="6" spans="1:59" ht="16.5" customHeight="1" x14ac:dyDescent="0.2">
      <c r="A6" s="324"/>
      <c r="B6" s="324"/>
      <c r="C6" s="48" t="s">
        <v>203</v>
      </c>
      <c r="D6" s="10"/>
      <c r="E6" s="10"/>
      <c r="F6" s="10"/>
      <c r="G6" s="11"/>
      <c r="H6" s="81"/>
      <c r="I6" s="142">
        <f>I10+I14+I18</f>
        <v>8820000</v>
      </c>
      <c r="J6" s="115" t="s">
        <v>194</v>
      </c>
      <c r="K6" s="143"/>
      <c r="L6" s="142">
        <f>L10+L14+L18</f>
        <v>12450000</v>
      </c>
      <c r="M6" s="115" t="s">
        <v>194</v>
      </c>
      <c r="N6" s="143"/>
      <c r="O6" s="142">
        <f>O10+O14+O18</f>
        <v>11110000</v>
      </c>
      <c r="P6" s="115" t="s">
        <v>194</v>
      </c>
      <c r="Q6" s="143"/>
      <c r="R6" s="142">
        <f>O6+L6+I6</f>
        <v>32380000</v>
      </c>
      <c r="S6" s="115" t="s">
        <v>194</v>
      </c>
      <c r="T6" s="143"/>
      <c r="U6" s="83">
        <f>U10+U14+U18</f>
        <v>9340000</v>
      </c>
      <c r="V6" s="107"/>
      <c r="W6" s="143"/>
      <c r="X6" s="83">
        <f>X10+X14+X18</f>
        <v>12400000</v>
      </c>
      <c r="Y6" s="107"/>
      <c r="Z6" s="143"/>
      <c r="AA6" s="83">
        <f>AA10+AA14+AA18</f>
        <v>14400000</v>
      </c>
      <c r="AB6" s="107"/>
      <c r="AC6" s="143"/>
      <c r="AD6" s="107">
        <f>AA6+X6+U6</f>
        <v>36140000</v>
      </c>
      <c r="AE6" s="107"/>
      <c r="AF6" s="143"/>
      <c r="AG6" s="83">
        <f>AG10+AG14+AG18</f>
        <v>9925000</v>
      </c>
      <c r="AH6" s="107"/>
      <c r="AI6" s="143"/>
      <c r="AJ6" s="142"/>
      <c r="AK6" s="107"/>
      <c r="AL6" s="143"/>
      <c r="AM6" s="142"/>
      <c r="AN6" s="107"/>
      <c r="AO6" s="143"/>
      <c r="AP6" s="142"/>
      <c r="AQ6" s="107"/>
      <c r="AR6" s="143"/>
      <c r="AS6" s="142"/>
      <c r="AT6" s="107"/>
      <c r="AU6" s="143"/>
      <c r="AV6" s="142"/>
      <c r="AW6" s="107"/>
      <c r="AX6" s="143"/>
      <c r="AY6" s="142"/>
      <c r="AZ6" s="107"/>
      <c r="BA6" s="143"/>
      <c r="BB6" s="142"/>
      <c r="BC6" s="107"/>
      <c r="BD6" s="143"/>
      <c r="BE6" s="107">
        <f>I6+L6+O6+U6+X6+AA6+AG6+AJ6+AM6+AS6+AV6+AY6</f>
        <v>78445000</v>
      </c>
      <c r="BF6" s="89"/>
      <c r="BG6" s="141"/>
    </row>
    <row r="7" spans="1:59" ht="16.5" customHeight="1" x14ac:dyDescent="0.2">
      <c r="A7" s="324"/>
      <c r="B7" s="324"/>
      <c r="C7" s="48" t="s">
        <v>233</v>
      </c>
      <c r="D7" s="10"/>
      <c r="E7" s="10"/>
      <c r="F7" s="10"/>
      <c r="G7" s="11"/>
      <c r="H7" s="81"/>
      <c r="I7" s="136">
        <f>I5/I6</f>
        <v>1.3848506802721088</v>
      </c>
      <c r="J7" s="115" t="s">
        <v>194</v>
      </c>
      <c r="K7" s="137"/>
      <c r="L7" s="136">
        <f>L5/L6</f>
        <v>0.94022393574297192</v>
      </c>
      <c r="M7" s="115" t="s">
        <v>194</v>
      </c>
      <c r="N7" s="137"/>
      <c r="O7" s="136">
        <f>O5/O6</f>
        <v>0.84743096309630961</v>
      </c>
      <c r="P7" s="115" t="s">
        <v>194</v>
      </c>
      <c r="Q7" s="137"/>
      <c r="R7" s="136">
        <f>R5/R6</f>
        <v>1.0294974984558369</v>
      </c>
      <c r="S7" s="115" t="s">
        <v>194</v>
      </c>
      <c r="T7" s="137"/>
      <c r="U7" s="136">
        <f>U5/U6</f>
        <v>0.91627087794432549</v>
      </c>
      <c r="V7" s="85"/>
      <c r="W7" s="137"/>
      <c r="X7" s="136">
        <f>X5/X6</f>
        <v>0.94293354838709675</v>
      </c>
      <c r="Y7" s="85"/>
      <c r="Z7" s="137"/>
      <c r="AA7" s="136">
        <f>AA5/AA6</f>
        <v>0.68602861111111113</v>
      </c>
      <c r="AB7" s="85"/>
      <c r="AC7" s="137"/>
      <c r="AD7" s="136">
        <f>AD5/AD6</f>
        <v>0.83367897066961816</v>
      </c>
      <c r="AE7" s="85"/>
      <c r="AF7" s="137"/>
      <c r="AG7" s="136">
        <f>AG5/AG6</f>
        <v>1.317184483627204</v>
      </c>
      <c r="AH7" s="85"/>
      <c r="AI7" s="137"/>
      <c r="AJ7" s="136"/>
      <c r="AK7" s="85"/>
      <c r="AL7" s="137"/>
      <c r="AM7" s="136"/>
      <c r="AN7" s="85"/>
      <c r="AO7" s="137"/>
      <c r="AP7" s="136"/>
      <c r="AQ7" s="85"/>
      <c r="AR7" s="137"/>
      <c r="AS7" s="136"/>
      <c r="AT7" s="85"/>
      <c r="AU7" s="137"/>
      <c r="AV7" s="136"/>
      <c r="AW7" s="85"/>
      <c r="AX7" s="137"/>
      <c r="AY7" s="136"/>
      <c r="AZ7" s="85"/>
      <c r="BA7" s="137"/>
      <c r="BB7" s="136"/>
      <c r="BC7" s="85"/>
      <c r="BD7" s="137"/>
      <c r="BE7" s="136">
        <f>BE5/BE6</f>
        <v>0.97568159857224812</v>
      </c>
      <c r="BF7" s="85"/>
      <c r="BG7" s="137"/>
    </row>
    <row r="8" spans="1:59" ht="3" customHeight="1" x14ac:dyDescent="0.25">
      <c r="A8" s="324"/>
      <c r="B8" s="44"/>
      <c r="C8" s="40"/>
      <c r="D8" s="40"/>
      <c r="E8" s="40"/>
      <c r="F8" s="40"/>
      <c r="G8" s="41"/>
      <c r="H8" s="29"/>
      <c r="I8" s="138"/>
      <c r="J8" s="41"/>
      <c r="K8" s="139"/>
      <c r="L8" s="138"/>
      <c r="M8" s="41"/>
      <c r="N8" s="139"/>
      <c r="O8" s="138"/>
      <c r="P8" s="41"/>
      <c r="Q8" s="139"/>
      <c r="R8" s="138"/>
      <c r="S8" s="41"/>
      <c r="T8" s="139"/>
      <c r="U8" s="138"/>
      <c r="V8" s="41"/>
      <c r="W8" s="139"/>
      <c r="X8" s="138"/>
      <c r="Y8" s="41"/>
      <c r="Z8" s="139"/>
      <c r="AA8" s="138"/>
      <c r="AB8" s="41"/>
      <c r="AC8" s="139"/>
      <c r="AD8" s="138"/>
      <c r="AE8" s="41"/>
      <c r="AF8" s="139"/>
      <c r="AG8" s="138"/>
      <c r="AH8" s="41"/>
      <c r="AI8" s="139"/>
      <c r="AJ8" s="138"/>
      <c r="AK8" s="41"/>
      <c r="AL8" s="139"/>
      <c r="AM8" s="138"/>
      <c r="AN8" s="41"/>
      <c r="AO8" s="139"/>
      <c r="AP8" s="138"/>
      <c r="AQ8" s="41"/>
      <c r="AR8" s="139"/>
      <c r="AS8" s="138"/>
      <c r="AT8" s="41"/>
      <c r="AU8" s="139"/>
      <c r="AV8" s="138"/>
      <c r="AW8" s="41"/>
      <c r="AX8" s="139"/>
      <c r="AY8" s="138"/>
      <c r="AZ8" s="41"/>
      <c r="BA8" s="139"/>
      <c r="BB8" s="138"/>
      <c r="BC8" s="41"/>
      <c r="BD8" s="139"/>
      <c r="BE8" s="138"/>
      <c r="BF8" s="41"/>
      <c r="BG8" s="139"/>
    </row>
    <row r="9" spans="1:59" ht="14.25" customHeight="1" x14ac:dyDescent="0.2">
      <c r="A9" s="324"/>
      <c r="B9" s="318" t="s">
        <v>72</v>
      </c>
      <c r="C9" s="48" t="s">
        <v>202</v>
      </c>
      <c r="D9" s="10"/>
      <c r="E9" s="10"/>
      <c r="F9" s="10"/>
      <c r="G9" s="11"/>
      <c r="H9" s="81"/>
      <c r="I9" s="142">
        <v>674239</v>
      </c>
      <c r="J9" s="115" t="s">
        <v>194</v>
      </c>
      <c r="K9" s="143"/>
      <c r="L9" s="142">
        <v>701071</v>
      </c>
      <c r="M9" s="115" t="s">
        <v>194</v>
      </c>
      <c r="N9" s="143"/>
      <c r="O9" s="142">
        <v>756018</v>
      </c>
      <c r="P9" s="115" t="s">
        <v>194</v>
      </c>
      <c r="Q9" s="143"/>
      <c r="R9" s="142">
        <f>O9+L9+I9</f>
        <v>2131328</v>
      </c>
      <c r="S9" s="115" t="s">
        <v>194</v>
      </c>
      <c r="T9" s="143"/>
      <c r="U9" s="142">
        <v>922514</v>
      </c>
      <c r="V9" s="107">
        <v>0</v>
      </c>
      <c r="W9" s="143"/>
      <c r="X9" s="142">
        <v>947724</v>
      </c>
      <c r="Y9" s="107">
        <v>0</v>
      </c>
      <c r="Z9" s="143"/>
      <c r="AA9" s="142">
        <v>786880</v>
      </c>
      <c r="AB9" s="107"/>
      <c r="AC9" s="143"/>
      <c r="AD9" s="107">
        <f t="shared" ref="AD9:AD10" si="0">AA9+X9+U9</f>
        <v>2657118</v>
      </c>
      <c r="AE9" s="107"/>
      <c r="AF9" s="143"/>
      <c r="AG9" s="142">
        <v>1118702</v>
      </c>
      <c r="AH9" s="107"/>
      <c r="AI9" s="143"/>
      <c r="AJ9" s="142"/>
      <c r="AK9" s="107"/>
      <c r="AL9" s="143"/>
      <c r="AM9" s="142"/>
      <c r="AN9" s="107"/>
      <c r="AO9" s="143"/>
      <c r="AP9" s="142"/>
      <c r="AQ9" s="107"/>
      <c r="AR9" s="143"/>
      <c r="AS9" s="142"/>
      <c r="AT9" s="107"/>
      <c r="AU9" s="143"/>
      <c r="AV9" s="142"/>
      <c r="AW9" s="107"/>
      <c r="AX9" s="143"/>
      <c r="AY9" s="142"/>
      <c r="AZ9" s="107"/>
      <c r="BA9" s="143"/>
      <c r="BB9" s="142"/>
      <c r="BC9" s="107"/>
      <c r="BD9" s="143"/>
      <c r="BE9" s="107">
        <f>I9+L9+O9+U9+X9+AA9+AG9+AJ9+AM9+AS9+AV9+AY9</f>
        <v>5907148</v>
      </c>
      <c r="BF9" s="107" t="s">
        <v>194</v>
      </c>
      <c r="BG9" s="143" t="s">
        <v>194</v>
      </c>
    </row>
    <row r="10" spans="1:59" ht="14.25" customHeight="1" x14ac:dyDescent="0.2">
      <c r="A10" s="324"/>
      <c r="B10" s="319"/>
      <c r="C10" s="48" t="s">
        <v>203</v>
      </c>
      <c r="D10" s="10"/>
      <c r="E10" s="10"/>
      <c r="F10" s="10"/>
      <c r="G10" s="11"/>
      <c r="H10" s="81"/>
      <c r="I10" s="142">
        <v>1000000</v>
      </c>
      <c r="J10" s="115" t="s">
        <v>194</v>
      </c>
      <c r="K10" s="143"/>
      <c r="L10" s="142">
        <v>1000000</v>
      </c>
      <c r="M10" s="115" t="s">
        <v>194</v>
      </c>
      <c r="N10" s="143"/>
      <c r="O10" s="142">
        <v>1000000</v>
      </c>
      <c r="P10" s="115" t="s">
        <v>194</v>
      </c>
      <c r="Q10" s="143"/>
      <c r="R10" s="142">
        <f>O10+L10+I10</f>
        <v>3000000</v>
      </c>
      <c r="S10" s="115" t="s">
        <v>194</v>
      </c>
      <c r="T10" s="143"/>
      <c r="U10" s="11">
        <v>1000000</v>
      </c>
      <c r="V10" s="107"/>
      <c r="W10" s="143"/>
      <c r="X10" s="11">
        <v>1000000</v>
      </c>
      <c r="Y10" s="107"/>
      <c r="Z10" s="143"/>
      <c r="AA10" s="142">
        <v>1000000</v>
      </c>
      <c r="AB10" s="107"/>
      <c r="AC10" s="143"/>
      <c r="AD10" s="107">
        <f t="shared" si="0"/>
        <v>3000000</v>
      </c>
      <c r="AE10" s="107"/>
      <c r="AF10" s="143"/>
      <c r="AG10" s="142">
        <v>1000000</v>
      </c>
      <c r="AH10" s="107"/>
      <c r="AI10" s="143"/>
      <c r="AJ10" s="142"/>
      <c r="AK10" s="107"/>
      <c r="AL10" s="143"/>
      <c r="AM10" s="142"/>
      <c r="AN10" s="107"/>
      <c r="AO10" s="143"/>
      <c r="AP10" s="142"/>
      <c r="AQ10" s="107"/>
      <c r="AR10" s="143"/>
      <c r="AS10" s="142"/>
      <c r="AT10" s="107"/>
      <c r="AU10" s="143"/>
      <c r="AV10" s="142"/>
      <c r="AW10" s="107"/>
      <c r="AX10" s="143"/>
      <c r="AY10" s="142"/>
      <c r="AZ10" s="107"/>
      <c r="BA10" s="143"/>
      <c r="BB10" s="142"/>
      <c r="BC10" s="107"/>
      <c r="BD10" s="143"/>
      <c r="BE10" s="107">
        <f>I10+L10+O10+U10+X10+AA10+AG10+AJ10+AM10+AS10+AV10+AY10</f>
        <v>7000000</v>
      </c>
      <c r="BF10" s="107"/>
      <c r="BG10" s="143"/>
    </row>
    <row r="11" spans="1:59" ht="14.25" customHeight="1" x14ac:dyDescent="0.2">
      <c r="A11" s="324"/>
      <c r="B11" s="319"/>
      <c r="C11" s="48" t="s">
        <v>233</v>
      </c>
      <c r="D11" s="10"/>
      <c r="E11" s="10"/>
      <c r="F11" s="10"/>
      <c r="G11" s="11"/>
      <c r="H11" s="81"/>
      <c r="I11" s="136">
        <f>I9/I10</f>
        <v>0.67423900000000003</v>
      </c>
      <c r="J11" s="85"/>
      <c r="K11" s="137"/>
      <c r="L11" s="136">
        <f t="shared" ref="L11" si="1">L9/L10</f>
        <v>0.701071</v>
      </c>
      <c r="M11" s="85"/>
      <c r="N11" s="137"/>
      <c r="O11" s="136">
        <f t="shared" ref="O11" si="2">O9/O10</f>
        <v>0.75601799999999997</v>
      </c>
      <c r="P11" s="85"/>
      <c r="Q11" s="137"/>
      <c r="R11" s="136">
        <f>R9/R10</f>
        <v>0.71044266666666667</v>
      </c>
      <c r="S11" s="85"/>
      <c r="T11" s="137"/>
      <c r="U11" s="136">
        <f>U9/U10</f>
        <v>0.92251399999999995</v>
      </c>
      <c r="V11" s="85"/>
      <c r="W11" s="137"/>
      <c r="X11" s="136">
        <f>X9/X10</f>
        <v>0.94772400000000001</v>
      </c>
      <c r="Y11" s="85"/>
      <c r="Z11" s="137"/>
      <c r="AA11" s="136">
        <f>AA9/AA10</f>
        <v>0.78688000000000002</v>
      </c>
      <c r="AB11" s="85"/>
      <c r="AC11" s="137"/>
      <c r="AD11" s="136">
        <f>AD9/AD10</f>
        <v>0.88570599999999999</v>
      </c>
      <c r="AE11" s="85"/>
      <c r="AF11" s="137"/>
      <c r="AG11" s="136">
        <f>AG9/AG10</f>
        <v>1.1187020000000001</v>
      </c>
      <c r="AH11" s="85"/>
      <c r="AI11" s="137"/>
      <c r="AJ11" s="136"/>
      <c r="AK11" s="85"/>
      <c r="AL11" s="137"/>
      <c r="AM11" s="136"/>
      <c r="AN11" s="85"/>
      <c r="AO11" s="137"/>
      <c r="AP11" s="136"/>
      <c r="AQ11" s="85"/>
      <c r="AR11" s="137"/>
      <c r="AS11" s="136"/>
      <c r="AT11" s="85"/>
      <c r="AU11" s="137"/>
      <c r="AV11" s="136"/>
      <c r="AW11" s="85"/>
      <c r="AX11" s="137"/>
      <c r="AY11" s="136"/>
      <c r="AZ11" s="85"/>
      <c r="BA11" s="137"/>
      <c r="BB11" s="136"/>
      <c r="BC11" s="85"/>
      <c r="BD11" s="137"/>
      <c r="BE11" s="136">
        <f>BE9/BE10</f>
        <v>0.84387828571428569</v>
      </c>
      <c r="BF11" s="85"/>
      <c r="BG11" s="137"/>
    </row>
    <row r="12" spans="1:59" ht="3" customHeight="1" x14ac:dyDescent="0.25">
      <c r="A12" s="324"/>
      <c r="B12" s="44"/>
      <c r="C12" s="40"/>
      <c r="D12" s="40"/>
      <c r="E12" s="40"/>
      <c r="F12" s="40"/>
      <c r="G12" s="41"/>
      <c r="H12" s="29"/>
      <c r="I12" s="138"/>
      <c r="J12" s="41"/>
      <c r="K12" s="139"/>
      <c r="L12" s="138"/>
      <c r="M12" s="41"/>
      <c r="N12" s="139"/>
      <c r="O12" s="138"/>
      <c r="P12" s="41"/>
      <c r="Q12" s="139"/>
      <c r="R12" s="138"/>
      <c r="S12" s="41"/>
      <c r="T12" s="139"/>
      <c r="U12" s="138"/>
      <c r="V12" s="41"/>
      <c r="W12" s="139"/>
      <c r="X12" s="138"/>
      <c r="Y12" s="41"/>
      <c r="Z12" s="139"/>
      <c r="AA12" s="138"/>
      <c r="AB12" s="41"/>
      <c r="AC12" s="139"/>
      <c r="AD12" s="138"/>
      <c r="AE12" s="41"/>
      <c r="AF12" s="139"/>
      <c r="AG12" s="138"/>
      <c r="AH12" s="41"/>
      <c r="AI12" s="139"/>
      <c r="AJ12" s="138"/>
      <c r="AK12" s="41"/>
      <c r="AL12" s="139"/>
      <c r="AM12" s="138"/>
      <c r="AN12" s="41"/>
      <c r="AO12" s="139"/>
      <c r="AP12" s="138"/>
      <c r="AQ12" s="41"/>
      <c r="AR12" s="139"/>
      <c r="AS12" s="138"/>
      <c r="AT12" s="41"/>
      <c r="AU12" s="139"/>
      <c r="AV12" s="138"/>
      <c r="AW12" s="41"/>
      <c r="AX12" s="139"/>
      <c r="AY12" s="138"/>
      <c r="AZ12" s="41"/>
      <c r="BA12" s="139"/>
      <c r="BB12" s="138"/>
      <c r="BC12" s="41"/>
      <c r="BD12" s="139"/>
      <c r="BE12" s="138"/>
      <c r="BF12" s="41"/>
      <c r="BG12" s="139"/>
    </row>
    <row r="13" spans="1:59" ht="16.5" customHeight="1" x14ac:dyDescent="0.2">
      <c r="A13" s="324"/>
      <c r="B13" s="318" t="s">
        <v>73</v>
      </c>
      <c r="C13" s="48" t="s">
        <v>202</v>
      </c>
      <c r="D13" s="10"/>
      <c r="E13" s="10"/>
      <c r="F13" s="10"/>
      <c r="G13" s="11"/>
      <c r="H13" s="81"/>
      <c r="I13" s="142">
        <v>5907905</v>
      </c>
      <c r="J13" s="107">
        <v>5053895</v>
      </c>
      <c r="K13" s="137">
        <f>(I13-J13)/J13</f>
        <v>0.16898055855928942</v>
      </c>
      <c r="L13" s="142">
        <v>10062005</v>
      </c>
      <c r="M13" s="107">
        <v>8207455</v>
      </c>
      <c r="N13" s="137">
        <f>(L13-M13)/M13</f>
        <v>0.2259592041625571</v>
      </c>
      <c r="O13" s="142">
        <v>7596420</v>
      </c>
      <c r="P13" s="107">
        <v>7054581</v>
      </c>
      <c r="Q13" s="137">
        <f>(O13-P13)/P13</f>
        <v>7.6806687739498627E-2</v>
      </c>
      <c r="R13" s="142">
        <f>O13+L13+I13</f>
        <v>23566330</v>
      </c>
      <c r="S13" s="107">
        <f>P13+M13+J13</f>
        <v>20315931</v>
      </c>
      <c r="T13" s="137">
        <f>(R13-S13)/S13</f>
        <v>0.15999261860064401</v>
      </c>
      <c r="U13" s="142">
        <v>6978665</v>
      </c>
      <c r="V13" s="107">
        <v>5512980</v>
      </c>
      <c r="W13" s="143"/>
      <c r="X13" s="142">
        <v>9218170</v>
      </c>
      <c r="Y13" s="107">
        <v>8169238</v>
      </c>
      <c r="Z13" s="143"/>
      <c r="AA13" s="142">
        <v>5790135</v>
      </c>
      <c r="AB13" s="107">
        <v>5822410</v>
      </c>
      <c r="AC13" s="143"/>
      <c r="AD13" s="107">
        <f t="shared" ref="AD13:AD14" si="3">AA13+X13+U13</f>
        <v>21986970</v>
      </c>
      <c r="AE13" s="107"/>
      <c r="AF13" s="143"/>
      <c r="AG13" s="142">
        <v>6787070</v>
      </c>
      <c r="AH13" s="107"/>
      <c r="AI13" s="143"/>
      <c r="AJ13" s="142"/>
      <c r="AK13" s="107"/>
      <c r="AL13" s="143"/>
      <c r="AM13" s="142"/>
      <c r="AN13" s="107"/>
      <c r="AO13" s="143"/>
      <c r="AP13" s="142"/>
      <c r="AQ13" s="107"/>
      <c r="AR13" s="143"/>
      <c r="AS13" s="142"/>
      <c r="AT13" s="107"/>
      <c r="AU13" s="143"/>
      <c r="AV13" s="142"/>
      <c r="AW13" s="107"/>
      <c r="AX13" s="143"/>
      <c r="AY13" s="142"/>
      <c r="AZ13" s="107"/>
      <c r="BA13" s="143"/>
      <c r="BB13" s="142"/>
      <c r="BC13" s="107"/>
      <c r="BD13" s="143"/>
      <c r="BE13" s="107">
        <f>I13+L13+O13+U13+X13+AA13+AG13+AJ13+AM13+AS13+AV13+AY13</f>
        <v>52340370</v>
      </c>
      <c r="BF13" s="107">
        <f t="shared" ref="BF13" si="4">J13+M13+P13+V13+Y13+AB13+AH13+AK13+AN13+AT13+AW13+AZ13</f>
        <v>39820559</v>
      </c>
      <c r="BG13" s="137">
        <f>(BE13-BF13)/BF13</f>
        <v>0.31440570686112168</v>
      </c>
    </row>
    <row r="14" spans="1:59" ht="16.5" customHeight="1" x14ac:dyDescent="0.2">
      <c r="A14" s="324"/>
      <c r="B14" s="319"/>
      <c r="C14" s="48" t="s">
        <v>203</v>
      </c>
      <c r="D14" s="10"/>
      <c r="E14" s="10"/>
      <c r="F14" s="10"/>
      <c r="G14" s="11"/>
      <c r="H14" s="81"/>
      <c r="I14" s="142">
        <v>5820000</v>
      </c>
      <c r="J14" s="115" t="s">
        <v>194</v>
      </c>
      <c r="K14" s="143"/>
      <c r="L14" s="142">
        <v>9450000</v>
      </c>
      <c r="M14" s="115" t="s">
        <v>194</v>
      </c>
      <c r="N14" s="143"/>
      <c r="O14" s="142">
        <v>8110000</v>
      </c>
      <c r="P14" s="115" t="s">
        <v>194</v>
      </c>
      <c r="Q14" s="143"/>
      <c r="R14" s="142">
        <f>O14+L14+I14</f>
        <v>23380000</v>
      </c>
      <c r="S14" s="115" t="s">
        <v>194</v>
      </c>
      <c r="T14" s="143"/>
      <c r="U14" s="83">
        <v>6340000</v>
      </c>
      <c r="V14" s="107"/>
      <c r="W14" s="143"/>
      <c r="X14" s="142">
        <v>9400000</v>
      </c>
      <c r="Y14" s="107"/>
      <c r="Z14" s="143"/>
      <c r="AA14" s="142">
        <v>6700000</v>
      </c>
      <c r="AB14" s="107"/>
      <c r="AC14" s="143"/>
      <c r="AD14" s="107">
        <f t="shared" si="3"/>
        <v>22440000</v>
      </c>
      <c r="AE14" s="107"/>
      <c r="AF14" s="143"/>
      <c r="AG14" s="142">
        <v>6925000</v>
      </c>
      <c r="AH14" s="107"/>
      <c r="AI14" s="143"/>
      <c r="AJ14" s="142"/>
      <c r="AK14" s="107"/>
      <c r="AL14" s="143"/>
      <c r="AM14" s="142"/>
      <c r="AN14" s="107"/>
      <c r="AO14" s="143"/>
      <c r="AP14" s="142"/>
      <c r="AQ14" s="107"/>
      <c r="AR14" s="143"/>
      <c r="AS14" s="142"/>
      <c r="AT14" s="107"/>
      <c r="AU14" s="143"/>
      <c r="AV14" s="142"/>
      <c r="AW14" s="107"/>
      <c r="AX14" s="143"/>
      <c r="AY14" s="142"/>
      <c r="AZ14" s="107"/>
      <c r="BA14" s="143"/>
      <c r="BB14" s="142"/>
      <c r="BC14" s="107"/>
      <c r="BD14" s="143"/>
      <c r="BE14" s="107">
        <f>I14+L14+O14+U14+X14+AA14+AG14+AJ14+AM14+AS14+AV14+AY14</f>
        <v>52745000</v>
      </c>
      <c r="BF14" s="89"/>
      <c r="BG14" s="141"/>
    </row>
    <row r="15" spans="1:59" ht="16.5" customHeight="1" x14ac:dyDescent="0.2">
      <c r="A15" s="324"/>
      <c r="B15" s="319"/>
      <c r="C15" s="48" t="s">
        <v>233</v>
      </c>
      <c r="D15" s="10"/>
      <c r="E15" s="10"/>
      <c r="F15" s="10"/>
      <c r="G15" s="11"/>
      <c r="H15" s="81"/>
      <c r="I15" s="136">
        <f>I13/I14</f>
        <v>1.0151039518900344</v>
      </c>
      <c r="J15" s="85"/>
      <c r="K15" s="137"/>
      <c r="L15" s="136">
        <f t="shared" ref="L15" si="5">L13/L14</f>
        <v>1.064762433862434</v>
      </c>
      <c r="M15" s="85"/>
      <c r="N15" s="137"/>
      <c r="O15" s="136">
        <f t="shared" ref="O15" si="6">O13/O14</f>
        <v>0.93667324290998766</v>
      </c>
      <c r="P15" s="85"/>
      <c r="Q15" s="137"/>
      <c r="R15" s="136">
        <f>R13/R14</f>
        <v>1.0079696321642428</v>
      </c>
      <c r="S15" s="85"/>
      <c r="T15" s="137"/>
      <c r="U15" s="136">
        <f>U13/U14</f>
        <v>1.1007358044164037</v>
      </c>
      <c r="V15" s="85"/>
      <c r="W15" s="137"/>
      <c r="X15" s="136">
        <f>X13/X14</f>
        <v>0.98065638297872337</v>
      </c>
      <c r="Y15" s="85"/>
      <c r="Z15" s="137"/>
      <c r="AA15" s="136">
        <f>AA13/AA14</f>
        <v>0.86419925373134332</v>
      </c>
      <c r="AB15" s="85"/>
      <c r="AC15" s="137"/>
      <c r="AD15" s="136">
        <f>AD13/AD14</f>
        <v>0.97981149732620321</v>
      </c>
      <c r="AE15" s="85"/>
      <c r="AF15" s="137"/>
      <c r="AG15" s="136">
        <f>AG13/AG14</f>
        <v>0.98008231046931404</v>
      </c>
      <c r="AH15" s="85"/>
      <c r="AI15" s="137"/>
      <c r="AJ15" s="136"/>
      <c r="AK15" s="85"/>
      <c r="AL15" s="137"/>
      <c r="AM15" s="136"/>
      <c r="AN15" s="85"/>
      <c r="AO15" s="137"/>
      <c r="AP15" s="136"/>
      <c r="AQ15" s="85"/>
      <c r="AR15" s="137"/>
      <c r="AS15" s="136"/>
      <c r="AT15" s="85"/>
      <c r="AU15" s="137"/>
      <c r="AV15" s="136"/>
      <c r="AW15" s="85"/>
      <c r="AX15" s="137"/>
      <c r="AY15" s="136"/>
      <c r="AZ15" s="85"/>
      <c r="BA15" s="137"/>
      <c r="BB15" s="136"/>
      <c r="BC15" s="85"/>
      <c r="BD15" s="137"/>
      <c r="BE15" s="136">
        <f>BE13/BE14</f>
        <v>0.99232856194899988</v>
      </c>
      <c r="BF15" s="85"/>
      <c r="BG15" s="137"/>
    </row>
    <row r="16" spans="1:59" ht="4.5" customHeight="1" x14ac:dyDescent="0.25">
      <c r="A16" s="324"/>
      <c r="B16" s="44"/>
      <c r="C16" s="40"/>
      <c r="D16" s="40"/>
      <c r="E16" s="40"/>
      <c r="F16" s="40"/>
      <c r="G16" s="41"/>
      <c r="H16" s="29"/>
      <c r="I16" s="138"/>
      <c r="J16" s="41"/>
      <c r="K16" s="139"/>
      <c r="L16" s="138"/>
      <c r="M16" s="41"/>
      <c r="N16" s="139"/>
      <c r="O16" s="138"/>
      <c r="P16" s="41"/>
      <c r="Q16" s="139"/>
      <c r="R16" s="138"/>
      <c r="S16" s="41"/>
      <c r="T16" s="139"/>
      <c r="U16" s="138"/>
      <c r="V16" s="41"/>
      <c r="W16" s="139"/>
      <c r="X16" s="138"/>
      <c r="Y16" s="41"/>
      <c r="Z16" s="139"/>
      <c r="AA16" s="138"/>
      <c r="AB16" s="41"/>
      <c r="AC16" s="139"/>
      <c r="AD16" s="138"/>
      <c r="AE16" s="41"/>
      <c r="AF16" s="139"/>
      <c r="AG16" s="138"/>
      <c r="AH16" s="41"/>
      <c r="AI16" s="139"/>
      <c r="AJ16" s="138"/>
      <c r="AK16" s="41"/>
      <c r="AL16" s="139"/>
      <c r="AM16" s="138"/>
      <c r="AN16" s="41"/>
      <c r="AO16" s="139"/>
      <c r="AP16" s="138"/>
      <c r="AQ16" s="41"/>
      <c r="AR16" s="139"/>
      <c r="AS16" s="138"/>
      <c r="AT16" s="41"/>
      <c r="AU16" s="139"/>
      <c r="AV16" s="138"/>
      <c r="AW16" s="41"/>
      <c r="AX16" s="139"/>
      <c r="AY16" s="138"/>
      <c r="AZ16" s="41"/>
      <c r="BA16" s="139"/>
      <c r="BB16" s="138"/>
      <c r="BC16" s="41"/>
      <c r="BD16" s="139"/>
      <c r="BE16" s="138"/>
      <c r="BF16" s="41"/>
      <c r="BG16" s="139"/>
    </row>
    <row r="17" spans="1:59" x14ac:dyDescent="0.2">
      <c r="A17" s="324"/>
      <c r="B17" s="318" t="s">
        <v>74</v>
      </c>
      <c r="C17" s="48" t="s">
        <v>202</v>
      </c>
      <c r="D17" s="10"/>
      <c r="E17" s="10"/>
      <c r="F17" s="10"/>
      <c r="G17" s="11"/>
      <c r="H17" s="81"/>
      <c r="I17" s="142">
        <v>5632239</v>
      </c>
      <c r="J17" s="107">
        <v>1294428.1183333334</v>
      </c>
      <c r="K17" s="137">
        <f>(I17-J17)/J17</f>
        <v>3.3511408012767068</v>
      </c>
      <c r="L17" s="142">
        <v>942712</v>
      </c>
      <c r="M17" s="107">
        <v>1229005.9166666665</v>
      </c>
      <c r="N17" s="137">
        <f>(L17-M17)/M17</f>
        <v>-0.23294754954732713</v>
      </c>
      <c r="O17" s="142">
        <v>1062520</v>
      </c>
      <c r="P17" s="107">
        <v>901012.79166666663</v>
      </c>
      <c r="Q17" s="137">
        <f>(O17-P17)/P17</f>
        <v>0.17925073853233775</v>
      </c>
      <c r="R17" s="142">
        <f>O17+L17+I17</f>
        <v>7637471</v>
      </c>
      <c r="S17" s="107">
        <f>P17+M17+J17</f>
        <v>3424446.8266666662</v>
      </c>
      <c r="T17" s="137">
        <f>(R17-S17)/S17</f>
        <v>1.2302787534984923</v>
      </c>
      <c r="U17" s="142">
        <f>656791</f>
        <v>656791</v>
      </c>
      <c r="V17" s="107">
        <v>570701</v>
      </c>
      <c r="W17" s="143"/>
      <c r="X17" s="142">
        <f>1509995+12487+4000</f>
        <v>1526482</v>
      </c>
      <c r="Y17" s="107">
        <f>239421+274870+18525+525243</f>
        <v>1058059</v>
      </c>
      <c r="Z17" s="143"/>
      <c r="AA17" s="142">
        <v>3301797</v>
      </c>
      <c r="AB17" s="107"/>
      <c r="AC17" s="143"/>
      <c r="AD17" s="107">
        <f t="shared" ref="AD17:AD18" si="7">AA17+X17+U17</f>
        <v>5485070</v>
      </c>
      <c r="AE17" s="107"/>
      <c r="AF17" s="143"/>
      <c r="AG17" s="142">
        <v>5162552</v>
      </c>
      <c r="AH17" s="107"/>
      <c r="AI17" s="143"/>
      <c r="AJ17" s="142"/>
      <c r="AK17" s="107"/>
      <c r="AL17" s="143"/>
      <c r="AM17" s="142"/>
      <c r="AN17" s="107"/>
      <c r="AO17" s="143"/>
      <c r="AP17" s="142"/>
      <c r="AQ17" s="107"/>
      <c r="AR17" s="143"/>
      <c r="AS17" s="142"/>
      <c r="AT17" s="107"/>
      <c r="AU17" s="143"/>
      <c r="AV17" s="142"/>
      <c r="AW17" s="107"/>
      <c r="AX17" s="143"/>
      <c r="AY17" s="142"/>
      <c r="AZ17" s="107"/>
      <c r="BA17" s="143"/>
      <c r="BB17" s="142"/>
      <c r="BC17" s="107"/>
      <c r="BD17" s="143"/>
      <c r="BE17" s="107">
        <f>I17+L17+O17+U17+X17+AA17+AG17+AJ17+AM17+AS17+AV17+AY17</f>
        <v>18285093</v>
      </c>
      <c r="BF17" s="107">
        <f t="shared" ref="BF17" si="8">J17+M17+P17+V17+Y17+AB17+AH17+AK17+AN17+AT17+AW17+AZ17</f>
        <v>5053206.8266666662</v>
      </c>
      <c r="BG17" s="137">
        <f>(BE17-BF17)/BF17</f>
        <v>2.6185126845602933</v>
      </c>
    </row>
    <row r="18" spans="1:59" x14ac:dyDescent="0.2">
      <c r="A18" s="324"/>
      <c r="B18" s="319"/>
      <c r="C18" s="48" t="s">
        <v>203</v>
      </c>
      <c r="D18" s="10"/>
      <c r="E18" s="10"/>
      <c r="F18" s="10"/>
      <c r="G18" s="11"/>
      <c r="H18" s="81"/>
      <c r="I18" s="199">
        <v>2000000</v>
      </c>
      <c r="J18" s="115" t="s">
        <v>194</v>
      </c>
      <c r="K18" s="201"/>
      <c r="L18" s="199">
        <v>2000000</v>
      </c>
      <c r="M18" s="115" t="s">
        <v>194</v>
      </c>
      <c r="N18" s="201"/>
      <c r="O18" s="199">
        <v>2000000</v>
      </c>
      <c r="P18" s="115" t="s">
        <v>194</v>
      </c>
      <c r="Q18" s="201"/>
      <c r="R18" s="199">
        <f>O18+L18+I18</f>
        <v>6000000</v>
      </c>
      <c r="S18" s="115" t="s">
        <v>194</v>
      </c>
      <c r="T18" s="201"/>
      <c r="U18" s="83">
        <v>2000000</v>
      </c>
      <c r="V18" s="107"/>
      <c r="W18" s="143"/>
      <c r="X18" s="142">
        <v>2000000</v>
      </c>
      <c r="Y18" s="107"/>
      <c r="Z18" s="143"/>
      <c r="AA18" s="142">
        <v>6700000</v>
      </c>
      <c r="AB18" s="107"/>
      <c r="AC18" s="143"/>
      <c r="AD18" s="107">
        <f t="shared" si="7"/>
        <v>10700000</v>
      </c>
      <c r="AE18" s="107"/>
      <c r="AF18" s="143"/>
      <c r="AG18" s="142">
        <v>2000000</v>
      </c>
      <c r="AH18" s="107"/>
      <c r="AI18" s="143"/>
      <c r="AJ18" s="142"/>
      <c r="AK18" s="107"/>
      <c r="AL18" s="143"/>
      <c r="AM18" s="142"/>
      <c r="AN18" s="107"/>
      <c r="AO18" s="143"/>
      <c r="AP18" s="142"/>
      <c r="AQ18" s="107"/>
      <c r="AR18" s="143"/>
      <c r="AS18" s="142"/>
      <c r="AT18" s="107"/>
      <c r="AU18" s="143"/>
      <c r="AV18" s="142"/>
      <c r="AW18" s="107"/>
      <c r="AX18" s="143"/>
      <c r="AY18" s="142"/>
      <c r="AZ18" s="107"/>
      <c r="BA18" s="143"/>
      <c r="BB18" s="142"/>
      <c r="BC18" s="107"/>
      <c r="BD18" s="143"/>
      <c r="BE18" s="107">
        <f>I18+L18+O18+U18+X18+AA18+AG18+AJ18+AM18+AS18+AV18+AY18</f>
        <v>18700000</v>
      </c>
      <c r="BF18" s="89"/>
      <c r="BG18" s="141"/>
    </row>
    <row r="19" spans="1:59" x14ac:dyDescent="0.2">
      <c r="A19" s="324"/>
      <c r="B19" s="319"/>
      <c r="C19" s="48" t="s">
        <v>233</v>
      </c>
      <c r="D19" s="10"/>
      <c r="E19" s="10"/>
      <c r="F19" s="10"/>
      <c r="G19" s="11"/>
      <c r="H19" s="81"/>
      <c r="I19" s="136">
        <f>I17/I18</f>
        <v>2.8161195000000001</v>
      </c>
      <c r="J19" s="85"/>
      <c r="K19" s="137"/>
      <c r="L19" s="136">
        <f t="shared" ref="L19" si="9">L17/L18</f>
        <v>0.471356</v>
      </c>
      <c r="M19" s="85"/>
      <c r="N19" s="137"/>
      <c r="O19" s="136">
        <f t="shared" ref="O19" si="10">O17/O18</f>
        <v>0.53125999999999995</v>
      </c>
      <c r="P19" s="85"/>
      <c r="Q19" s="137"/>
      <c r="R19" s="136">
        <f>R17/R18</f>
        <v>1.2729118333333334</v>
      </c>
      <c r="S19" s="85"/>
      <c r="T19" s="137"/>
      <c r="U19" s="136">
        <f>U17/U18</f>
        <v>0.32839550000000001</v>
      </c>
      <c r="V19" s="85"/>
      <c r="W19" s="137"/>
      <c r="X19" s="136">
        <f>X17/X18</f>
        <v>0.76324099999999995</v>
      </c>
      <c r="Y19" s="85"/>
      <c r="Z19" s="137"/>
      <c r="AA19" s="136">
        <f>AA17/AA18</f>
        <v>0.49280552238805969</v>
      </c>
      <c r="AB19" s="85"/>
      <c r="AC19" s="137"/>
      <c r="AD19" s="136">
        <f>AD17/AD18</f>
        <v>0.51262336448598134</v>
      </c>
      <c r="AE19" s="85"/>
      <c r="AF19" s="137"/>
      <c r="AG19" s="136">
        <f>AG17/AG18</f>
        <v>2.5812759999999999</v>
      </c>
      <c r="AH19" s="85"/>
      <c r="AI19" s="137"/>
      <c r="AJ19" s="136"/>
      <c r="AK19" s="85"/>
      <c r="AL19" s="137"/>
      <c r="AM19" s="136"/>
      <c r="AN19" s="85"/>
      <c r="AO19" s="137"/>
      <c r="AP19" s="136"/>
      <c r="AQ19" s="85"/>
      <c r="AR19" s="137"/>
      <c r="AS19" s="136"/>
      <c r="AT19" s="85"/>
      <c r="AU19" s="137"/>
      <c r="AV19" s="136"/>
      <c r="AW19" s="85"/>
      <c r="AX19" s="137"/>
      <c r="AY19" s="136"/>
      <c r="AZ19" s="85"/>
      <c r="BA19" s="137"/>
      <c r="BB19" s="136"/>
      <c r="BC19" s="85"/>
      <c r="BD19" s="137"/>
      <c r="BE19" s="136">
        <f>BE17/BE18</f>
        <v>0.9778124598930481</v>
      </c>
      <c r="BF19" s="85"/>
      <c r="BG19" s="137"/>
    </row>
    <row r="20" spans="1:59" ht="4.5" customHeight="1" x14ac:dyDescent="0.25">
      <c r="A20" s="324"/>
      <c r="B20" s="44"/>
      <c r="C20" s="40"/>
      <c r="D20" s="40"/>
      <c r="E20" s="40"/>
      <c r="F20" s="40"/>
      <c r="G20" s="41"/>
      <c r="H20" s="29"/>
      <c r="I20" s="138"/>
      <c r="J20" s="41"/>
      <c r="K20" s="139"/>
      <c r="L20" s="138"/>
      <c r="M20" s="41"/>
      <c r="N20" s="139"/>
      <c r="O20" s="138"/>
      <c r="P20" s="41"/>
      <c r="Q20" s="139"/>
      <c r="R20" s="138"/>
      <c r="S20" s="41"/>
      <c r="T20" s="139"/>
      <c r="U20" s="138"/>
      <c r="V20" s="41"/>
      <c r="W20" s="139"/>
      <c r="X20" s="138"/>
      <c r="Y20" s="41"/>
      <c r="Z20" s="139"/>
      <c r="AA20" s="138"/>
      <c r="AB20" s="41"/>
      <c r="AC20" s="139"/>
      <c r="AD20" s="138"/>
      <c r="AE20" s="41"/>
      <c r="AF20" s="139"/>
      <c r="AG20" s="138"/>
      <c r="AH20" s="41"/>
      <c r="AI20" s="139"/>
      <c r="AJ20" s="138"/>
      <c r="AK20" s="41"/>
      <c r="AL20" s="139"/>
      <c r="AM20" s="138"/>
      <c r="AN20" s="41"/>
      <c r="AO20" s="139"/>
      <c r="AP20" s="138"/>
      <c r="AQ20" s="41"/>
      <c r="AR20" s="139"/>
      <c r="AS20" s="138"/>
      <c r="AT20" s="41"/>
      <c r="AU20" s="139"/>
      <c r="AV20" s="138"/>
      <c r="AW20" s="41"/>
      <c r="AX20" s="139"/>
      <c r="AY20" s="138"/>
      <c r="AZ20" s="41"/>
      <c r="BA20" s="139"/>
      <c r="BB20" s="138"/>
      <c r="BC20" s="41"/>
      <c r="BD20" s="139"/>
      <c r="BE20" s="138"/>
      <c r="BF20" s="41"/>
      <c r="BG20" s="139"/>
    </row>
    <row r="21" spans="1:59" ht="24" x14ac:dyDescent="0.25">
      <c r="A21" s="324"/>
      <c r="B21" s="325" t="s">
        <v>75</v>
      </c>
      <c r="C21" s="62" t="s">
        <v>234</v>
      </c>
      <c r="D21" s="10"/>
      <c r="E21" s="10"/>
      <c r="F21" s="10"/>
      <c r="G21" s="11"/>
      <c r="H21" s="81"/>
      <c r="I21" s="215">
        <f>I9/I5</f>
        <v>5.5200414134713147E-2</v>
      </c>
      <c r="J21" s="85">
        <v>0</v>
      </c>
      <c r="K21" s="137"/>
      <c r="L21" s="215">
        <f>L9/L5</f>
        <v>5.9890970176463131E-2</v>
      </c>
      <c r="M21" s="85">
        <v>0</v>
      </c>
      <c r="N21" s="137"/>
      <c r="O21" s="215">
        <f>O9/O5</f>
        <v>8.0299667826452328E-2</v>
      </c>
      <c r="P21" s="85">
        <v>0</v>
      </c>
      <c r="Q21" s="137"/>
      <c r="R21" s="215">
        <f>(O21+L21+I21)/3</f>
        <v>6.5130350712542862E-2</v>
      </c>
      <c r="S21" s="85">
        <f>(P21+M21+J21)/3</f>
        <v>0</v>
      </c>
      <c r="T21" s="137"/>
      <c r="U21" s="215">
        <f>U9/U5</f>
        <v>0.10779589084794641</v>
      </c>
      <c r="V21" s="85">
        <v>0</v>
      </c>
      <c r="W21" s="137"/>
      <c r="X21" s="136">
        <f>X9/X5</f>
        <v>8.1054868574188851E-2</v>
      </c>
      <c r="Y21" s="85"/>
      <c r="Z21" s="137"/>
      <c r="AA21" s="136">
        <f>AA9/AA5</f>
        <v>7.9653302441629617E-2</v>
      </c>
      <c r="AB21" s="85"/>
      <c r="AC21" s="137"/>
      <c r="AD21" s="136">
        <f>AD9/AD5</f>
        <v>8.8190914595090902E-2</v>
      </c>
      <c r="AE21" s="85"/>
      <c r="AF21" s="137"/>
      <c r="AG21" s="136">
        <f>AG9/AG5</f>
        <v>8.5573105477403294E-2</v>
      </c>
      <c r="AH21" s="85"/>
      <c r="AI21" s="137"/>
      <c r="AJ21" s="136"/>
      <c r="AK21" s="85"/>
      <c r="AL21" s="137"/>
      <c r="AM21" s="136"/>
      <c r="AN21" s="85"/>
      <c r="AO21" s="137"/>
      <c r="AP21" s="136"/>
      <c r="AQ21" s="85"/>
      <c r="AR21" s="137"/>
      <c r="AS21" s="136"/>
      <c r="AT21" s="85"/>
      <c r="AU21" s="137"/>
      <c r="AV21" s="136"/>
      <c r="AW21" s="85"/>
      <c r="AX21" s="137"/>
      <c r="AY21" s="136"/>
      <c r="AZ21" s="85"/>
      <c r="BA21" s="137"/>
      <c r="BB21" s="136"/>
      <c r="BC21" s="85"/>
      <c r="BD21" s="137"/>
      <c r="BE21" s="215">
        <f>BE9/BE5</f>
        <v>7.7179946003612901E-2</v>
      </c>
      <c r="BF21" s="85">
        <v>0</v>
      </c>
      <c r="BG21" s="137"/>
    </row>
    <row r="22" spans="1:59" ht="24" x14ac:dyDescent="0.25">
      <c r="A22" s="324"/>
      <c r="B22" s="325"/>
      <c r="C22" s="62" t="s">
        <v>235</v>
      </c>
      <c r="D22" s="10"/>
      <c r="E22" s="10"/>
      <c r="F22" s="10"/>
      <c r="G22" s="11"/>
      <c r="H22" s="81"/>
      <c r="I22" s="215">
        <f>I13/I5</f>
        <v>0.48368427615213966</v>
      </c>
      <c r="J22" s="85">
        <f>J13/J5</f>
        <v>0.79609920695511671</v>
      </c>
      <c r="K22" s="137"/>
      <c r="L22" s="215">
        <f>L13/L5</f>
        <v>0.85957519476689648</v>
      </c>
      <c r="M22" s="85">
        <f>M13/M5</f>
        <v>0.86975986786571657</v>
      </c>
      <c r="N22" s="137"/>
      <c r="O22" s="215">
        <f>O13/O5</f>
        <v>0.80684587228110838</v>
      </c>
      <c r="P22" s="85">
        <f>P13/P5</f>
        <v>0.88674474649391211</v>
      </c>
      <c r="Q22" s="137"/>
      <c r="R22" s="215">
        <f t="shared" ref="R22:R23" si="11">(O22+L22+I22)/3</f>
        <v>0.71670178106671489</v>
      </c>
      <c r="S22" s="85">
        <f t="shared" ref="S22:S23" si="12">(P22+M22+J22)/3</f>
        <v>0.85086794043824854</v>
      </c>
      <c r="T22" s="137"/>
      <c r="U22" s="215">
        <f>U13/U5</f>
        <v>0.81545798828460492</v>
      </c>
      <c r="V22" s="85">
        <f>V13/V5</f>
        <v>0.9061914982064313</v>
      </c>
      <c r="W22" s="137"/>
      <c r="X22" s="136">
        <f>X13/X5</f>
        <v>0.78839151255484774</v>
      </c>
      <c r="Y22" s="85"/>
      <c r="Z22" s="137"/>
      <c r="AA22" s="136">
        <f>AA13/AA5</f>
        <v>0.58611652899154276</v>
      </c>
      <c r="AB22" s="85"/>
      <c r="AC22" s="137"/>
      <c r="AD22" s="136">
        <f>AD13/AD5</f>
        <v>0.72975720064928462</v>
      </c>
      <c r="AE22" s="85"/>
      <c r="AF22" s="137"/>
      <c r="AG22" s="136">
        <f>AG13/AG5</f>
        <v>0.51916476147581714</v>
      </c>
      <c r="AH22" s="85"/>
      <c r="AI22" s="137"/>
      <c r="AJ22" s="136"/>
      <c r="AK22" s="85"/>
      <c r="AL22" s="137"/>
      <c r="AM22" s="136"/>
      <c r="AN22" s="85"/>
      <c r="AO22" s="137"/>
      <c r="AP22" s="136"/>
      <c r="AQ22" s="85"/>
      <c r="AR22" s="137"/>
      <c r="AS22" s="136"/>
      <c r="AT22" s="85"/>
      <c r="AU22" s="137"/>
      <c r="AV22" s="136"/>
      <c r="AW22" s="85"/>
      <c r="AX22" s="137"/>
      <c r="AY22" s="136"/>
      <c r="AZ22" s="85"/>
      <c r="BA22" s="137"/>
      <c r="BB22" s="136"/>
      <c r="BC22" s="85"/>
      <c r="BD22" s="137"/>
      <c r="BE22" s="215">
        <f>BE13/BE5</f>
        <v>0.68385402404157147</v>
      </c>
      <c r="BF22" s="85">
        <f>BF13/BF5</f>
        <v>0.78241526029469532</v>
      </c>
      <c r="BG22" s="137"/>
    </row>
    <row r="23" spans="1:59" ht="24" x14ac:dyDescent="0.25">
      <c r="A23" s="339"/>
      <c r="B23" s="325"/>
      <c r="C23" s="62" t="s">
        <v>236</v>
      </c>
      <c r="D23" s="10"/>
      <c r="E23" s="10"/>
      <c r="F23" s="10"/>
      <c r="G23" s="11"/>
      <c r="H23" s="81"/>
      <c r="I23" s="215">
        <f>I17/I5</f>
        <v>0.46111530971314718</v>
      </c>
      <c r="J23" s="85">
        <f>J17/J5</f>
        <v>0.20390079304488334</v>
      </c>
      <c r="K23" s="137"/>
      <c r="L23" s="215">
        <f>L17/L5</f>
        <v>8.0533835056640357E-2</v>
      </c>
      <c r="M23" s="85">
        <f>M17/M5</f>
        <v>0.13024013213428326</v>
      </c>
      <c r="N23" s="137"/>
      <c r="O23" s="215">
        <f>O17/O5</f>
        <v>0.11285445989243924</v>
      </c>
      <c r="P23" s="85">
        <f>P17/P5</f>
        <v>0.1132552535060878</v>
      </c>
      <c r="Q23" s="137"/>
      <c r="R23" s="215">
        <f t="shared" si="11"/>
        <v>0.21816786822074227</v>
      </c>
      <c r="S23" s="85">
        <f t="shared" si="12"/>
        <v>0.14913205956175146</v>
      </c>
      <c r="T23" s="137"/>
      <c r="U23" s="215">
        <f>U17/U5</f>
        <v>7.6746120867448711E-2</v>
      </c>
      <c r="V23" s="85">
        <f>V17/V5</f>
        <v>9.3808501793568727E-2</v>
      </c>
      <c r="W23" s="137"/>
      <c r="X23" s="136">
        <f>X17/X5</f>
        <v>0.13055361887096345</v>
      </c>
      <c r="Y23" s="85"/>
      <c r="Z23" s="137"/>
      <c r="AA23" s="136">
        <f>AA17/AA5</f>
        <v>0.33423016856682769</v>
      </c>
      <c r="AB23" s="85"/>
      <c r="AC23" s="137"/>
      <c r="AD23" s="136">
        <f>AD17/AD5</f>
        <v>0.18205188475562445</v>
      </c>
      <c r="AE23" s="85"/>
      <c r="AF23" s="137"/>
      <c r="AG23" s="136">
        <f>AG17/AG5</f>
        <v>0.39490016718355675</v>
      </c>
      <c r="AH23" s="85"/>
      <c r="AI23" s="137"/>
      <c r="AJ23" s="136"/>
      <c r="AK23" s="85"/>
      <c r="AL23" s="137"/>
      <c r="AM23" s="136"/>
      <c r="AN23" s="85"/>
      <c r="AO23" s="137"/>
      <c r="AP23" s="136"/>
      <c r="AQ23" s="85"/>
      <c r="AR23" s="137"/>
      <c r="AS23" s="136"/>
      <c r="AT23" s="85"/>
      <c r="AU23" s="137"/>
      <c r="AV23" s="136"/>
      <c r="AW23" s="85"/>
      <c r="AX23" s="137"/>
      <c r="AY23" s="136"/>
      <c r="AZ23" s="85"/>
      <c r="BA23" s="137"/>
      <c r="BB23" s="136"/>
      <c r="BC23" s="85"/>
      <c r="BD23" s="137"/>
      <c r="BE23" s="215">
        <f>BE17/BE5</f>
        <v>0.23890420392565756</v>
      </c>
      <c r="BF23" s="85">
        <f>BF17/BF5</f>
        <v>9.9288062093988466E-2</v>
      </c>
      <c r="BG23" s="137"/>
    </row>
    <row r="24" spans="1:59" ht="5.25" customHeight="1" x14ac:dyDescent="0.25">
      <c r="C24" s="40"/>
      <c r="D24" s="40"/>
      <c r="E24" s="40"/>
      <c r="F24" s="40"/>
      <c r="G24" s="41"/>
      <c r="H24" s="29"/>
      <c r="I24" s="138"/>
      <c r="J24" s="41"/>
      <c r="K24" s="139"/>
      <c r="L24" s="138"/>
      <c r="M24" s="41"/>
      <c r="N24" s="139"/>
      <c r="O24" s="138"/>
      <c r="P24" s="41"/>
      <c r="Q24" s="139"/>
      <c r="R24" s="138"/>
      <c r="S24" s="41"/>
      <c r="T24" s="139"/>
      <c r="U24" s="138"/>
      <c r="V24" s="41"/>
      <c r="W24" s="139"/>
      <c r="X24" s="138"/>
      <c r="Y24" s="41"/>
      <c r="Z24" s="139"/>
      <c r="AA24" s="138"/>
      <c r="AB24" s="41"/>
      <c r="AC24" s="139"/>
      <c r="AD24" s="138"/>
      <c r="AE24" s="41"/>
      <c r="AF24" s="139"/>
      <c r="AG24" s="138"/>
      <c r="AH24" s="41"/>
      <c r="AI24" s="139"/>
      <c r="AJ24" s="138"/>
      <c r="AK24" s="41"/>
      <c r="AL24" s="139"/>
      <c r="AM24" s="138"/>
      <c r="AN24" s="41"/>
      <c r="AO24" s="139"/>
      <c r="AP24" s="138"/>
      <c r="AQ24" s="41"/>
      <c r="AR24" s="139"/>
      <c r="AS24" s="138"/>
      <c r="AT24" s="41"/>
      <c r="AU24" s="139"/>
      <c r="AV24" s="138"/>
      <c r="AW24" s="41"/>
      <c r="AX24" s="139"/>
      <c r="AY24" s="138"/>
      <c r="AZ24" s="41"/>
      <c r="BA24" s="139"/>
      <c r="BB24" s="138"/>
      <c r="BC24" s="41"/>
      <c r="BD24" s="139"/>
      <c r="BE24" s="138"/>
      <c r="BF24" s="41"/>
      <c r="BG24" s="139"/>
    </row>
    <row r="25" spans="1:59" ht="15" customHeight="1" x14ac:dyDescent="0.2">
      <c r="A25" s="326" t="s">
        <v>78</v>
      </c>
      <c r="B25" s="326"/>
      <c r="C25" s="62" t="s">
        <v>237</v>
      </c>
      <c r="D25" s="10"/>
      <c r="E25" s="10"/>
      <c r="F25" s="10"/>
      <c r="G25" s="11"/>
      <c r="H25" s="81"/>
      <c r="I25" s="159" t="s">
        <v>194</v>
      </c>
      <c r="J25" s="11"/>
      <c r="K25" s="160"/>
      <c r="L25" s="159" t="s">
        <v>194</v>
      </c>
      <c r="M25" s="11"/>
      <c r="N25" s="160"/>
      <c r="O25" s="159"/>
      <c r="P25" s="11"/>
      <c r="Q25" s="160"/>
      <c r="R25" s="159" t="s">
        <v>194</v>
      </c>
      <c r="S25" s="11"/>
      <c r="T25" s="175"/>
      <c r="U25" s="294">
        <v>0.20863456222294813</v>
      </c>
      <c r="V25" s="11"/>
      <c r="W25" s="160"/>
      <c r="X25" s="90">
        <v>0.24911400607364034</v>
      </c>
      <c r="Y25" s="11"/>
      <c r="Z25" s="160"/>
      <c r="AA25" s="161">
        <v>0.19463155944983251</v>
      </c>
      <c r="AB25" s="11"/>
      <c r="AC25" s="160"/>
      <c r="AD25" s="161">
        <f>SUM(AA25+X25+U25)/3</f>
        <v>0.21746004258214033</v>
      </c>
      <c r="AE25" s="11"/>
      <c r="AF25" s="160"/>
      <c r="AG25" s="161">
        <v>0.18</v>
      </c>
      <c r="AH25" s="11"/>
      <c r="AI25" s="160"/>
      <c r="AJ25" s="159"/>
      <c r="AK25" s="11"/>
      <c r="AL25" s="160"/>
      <c r="AM25" s="159"/>
      <c r="AN25" s="11"/>
      <c r="AO25" s="160"/>
      <c r="AP25" s="159"/>
      <c r="AQ25" s="11"/>
      <c r="AR25" s="160"/>
      <c r="AS25" s="159"/>
      <c r="AT25" s="11"/>
      <c r="AU25" s="160"/>
      <c r="AV25" s="159"/>
      <c r="AW25" s="11"/>
      <c r="AX25" s="160"/>
      <c r="AY25" s="159"/>
      <c r="AZ25" s="11"/>
      <c r="BA25" s="160"/>
      <c r="BB25" s="159"/>
      <c r="BC25" s="11"/>
      <c r="BD25" s="160"/>
      <c r="BE25" s="159" t="s">
        <v>194</v>
      </c>
      <c r="BF25" s="11"/>
      <c r="BG25" s="160"/>
    </row>
    <row r="26" spans="1:59" ht="24" x14ac:dyDescent="0.25">
      <c r="A26" s="326"/>
      <c r="B26" s="326"/>
      <c r="C26" s="62" t="s">
        <v>238</v>
      </c>
      <c r="D26" s="10"/>
      <c r="E26" s="10"/>
      <c r="F26" s="10"/>
      <c r="G26" s="11"/>
      <c r="H26" s="81"/>
      <c r="I26" s="159" t="s">
        <v>194</v>
      </c>
      <c r="J26" s="11"/>
      <c r="K26" s="160"/>
      <c r="L26" s="159" t="s">
        <v>194</v>
      </c>
      <c r="M26" s="11"/>
      <c r="N26" s="160"/>
      <c r="O26" s="159"/>
      <c r="P26" s="11"/>
      <c r="Q26" s="160"/>
      <c r="R26" s="159" t="s">
        <v>194</v>
      </c>
      <c r="S26" s="11"/>
      <c r="T26" s="160"/>
      <c r="U26" s="255">
        <v>7.231362217358836E-2</v>
      </c>
      <c r="V26" s="11"/>
      <c r="W26" s="160"/>
      <c r="X26" s="90">
        <v>8.1007455412764606E-2</v>
      </c>
      <c r="Y26" s="11"/>
      <c r="Z26" s="160"/>
      <c r="AA26" s="161">
        <v>8.5024836783453545E-2</v>
      </c>
      <c r="AB26" s="11"/>
      <c r="AC26" s="160"/>
      <c r="AD26" s="161">
        <f t="shared" ref="AD26:AD37" si="13">SUM(AA26+X26+U26)/3</f>
        <v>7.9448638123268842E-2</v>
      </c>
      <c r="AE26" s="11"/>
      <c r="AF26" s="160"/>
      <c r="AG26" s="161">
        <v>0.09</v>
      </c>
      <c r="AH26" s="11"/>
      <c r="AI26" s="160"/>
      <c r="AJ26" s="159"/>
      <c r="AK26" s="11"/>
      <c r="AL26" s="160"/>
      <c r="AM26" s="159"/>
      <c r="AN26" s="11"/>
      <c r="AO26" s="160"/>
      <c r="AP26" s="159"/>
      <c r="AQ26" s="11"/>
      <c r="AR26" s="160"/>
      <c r="AS26" s="159"/>
      <c r="AT26" s="11"/>
      <c r="AU26" s="160"/>
      <c r="AV26" s="159"/>
      <c r="AW26" s="11"/>
      <c r="AX26" s="160"/>
      <c r="AY26" s="159"/>
      <c r="AZ26" s="11"/>
      <c r="BA26" s="160"/>
      <c r="BB26" s="159"/>
      <c r="BC26" s="11"/>
      <c r="BD26" s="160"/>
      <c r="BE26" s="159" t="s">
        <v>194</v>
      </c>
      <c r="BF26" s="11"/>
      <c r="BG26" s="160"/>
    </row>
    <row r="27" spans="1:59" ht="24" x14ac:dyDescent="0.25">
      <c r="A27" s="326"/>
      <c r="B27" s="326"/>
      <c r="C27" s="62" t="s">
        <v>239</v>
      </c>
      <c r="D27" s="10"/>
      <c r="E27" s="10"/>
      <c r="F27" s="10"/>
      <c r="G27" s="11"/>
      <c r="H27" s="81"/>
      <c r="I27" s="159" t="s">
        <v>194</v>
      </c>
      <c r="J27" s="11"/>
      <c r="K27" s="160"/>
      <c r="L27" s="159" t="s">
        <v>194</v>
      </c>
      <c r="M27" s="11"/>
      <c r="N27" s="160"/>
      <c r="O27" s="159"/>
      <c r="P27" s="11"/>
      <c r="Q27" s="160"/>
      <c r="R27" s="159" t="s">
        <v>194</v>
      </c>
      <c r="S27" s="11"/>
      <c r="T27" s="160"/>
      <c r="U27" s="255">
        <v>0.14628758584392632</v>
      </c>
      <c r="V27" s="11"/>
      <c r="W27" s="160"/>
      <c r="X27" s="90">
        <v>0.16582514318653521</v>
      </c>
      <c r="Y27" s="11"/>
      <c r="Z27" s="160"/>
      <c r="AA27" s="161">
        <v>0.14432481531435654</v>
      </c>
      <c r="AB27" s="11"/>
      <c r="AC27" s="160"/>
      <c r="AD27" s="161">
        <f t="shared" si="13"/>
        <v>0.15214584811493936</v>
      </c>
      <c r="AE27" s="11"/>
      <c r="AF27" s="160"/>
      <c r="AG27" s="161">
        <v>0.15</v>
      </c>
      <c r="AH27" s="11"/>
      <c r="AI27" s="160"/>
      <c r="AJ27" s="159"/>
      <c r="AK27" s="11"/>
      <c r="AL27" s="160"/>
      <c r="AM27" s="159"/>
      <c r="AN27" s="11"/>
      <c r="AO27" s="160"/>
      <c r="AP27" s="159"/>
      <c r="AQ27" s="11"/>
      <c r="AR27" s="160"/>
      <c r="AS27" s="159"/>
      <c r="AT27" s="11"/>
      <c r="AU27" s="160"/>
      <c r="AV27" s="159"/>
      <c r="AW27" s="11"/>
      <c r="AX27" s="160"/>
      <c r="AY27" s="159"/>
      <c r="AZ27" s="11"/>
      <c r="BA27" s="160"/>
      <c r="BB27" s="159"/>
      <c r="BC27" s="11"/>
      <c r="BD27" s="160"/>
      <c r="BE27" s="159" t="s">
        <v>194</v>
      </c>
      <c r="BF27" s="11"/>
      <c r="BG27" s="160"/>
    </row>
    <row r="28" spans="1:59" x14ac:dyDescent="0.25">
      <c r="A28" s="326"/>
      <c r="B28" s="326"/>
      <c r="C28" s="62" t="s">
        <v>240</v>
      </c>
      <c r="D28" s="10"/>
      <c r="E28" s="10"/>
      <c r="F28" s="10"/>
      <c r="G28" s="11"/>
      <c r="H28" s="81"/>
      <c r="I28" s="159" t="s">
        <v>194</v>
      </c>
      <c r="J28" s="11"/>
      <c r="K28" s="160"/>
      <c r="L28" s="159" t="s">
        <v>194</v>
      </c>
      <c r="M28" s="11"/>
      <c r="N28" s="160"/>
      <c r="O28" s="159"/>
      <c r="P28" s="11"/>
      <c r="Q28" s="160"/>
      <c r="R28" s="159" t="s">
        <v>194</v>
      </c>
      <c r="S28" s="11"/>
      <c r="T28" s="160"/>
      <c r="U28" s="255">
        <v>0.20250000000000001</v>
      </c>
      <c r="V28" s="11"/>
      <c r="W28" s="160"/>
      <c r="X28" s="90">
        <v>0.14854981818247681</v>
      </c>
      <c r="Y28" s="11"/>
      <c r="Z28" s="160"/>
      <c r="AA28" s="161">
        <v>0.18140757783928807</v>
      </c>
      <c r="AB28" s="11"/>
      <c r="AC28" s="160"/>
      <c r="AD28" s="161">
        <f t="shared" si="13"/>
        <v>0.17748579867392164</v>
      </c>
      <c r="AE28" s="11"/>
      <c r="AF28" s="160"/>
      <c r="AG28" s="161">
        <v>0.15</v>
      </c>
      <c r="AH28" s="11"/>
      <c r="AI28" s="160"/>
      <c r="AJ28" s="159"/>
      <c r="AK28" s="11"/>
      <c r="AL28" s="160"/>
      <c r="AM28" s="159"/>
      <c r="AN28" s="11"/>
      <c r="AO28" s="160"/>
      <c r="AP28" s="159"/>
      <c r="AQ28" s="11"/>
      <c r="AR28" s="160"/>
      <c r="AS28" s="159"/>
      <c r="AT28" s="11"/>
      <c r="AU28" s="160"/>
      <c r="AV28" s="159"/>
      <c r="AW28" s="11"/>
      <c r="AX28" s="160"/>
      <c r="AY28" s="159"/>
      <c r="AZ28" s="11"/>
      <c r="BA28" s="160"/>
      <c r="BB28" s="159"/>
      <c r="BC28" s="11"/>
      <c r="BD28" s="160"/>
      <c r="BE28" s="159" t="s">
        <v>194</v>
      </c>
      <c r="BF28" s="11"/>
      <c r="BG28" s="160"/>
    </row>
    <row r="29" spans="1:59" x14ac:dyDescent="0.25">
      <c r="A29" s="326"/>
      <c r="B29" s="326"/>
      <c r="C29" s="62" t="s">
        <v>241</v>
      </c>
      <c r="D29" s="10"/>
      <c r="E29" s="10"/>
      <c r="F29" s="10"/>
      <c r="G29" s="11"/>
      <c r="H29" s="81"/>
      <c r="I29" s="159" t="s">
        <v>194</v>
      </c>
      <c r="J29" s="11"/>
      <c r="K29" s="160"/>
      <c r="L29" s="159" t="s">
        <v>194</v>
      </c>
      <c r="M29" s="11"/>
      <c r="N29" s="160"/>
      <c r="O29" s="159"/>
      <c r="P29" s="11"/>
      <c r="Q29" s="160"/>
      <c r="R29" s="159" t="s">
        <v>194</v>
      </c>
      <c r="S29" s="11"/>
      <c r="T29" s="160"/>
      <c r="U29" s="255">
        <v>6.00274933620807E-2</v>
      </c>
      <c r="V29" s="11"/>
      <c r="W29" s="160"/>
      <c r="X29" s="90">
        <v>6.396838790877811E-2</v>
      </c>
      <c r="Y29" s="11"/>
      <c r="Z29" s="160"/>
      <c r="AA29" s="161">
        <v>5.5035009667232064E-2</v>
      </c>
      <c r="AB29" s="11"/>
      <c r="AC29" s="160"/>
      <c r="AD29" s="161">
        <f t="shared" si="13"/>
        <v>5.9676963646030291E-2</v>
      </c>
      <c r="AE29" s="11"/>
      <c r="AF29" s="160"/>
      <c r="AG29" s="161">
        <v>0.06</v>
      </c>
      <c r="AH29" s="11"/>
      <c r="AI29" s="160"/>
      <c r="AJ29" s="159"/>
      <c r="AK29" s="11"/>
      <c r="AL29" s="160"/>
      <c r="AM29" s="159"/>
      <c r="AN29" s="11"/>
      <c r="AO29" s="160"/>
      <c r="AP29" s="159"/>
      <c r="AQ29" s="11"/>
      <c r="AR29" s="160"/>
      <c r="AS29" s="159"/>
      <c r="AT29" s="11"/>
      <c r="AU29" s="160"/>
      <c r="AV29" s="159"/>
      <c r="AW29" s="11"/>
      <c r="AX29" s="160"/>
      <c r="AY29" s="159"/>
      <c r="AZ29" s="11"/>
      <c r="BA29" s="160"/>
      <c r="BB29" s="159"/>
      <c r="BC29" s="11"/>
      <c r="BD29" s="160"/>
      <c r="BE29" s="159" t="s">
        <v>194</v>
      </c>
      <c r="BF29" s="11"/>
      <c r="BG29" s="160"/>
    </row>
    <row r="30" spans="1:59" x14ac:dyDescent="0.25">
      <c r="A30" s="326"/>
      <c r="B30" s="326"/>
      <c r="C30" s="62" t="s">
        <v>242</v>
      </c>
      <c r="D30" s="10"/>
      <c r="E30" s="10"/>
      <c r="F30" s="10"/>
      <c r="G30" s="11"/>
      <c r="H30" s="81"/>
      <c r="I30" s="159" t="s">
        <v>194</v>
      </c>
      <c r="J30" s="11"/>
      <c r="K30" s="160"/>
      <c r="L30" s="159" t="s">
        <v>194</v>
      </c>
      <c r="M30" s="11"/>
      <c r="N30" s="160"/>
      <c r="O30" s="159"/>
      <c r="P30" s="11"/>
      <c r="Q30" s="160"/>
      <c r="R30" s="159" t="s">
        <v>194</v>
      </c>
      <c r="S30" s="11"/>
      <c r="T30" s="160"/>
      <c r="U30" s="255">
        <v>5.6914107135580878E-2</v>
      </c>
      <c r="V30" s="11"/>
      <c r="W30" s="160"/>
      <c r="X30" s="90">
        <v>0</v>
      </c>
      <c r="Y30" s="11"/>
      <c r="Z30" s="160"/>
      <c r="AA30" s="161">
        <v>6.0264936943926983E-2</v>
      </c>
      <c r="AB30" s="11"/>
      <c r="AC30" s="160"/>
      <c r="AD30" s="161">
        <f t="shared" si="13"/>
        <v>3.9059681359835952E-2</v>
      </c>
      <c r="AE30" s="11"/>
      <c r="AF30" s="160"/>
      <c r="AG30" s="161">
        <v>0.06</v>
      </c>
      <c r="AH30" s="11"/>
      <c r="AI30" s="160"/>
      <c r="AJ30" s="159"/>
      <c r="AK30" s="11"/>
      <c r="AL30" s="160"/>
      <c r="AM30" s="159"/>
      <c r="AN30" s="11"/>
      <c r="AO30" s="160"/>
      <c r="AP30" s="159"/>
      <c r="AQ30" s="11"/>
      <c r="AR30" s="160"/>
      <c r="AS30" s="159"/>
      <c r="AT30" s="11"/>
      <c r="AU30" s="160"/>
      <c r="AV30" s="159"/>
      <c r="AW30" s="11"/>
      <c r="AX30" s="160"/>
      <c r="AY30" s="159"/>
      <c r="AZ30" s="11"/>
      <c r="BA30" s="160"/>
      <c r="BB30" s="159"/>
      <c r="BC30" s="11"/>
      <c r="BD30" s="160"/>
      <c r="BE30" s="159" t="s">
        <v>194</v>
      </c>
      <c r="BF30" s="11"/>
      <c r="BG30" s="160"/>
    </row>
    <row r="31" spans="1:59" x14ac:dyDescent="0.25">
      <c r="A31" s="326"/>
      <c r="B31" s="326"/>
      <c r="C31" s="62" t="s">
        <v>243</v>
      </c>
      <c r="D31" s="10"/>
      <c r="E31" s="10"/>
      <c r="F31" s="10"/>
      <c r="G31" s="11"/>
      <c r="H31" s="81"/>
      <c r="I31" s="159" t="s">
        <v>194</v>
      </c>
      <c r="J31" s="11"/>
      <c r="K31" s="160"/>
      <c r="L31" s="159" t="s">
        <v>194</v>
      </c>
      <c r="M31" s="11"/>
      <c r="N31" s="160"/>
      <c r="O31" s="159"/>
      <c r="P31" s="11"/>
      <c r="Q31" s="160"/>
      <c r="R31" s="159" t="s">
        <v>194</v>
      </c>
      <c r="S31" s="11"/>
      <c r="T31" s="160"/>
      <c r="U31" s="255">
        <v>4.5593144070622496E-2</v>
      </c>
      <c r="V31" s="11"/>
      <c r="W31" s="160"/>
      <c r="X31" s="90">
        <v>4.8279395606448214E-2</v>
      </c>
      <c r="Y31" s="11"/>
      <c r="Z31" s="160"/>
      <c r="AA31" s="161">
        <v>4.1459603952707827E-2</v>
      </c>
      <c r="AB31" s="11"/>
      <c r="AC31" s="160"/>
      <c r="AD31" s="161">
        <f t="shared" si="13"/>
        <v>4.511071454325951E-2</v>
      </c>
      <c r="AE31" s="11"/>
      <c r="AF31" s="160"/>
      <c r="AG31" s="161">
        <v>0.05</v>
      </c>
      <c r="AH31" s="11"/>
      <c r="AI31" s="160"/>
      <c r="AJ31" s="159"/>
      <c r="AK31" s="11"/>
      <c r="AL31" s="160"/>
      <c r="AM31" s="159"/>
      <c r="AN31" s="11"/>
      <c r="AO31" s="160"/>
      <c r="AP31" s="159"/>
      <c r="AQ31" s="11"/>
      <c r="AR31" s="160"/>
      <c r="AS31" s="159"/>
      <c r="AT31" s="11"/>
      <c r="AU31" s="160"/>
      <c r="AV31" s="159"/>
      <c r="AW31" s="11"/>
      <c r="AX31" s="160"/>
      <c r="AY31" s="159"/>
      <c r="AZ31" s="11"/>
      <c r="BA31" s="160"/>
      <c r="BB31" s="159"/>
      <c r="BC31" s="11"/>
      <c r="BD31" s="160"/>
      <c r="BE31" s="159" t="s">
        <v>194</v>
      </c>
      <c r="BF31" s="11"/>
      <c r="BG31" s="160"/>
    </row>
    <row r="32" spans="1:59" ht="24" x14ac:dyDescent="0.25">
      <c r="A32" s="326"/>
      <c r="B32" s="326"/>
      <c r="C32" s="62" t="s">
        <v>244</v>
      </c>
      <c r="D32" s="10"/>
      <c r="E32" s="10"/>
      <c r="F32" s="10"/>
      <c r="G32" s="11"/>
      <c r="H32" s="81"/>
      <c r="I32" s="159" t="s">
        <v>194</v>
      </c>
      <c r="J32" s="11"/>
      <c r="K32" s="160"/>
      <c r="L32" s="159" t="s">
        <v>194</v>
      </c>
      <c r="M32" s="11"/>
      <c r="N32" s="160"/>
      <c r="O32" s="159"/>
      <c r="P32" s="11"/>
      <c r="Q32" s="160"/>
      <c r="R32" s="159" t="s">
        <v>194</v>
      </c>
      <c r="S32" s="11"/>
      <c r="T32" s="160"/>
      <c r="U32" s="255">
        <v>9.2545835312306965E-2</v>
      </c>
      <c r="V32" s="11"/>
      <c r="W32" s="160"/>
      <c r="X32" s="90">
        <v>9.6677768995635072E-2</v>
      </c>
      <c r="Y32" s="11"/>
      <c r="Z32" s="160"/>
      <c r="AA32" s="161">
        <v>8.0437754734519043E-2</v>
      </c>
      <c r="AB32" s="11"/>
      <c r="AC32" s="160"/>
      <c r="AD32" s="161">
        <f t="shared" si="13"/>
        <v>8.988711968082036E-2</v>
      </c>
      <c r="AE32" s="11"/>
      <c r="AF32" s="160"/>
      <c r="AG32" s="161">
        <v>0.11</v>
      </c>
      <c r="AH32" s="11"/>
      <c r="AI32" s="160"/>
      <c r="AJ32" s="159"/>
      <c r="AK32" s="11"/>
      <c r="AL32" s="160"/>
      <c r="AM32" s="159"/>
      <c r="AN32" s="11"/>
      <c r="AO32" s="160"/>
      <c r="AP32" s="159"/>
      <c r="AQ32" s="11"/>
      <c r="AR32" s="160"/>
      <c r="AS32" s="159"/>
      <c r="AT32" s="11"/>
      <c r="AU32" s="160"/>
      <c r="AV32" s="159"/>
      <c r="AW32" s="11"/>
      <c r="AX32" s="160"/>
      <c r="AY32" s="159"/>
      <c r="AZ32" s="11"/>
      <c r="BA32" s="160"/>
      <c r="BB32" s="159"/>
      <c r="BC32" s="11"/>
      <c r="BD32" s="160"/>
      <c r="BE32" s="159" t="s">
        <v>194</v>
      </c>
      <c r="BF32" s="11"/>
      <c r="BG32" s="160"/>
    </row>
    <row r="33" spans="1:59" x14ac:dyDescent="0.25">
      <c r="A33" s="326"/>
      <c r="B33" s="326"/>
      <c r="C33" s="62" t="s">
        <v>245</v>
      </c>
      <c r="D33" s="10"/>
      <c r="E33" s="10"/>
      <c r="F33" s="10"/>
      <c r="G33" s="11"/>
      <c r="H33" s="81"/>
      <c r="I33" s="159" t="s">
        <v>194</v>
      </c>
      <c r="J33" s="11"/>
      <c r="K33" s="160"/>
      <c r="L33" s="159" t="s">
        <v>194</v>
      </c>
      <c r="M33" s="11"/>
      <c r="N33" s="160"/>
      <c r="O33" s="159"/>
      <c r="P33" s="11"/>
      <c r="Q33" s="160"/>
      <c r="R33" s="159" t="s">
        <v>194</v>
      </c>
      <c r="S33" s="11"/>
      <c r="T33" s="160"/>
      <c r="U33" s="255">
        <v>2.3173870210613155E-2</v>
      </c>
      <c r="V33" s="11"/>
      <c r="W33" s="160"/>
      <c r="X33" s="90">
        <v>2.818675368610378E-2</v>
      </c>
      <c r="Y33" s="11"/>
      <c r="Z33" s="160"/>
      <c r="AA33" s="161">
        <v>2.6249385583294187E-2</v>
      </c>
      <c r="AB33" s="11"/>
      <c r="AC33" s="160"/>
      <c r="AD33" s="161">
        <f t="shared" si="13"/>
        <v>2.5870003160003707E-2</v>
      </c>
      <c r="AE33" s="11"/>
      <c r="AF33" s="160"/>
      <c r="AG33" s="161">
        <v>0.03</v>
      </c>
      <c r="AH33" s="11"/>
      <c r="AI33" s="160"/>
      <c r="AJ33" s="159"/>
      <c r="AK33" s="11"/>
      <c r="AL33" s="160"/>
      <c r="AM33" s="159"/>
      <c r="AN33" s="11"/>
      <c r="AO33" s="160"/>
      <c r="AP33" s="159"/>
      <c r="AQ33" s="11"/>
      <c r="AR33" s="160"/>
      <c r="AS33" s="159"/>
      <c r="AT33" s="11"/>
      <c r="AU33" s="160"/>
      <c r="AV33" s="159"/>
      <c r="AW33" s="11"/>
      <c r="AX33" s="160"/>
      <c r="AY33" s="159"/>
      <c r="AZ33" s="11"/>
      <c r="BA33" s="160"/>
      <c r="BB33" s="159"/>
      <c r="BC33" s="11"/>
      <c r="BD33" s="160"/>
      <c r="BE33" s="159" t="s">
        <v>194</v>
      </c>
      <c r="BF33" s="11"/>
      <c r="BG33" s="160"/>
    </row>
    <row r="34" spans="1:59" x14ac:dyDescent="0.25">
      <c r="A34" s="326"/>
      <c r="B34" s="326"/>
      <c r="C34" s="62" t="s">
        <v>246</v>
      </c>
      <c r="D34" s="10"/>
      <c r="E34" s="10"/>
      <c r="F34" s="10"/>
      <c r="G34" s="11"/>
      <c r="H34" s="81"/>
      <c r="I34" s="159" t="s">
        <v>194</v>
      </c>
      <c r="J34" s="11"/>
      <c r="K34" s="160"/>
      <c r="L34" s="159" t="s">
        <v>194</v>
      </c>
      <c r="M34" s="11"/>
      <c r="N34" s="160"/>
      <c r="O34" s="159"/>
      <c r="P34" s="11"/>
      <c r="Q34" s="160"/>
      <c r="R34" s="159" t="s">
        <v>194</v>
      </c>
      <c r="S34" s="11"/>
      <c r="T34" s="160"/>
      <c r="U34" s="255">
        <v>2.9783130383466732E-2</v>
      </c>
      <c r="V34" s="11"/>
      <c r="W34" s="160"/>
      <c r="X34" s="90">
        <v>4.6125116628792262E-2</v>
      </c>
      <c r="Y34" s="11"/>
      <c r="Z34" s="160"/>
      <c r="AA34" s="161">
        <v>4.0252638634890765E-2</v>
      </c>
      <c r="AB34" s="11"/>
      <c r="AC34" s="160"/>
      <c r="AD34" s="161">
        <f t="shared" si="13"/>
        <v>3.8720295215716585E-2</v>
      </c>
      <c r="AE34" s="11"/>
      <c r="AF34" s="160"/>
      <c r="AG34" s="161">
        <v>0.04</v>
      </c>
      <c r="AH34" s="11"/>
      <c r="AI34" s="160"/>
      <c r="AJ34" s="159"/>
      <c r="AK34" s="11"/>
      <c r="AL34" s="160"/>
      <c r="AM34" s="159"/>
      <c r="AN34" s="11"/>
      <c r="AO34" s="160"/>
      <c r="AP34" s="159"/>
      <c r="AQ34" s="11"/>
      <c r="AR34" s="160"/>
      <c r="AS34" s="159"/>
      <c r="AT34" s="11"/>
      <c r="AU34" s="160"/>
      <c r="AV34" s="159"/>
      <c r="AW34" s="11"/>
      <c r="AX34" s="160"/>
      <c r="AY34" s="159"/>
      <c r="AZ34" s="11"/>
      <c r="BA34" s="160"/>
      <c r="BB34" s="159"/>
      <c r="BC34" s="11"/>
      <c r="BD34" s="160"/>
      <c r="BE34" s="159" t="s">
        <v>194</v>
      </c>
      <c r="BF34" s="11"/>
      <c r="BG34" s="160"/>
    </row>
    <row r="35" spans="1:59" ht="24" x14ac:dyDescent="0.25">
      <c r="A35" s="326"/>
      <c r="B35" s="326"/>
      <c r="C35" s="62" t="s">
        <v>247</v>
      </c>
      <c r="D35" s="10"/>
      <c r="E35" s="10"/>
      <c r="F35" s="10"/>
      <c r="G35" s="11"/>
      <c r="H35" s="81"/>
      <c r="I35" s="159" t="s">
        <v>194</v>
      </c>
      <c r="J35" s="11"/>
      <c r="K35" s="160"/>
      <c r="L35" s="159" t="s">
        <v>194</v>
      </c>
      <c r="M35" s="11"/>
      <c r="N35" s="160"/>
      <c r="O35" s="159"/>
      <c r="P35" s="11"/>
      <c r="Q35" s="160"/>
      <c r="R35" s="159" t="s">
        <v>194</v>
      </c>
      <c r="S35" s="11"/>
      <c r="T35" s="160"/>
      <c r="U35" s="255">
        <v>2.7687732278622822E-2</v>
      </c>
      <c r="V35" s="11"/>
      <c r="W35" s="160"/>
      <c r="X35" s="90">
        <v>3.3802708799216444E-2</v>
      </c>
      <c r="Y35" s="11"/>
      <c r="Z35" s="160"/>
      <c r="AA35" s="161">
        <v>2.8248052627063983E-2</v>
      </c>
      <c r="AB35" s="11"/>
      <c r="AC35" s="160"/>
      <c r="AD35" s="161">
        <f t="shared" si="13"/>
        <v>2.9912831234967751E-2</v>
      </c>
      <c r="AE35" s="11"/>
      <c r="AF35" s="160"/>
      <c r="AG35" s="161">
        <v>0.02</v>
      </c>
      <c r="AH35" s="11"/>
      <c r="AI35" s="160"/>
      <c r="AJ35" s="159"/>
      <c r="AK35" s="11"/>
      <c r="AL35" s="160"/>
      <c r="AM35" s="159"/>
      <c r="AN35" s="11"/>
      <c r="AO35" s="160"/>
      <c r="AP35" s="159"/>
      <c r="AQ35" s="11"/>
      <c r="AR35" s="160"/>
      <c r="AS35" s="159"/>
      <c r="AT35" s="11"/>
      <c r="AU35" s="160"/>
      <c r="AV35" s="159"/>
      <c r="AW35" s="11"/>
      <c r="AX35" s="160"/>
      <c r="AY35" s="159"/>
      <c r="AZ35" s="11"/>
      <c r="BA35" s="160"/>
      <c r="BB35" s="159"/>
      <c r="BC35" s="11"/>
      <c r="BD35" s="160"/>
      <c r="BE35" s="159" t="s">
        <v>194</v>
      </c>
      <c r="BF35" s="11"/>
      <c r="BG35" s="160"/>
    </row>
    <row r="36" spans="1:59" ht="24" x14ac:dyDescent="0.25">
      <c r="A36" s="326"/>
      <c r="B36" s="326"/>
      <c r="C36" s="62" t="s">
        <v>248</v>
      </c>
      <c r="D36" s="10"/>
      <c r="E36" s="10"/>
      <c r="F36" s="10"/>
      <c r="G36" s="11"/>
      <c r="H36" s="81"/>
      <c r="I36" s="159" t="s">
        <v>194</v>
      </c>
      <c r="J36" s="11"/>
      <c r="K36" s="160"/>
      <c r="L36" s="159" t="s">
        <v>194</v>
      </c>
      <c r="M36" s="11"/>
      <c r="N36" s="160"/>
      <c r="O36" s="159"/>
      <c r="P36" s="11"/>
      <c r="Q36" s="160"/>
      <c r="R36" s="159" t="s">
        <v>194</v>
      </c>
      <c r="S36" s="11"/>
      <c r="T36" s="160"/>
      <c r="U36" s="255">
        <v>3.4496283573563005E-2</v>
      </c>
      <c r="V36" s="11"/>
      <c r="W36" s="160"/>
      <c r="X36" s="90">
        <v>3.8463445519609146E-2</v>
      </c>
      <c r="Y36" s="11"/>
      <c r="Z36" s="160"/>
      <c r="AA36" s="161">
        <v>3.3942350793995955E-2</v>
      </c>
      <c r="AB36" s="11"/>
      <c r="AC36" s="160"/>
      <c r="AD36" s="161">
        <f t="shared" si="13"/>
        <v>3.5634026629056036E-2</v>
      </c>
      <c r="AE36" s="11"/>
      <c r="AF36" s="160"/>
      <c r="AG36" s="161">
        <v>0.04</v>
      </c>
      <c r="AH36" s="11"/>
      <c r="AI36" s="160"/>
      <c r="AJ36" s="159"/>
      <c r="AK36" s="11"/>
      <c r="AL36" s="160"/>
      <c r="AM36" s="159"/>
      <c r="AN36" s="11"/>
      <c r="AO36" s="160"/>
      <c r="AP36" s="159"/>
      <c r="AQ36" s="11"/>
      <c r="AR36" s="160"/>
      <c r="AS36" s="159"/>
      <c r="AT36" s="11"/>
      <c r="AU36" s="160"/>
      <c r="AV36" s="159"/>
      <c r="AW36" s="11"/>
      <c r="AX36" s="160"/>
      <c r="AY36" s="159"/>
      <c r="AZ36" s="11"/>
      <c r="BA36" s="160"/>
      <c r="BB36" s="159"/>
      <c r="BC36" s="11"/>
      <c r="BD36" s="160"/>
      <c r="BE36" s="159" t="s">
        <v>194</v>
      </c>
      <c r="BF36" s="11"/>
      <c r="BG36" s="160"/>
    </row>
    <row r="37" spans="1:59" x14ac:dyDescent="0.25">
      <c r="A37" s="326"/>
      <c r="B37" s="326"/>
      <c r="C37" s="62" t="s">
        <v>249</v>
      </c>
      <c r="D37" s="10"/>
      <c r="E37" s="10"/>
      <c r="F37" s="10"/>
      <c r="G37" s="11"/>
      <c r="H37" s="81"/>
      <c r="I37" s="159" t="s">
        <v>194</v>
      </c>
      <c r="J37" s="11"/>
      <c r="K37" s="160"/>
      <c r="L37" s="159" t="s">
        <v>194</v>
      </c>
      <c r="M37" s="11"/>
      <c r="N37" s="160"/>
      <c r="O37" s="159"/>
      <c r="P37" s="11"/>
      <c r="Q37" s="160"/>
      <c r="R37" s="159" t="s">
        <v>194</v>
      </c>
      <c r="S37" s="11"/>
      <c r="T37" s="160"/>
      <c r="U37" s="159">
        <v>0</v>
      </c>
      <c r="V37" s="11"/>
      <c r="W37" s="160"/>
      <c r="X37" s="159"/>
      <c r="Y37" s="11"/>
      <c r="Z37" s="160"/>
      <c r="AA37" s="161">
        <v>2.8721477675438509E-2</v>
      </c>
      <c r="AB37" s="11"/>
      <c r="AC37" s="160"/>
      <c r="AD37" s="161">
        <f t="shared" si="13"/>
        <v>9.5738258918128365E-3</v>
      </c>
      <c r="AE37" s="11"/>
      <c r="AF37" s="160"/>
      <c r="AG37" s="161">
        <v>0.02</v>
      </c>
      <c r="AH37" s="11"/>
      <c r="AI37" s="160"/>
      <c r="AJ37" s="159"/>
      <c r="AK37" s="11"/>
      <c r="AL37" s="160"/>
      <c r="AM37" s="159"/>
      <c r="AN37" s="11"/>
      <c r="AO37" s="160"/>
      <c r="AP37" s="159"/>
      <c r="AQ37" s="11"/>
      <c r="AR37" s="160"/>
      <c r="AS37" s="159"/>
      <c r="AT37" s="11"/>
      <c r="AU37" s="160"/>
      <c r="AV37" s="159"/>
      <c r="AW37" s="11"/>
      <c r="AX37" s="160"/>
      <c r="AY37" s="159"/>
      <c r="AZ37" s="11"/>
      <c r="BA37" s="160"/>
      <c r="BB37" s="159"/>
      <c r="BC37" s="11"/>
      <c r="BD37" s="160"/>
      <c r="BE37" s="159" t="s">
        <v>194</v>
      </c>
      <c r="BF37" s="11"/>
      <c r="BG37" s="160"/>
    </row>
    <row r="38" spans="1:59" ht="3.75" customHeight="1" x14ac:dyDescent="0.25">
      <c r="I38" s="148"/>
      <c r="J38" s="149"/>
      <c r="K38" s="150"/>
      <c r="L38" s="148"/>
      <c r="M38" s="149"/>
      <c r="N38" s="150"/>
      <c r="O38" s="148"/>
      <c r="P38" s="149"/>
      <c r="Q38" s="150"/>
      <c r="R38" s="148"/>
      <c r="S38" s="149"/>
      <c r="T38" s="150"/>
      <c r="U38" s="148"/>
      <c r="V38" s="149"/>
      <c r="W38" s="150"/>
      <c r="X38" s="148"/>
      <c r="Y38" s="149"/>
      <c r="Z38" s="150"/>
      <c r="AA38" s="148"/>
      <c r="AB38" s="149"/>
      <c r="AC38" s="150"/>
      <c r="AD38" s="148"/>
      <c r="AE38" s="149"/>
      <c r="AF38" s="150"/>
      <c r="AG38" s="148"/>
      <c r="AH38" s="149"/>
      <c r="AI38" s="150"/>
      <c r="AJ38" s="148"/>
      <c r="AK38" s="149"/>
      <c r="AL38" s="150"/>
      <c r="AM38" s="148"/>
      <c r="AN38" s="149"/>
      <c r="AO38" s="150"/>
      <c r="AP38" s="148"/>
      <c r="AQ38" s="149"/>
      <c r="AR38" s="150"/>
      <c r="AS38" s="148"/>
      <c r="AT38" s="149"/>
      <c r="AU38" s="150"/>
      <c r="AV38" s="148"/>
      <c r="AW38" s="149"/>
      <c r="AX38" s="150"/>
      <c r="AY38" s="148"/>
      <c r="AZ38" s="149"/>
      <c r="BA38" s="150"/>
      <c r="BB38" s="148"/>
      <c r="BC38" s="149"/>
      <c r="BD38" s="150"/>
      <c r="BE38" s="148"/>
      <c r="BF38" s="149"/>
      <c r="BG38" s="150"/>
    </row>
    <row r="39" spans="1:59" ht="15" customHeight="1" x14ac:dyDescent="0.25">
      <c r="A39" s="327" t="s">
        <v>152</v>
      </c>
      <c r="B39" s="328"/>
      <c r="C39" s="62" t="s">
        <v>26</v>
      </c>
      <c r="D39" s="10"/>
      <c r="E39" s="10"/>
      <c r="F39" s="10"/>
      <c r="G39" s="11"/>
      <c r="H39" s="81"/>
      <c r="I39" s="142">
        <f>'TSF Prasadam Overall'!I75</f>
        <v>316042.09999999998</v>
      </c>
      <c r="J39" s="116">
        <v>318851</v>
      </c>
      <c r="K39" s="143"/>
      <c r="L39" s="142">
        <f>'TSF Prasadam Overall'!L75</f>
        <v>316042.09999999998</v>
      </c>
      <c r="M39" s="116">
        <v>417014</v>
      </c>
      <c r="N39" s="143"/>
      <c r="O39" s="142">
        <v>338078</v>
      </c>
      <c r="P39" s="116">
        <v>315959</v>
      </c>
      <c r="Q39" s="143"/>
      <c r="R39" s="142">
        <f>O39+L39+I39</f>
        <v>970162.2</v>
      </c>
      <c r="S39" s="116"/>
      <c r="T39" s="143"/>
      <c r="U39" s="142">
        <v>275461</v>
      </c>
      <c r="V39" s="107"/>
      <c r="W39" s="143"/>
      <c r="X39" s="142">
        <v>360842</v>
      </c>
      <c r="Y39" s="107"/>
      <c r="Z39" s="143"/>
      <c r="AA39" s="142">
        <v>261765</v>
      </c>
      <c r="AB39" s="107"/>
      <c r="AC39" s="143"/>
      <c r="AD39" s="142"/>
      <c r="AE39" s="107"/>
      <c r="AF39" s="143"/>
      <c r="AG39" s="142">
        <v>343045</v>
      </c>
      <c r="AH39" s="107"/>
      <c r="AI39" s="143"/>
      <c r="AJ39" s="142"/>
      <c r="AK39" s="107"/>
      <c r="AL39" s="143"/>
      <c r="AM39" s="142"/>
      <c r="AN39" s="107"/>
      <c r="AO39" s="143"/>
      <c r="AP39" s="142"/>
      <c r="AQ39" s="107"/>
      <c r="AR39" s="143"/>
      <c r="AS39" s="142"/>
      <c r="AT39" s="107"/>
      <c r="AU39" s="143"/>
      <c r="AV39" s="142"/>
      <c r="AW39" s="107"/>
      <c r="AX39" s="143"/>
      <c r="AY39" s="142"/>
      <c r="AZ39" s="107"/>
      <c r="BA39" s="143"/>
      <c r="BB39" s="142"/>
      <c r="BC39" s="107"/>
      <c r="BD39" s="143"/>
      <c r="BE39" s="107">
        <f>I39+L39+O39+U39+X39+AA39+AG39+AJ39+AM39+AS39+AV39+AY39</f>
        <v>2211275.2000000002</v>
      </c>
      <c r="BF39" s="107"/>
      <c r="BG39" s="143"/>
    </row>
    <row r="40" spans="1:59" x14ac:dyDescent="0.25">
      <c r="A40" s="331"/>
      <c r="B40" s="332"/>
      <c r="C40" s="62" t="s">
        <v>51</v>
      </c>
      <c r="D40" s="10"/>
      <c r="E40" s="10"/>
      <c r="F40" s="10"/>
      <c r="G40" s="11"/>
      <c r="H40" s="81"/>
      <c r="I40" s="151">
        <f>I13/I39</f>
        <v>18.693411415757584</v>
      </c>
      <c r="J40" s="102"/>
      <c r="K40" s="152"/>
      <c r="L40" s="151">
        <f>L13/L39</f>
        <v>31.837546326897591</v>
      </c>
      <c r="M40" s="102"/>
      <c r="N40" s="152"/>
      <c r="O40" s="151">
        <f>O13/O39</f>
        <v>22.469430131508112</v>
      </c>
      <c r="P40" s="102"/>
      <c r="Q40" s="152"/>
      <c r="R40" s="151">
        <f t="shared" ref="R40:R42" si="14">(O40+L40+I40)/3</f>
        <v>24.333462624721093</v>
      </c>
      <c r="S40" s="102"/>
      <c r="T40" s="152"/>
      <c r="U40" s="151">
        <f t="shared" ref="U40:U42" si="15">(R40+O40+L40)/3</f>
        <v>26.213479694375597</v>
      </c>
      <c r="V40" s="102"/>
      <c r="W40" s="152"/>
      <c r="X40" s="151"/>
      <c r="Y40" s="102"/>
      <c r="Z40" s="152"/>
      <c r="AA40" s="151"/>
      <c r="AB40" s="102"/>
      <c r="AC40" s="152"/>
      <c r="AD40" s="151"/>
      <c r="AE40" s="102"/>
      <c r="AF40" s="152"/>
      <c r="AG40" s="151"/>
      <c r="AH40" s="102"/>
      <c r="AI40" s="152"/>
      <c r="AJ40" s="151"/>
      <c r="AK40" s="102"/>
      <c r="AL40" s="152"/>
      <c r="AM40" s="151"/>
      <c r="AN40" s="102"/>
      <c r="AO40" s="152"/>
      <c r="AP40" s="151"/>
      <c r="AQ40" s="102"/>
      <c r="AR40" s="152"/>
      <c r="AS40" s="151"/>
      <c r="AT40" s="102"/>
      <c r="AU40" s="152"/>
      <c r="AV40" s="151"/>
      <c r="AW40" s="102"/>
      <c r="AX40" s="152"/>
      <c r="AY40" s="151"/>
      <c r="AZ40" s="102"/>
      <c r="BA40" s="152"/>
      <c r="BB40" s="151"/>
      <c r="BC40" s="102"/>
      <c r="BD40" s="152"/>
      <c r="BE40" s="151">
        <f t="shared" ref="BE40:BE42" si="16">(BB40+AY40+AV40)/3</f>
        <v>0</v>
      </c>
      <c r="BF40" s="102"/>
      <c r="BG40" s="152"/>
    </row>
    <row r="41" spans="1:59" ht="3.75" customHeight="1" x14ac:dyDescent="0.25">
      <c r="I41" s="148"/>
      <c r="J41" s="149"/>
      <c r="K41" s="150"/>
      <c r="L41" s="148"/>
      <c r="M41" s="149"/>
      <c r="N41" s="150"/>
      <c r="O41" s="148"/>
      <c r="P41" s="149"/>
      <c r="Q41" s="150"/>
      <c r="R41" s="148"/>
      <c r="S41" s="149"/>
      <c r="T41" s="150"/>
      <c r="U41" s="148"/>
      <c r="V41" s="149"/>
      <c r="W41" s="150"/>
      <c r="X41" s="148"/>
      <c r="Y41" s="149"/>
      <c r="Z41" s="150"/>
      <c r="AA41" s="148"/>
      <c r="AB41" s="149"/>
      <c r="AC41" s="150"/>
      <c r="AD41" s="148"/>
      <c r="AE41" s="149"/>
      <c r="AF41" s="150"/>
      <c r="AG41" s="148"/>
      <c r="AH41" s="149"/>
      <c r="AI41" s="150"/>
      <c r="AJ41" s="148"/>
      <c r="AK41" s="149"/>
      <c r="AL41" s="150"/>
      <c r="AM41" s="148"/>
      <c r="AN41" s="149"/>
      <c r="AO41" s="150"/>
      <c r="AP41" s="148"/>
      <c r="AQ41" s="149"/>
      <c r="AR41" s="150"/>
      <c r="AS41" s="148"/>
      <c r="AT41" s="149"/>
      <c r="AU41" s="150"/>
      <c r="AV41" s="148"/>
      <c r="AW41" s="149"/>
      <c r="AX41" s="150"/>
      <c r="AY41" s="148"/>
      <c r="AZ41" s="149"/>
      <c r="BA41" s="150"/>
      <c r="BB41" s="148"/>
      <c r="BC41" s="149"/>
      <c r="BD41" s="150"/>
      <c r="BE41" s="148"/>
      <c r="BF41" s="149"/>
      <c r="BG41" s="150"/>
    </row>
    <row r="42" spans="1:59" ht="15" customHeight="1" x14ac:dyDescent="0.25">
      <c r="A42" s="326" t="s">
        <v>27</v>
      </c>
      <c r="B42" s="326"/>
      <c r="C42" s="61" t="s">
        <v>80</v>
      </c>
      <c r="D42" s="10"/>
      <c r="E42" s="10"/>
      <c r="F42" s="10"/>
      <c r="G42" s="11"/>
      <c r="H42" s="81"/>
      <c r="I42" s="178">
        <f>I13/2799.94</f>
        <v>2110.0112859561277</v>
      </c>
      <c r="J42" s="105"/>
      <c r="K42" s="179"/>
      <c r="L42" s="178">
        <f>L13/2799.94</f>
        <v>3593.650221076166</v>
      </c>
      <c r="M42" s="105"/>
      <c r="N42" s="179"/>
      <c r="O42" s="178">
        <f>O13/2799.94</f>
        <v>2713.0652799702852</v>
      </c>
      <c r="P42" s="105"/>
      <c r="Q42" s="179"/>
      <c r="R42" s="178">
        <f t="shared" si="14"/>
        <v>2805.5755956675262</v>
      </c>
      <c r="S42" s="105"/>
      <c r="T42" s="179"/>
      <c r="U42" s="178">
        <f t="shared" si="15"/>
        <v>3037.4303655713261</v>
      </c>
      <c r="V42" s="105"/>
      <c r="W42" s="179"/>
      <c r="X42" s="178"/>
      <c r="Y42" s="105"/>
      <c r="Z42" s="179"/>
      <c r="AA42" s="178"/>
      <c r="AB42" s="105"/>
      <c r="AC42" s="179"/>
      <c r="AD42" s="178"/>
      <c r="AE42" s="105"/>
      <c r="AF42" s="179"/>
      <c r="AG42" s="178"/>
      <c r="AH42" s="105"/>
      <c r="AI42" s="179"/>
      <c r="AJ42" s="178"/>
      <c r="AK42" s="105"/>
      <c r="AL42" s="179"/>
      <c r="AM42" s="178"/>
      <c r="AN42" s="105"/>
      <c r="AO42" s="179"/>
      <c r="AP42" s="178"/>
      <c r="AQ42" s="105"/>
      <c r="AR42" s="179"/>
      <c r="AS42" s="178"/>
      <c r="AT42" s="105"/>
      <c r="AU42" s="179"/>
      <c r="AV42" s="178"/>
      <c r="AW42" s="105"/>
      <c r="AX42" s="179"/>
      <c r="AY42" s="178"/>
      <c r="AZ42" s="105"/>
      <c r="BA42" s="179"/>
      <c r="BB42" s="178"/>
      <c r="BC42" s="105"/>
      <c r="BD42" s="179"/>
      <c r="BE42" s="178">
        <f t="shared" si="16"/>
        <v>0</v>
      </c>
      <c r="BF42" s="105"/>
      <c r="BG42" s="179"/>
    </row>
    <row r="43" spans="1:59" ht="3.75" customHeight="1" x14ac:dyDescent="0.25">
      <c r="I43" s="148"/>
      <c r="J43" s="149"/>
      <c r="K43" s="150"/>
      <c r="L43" s="148"/>
      <c r="M43" s="149"/>
      <c r="N43" s="150"/>
      <c r="O43" s="148"/>
      <c r="P43" s="149"/>
      <c r="Q43" s="150"/>
      <c r="R43" s="148"/>
      <c r="S43" s="149"/>
      <c r="T43" s="150"/>
      <c r="U43" s="148"/>
      <c r="V43" s="149"/>
      <c r="W43" s="150"/>
      <c r="X43" s="148"/>
      <c r="Y43" s="149"/>
      <c r="Z43" s="150"/>
      <c r="AA43" s="148"/>
      <c r="AB43" s="149"/>
      <c r="AC43" s="150"/>
      <c r="AD43" s="148"/>
      <c r="AE43" s="149"/>
      <c r="AF43" s="150"/>
      <c r="AG43" s="148"/>
      <c r="AH43" s="149"/>
      <c r="AI43" s="150"/>
      <c r="AJ43" s="148"/>
      <c r="AK43" s="149"/>
      <c r="AL43" s="150"/>
      <c r="AM43" s="148"/>
      <c r="AN43" s="149"/>
      <c r="AO43" s="150"/>
      <c r="AP43" s="148"/>
      <c r="AQ43" s="149"/>
      <c r="AR43" s="150"/>
      <c r="AS43" s="148"/>
      <c r="AT43" s="149"/>
      <c r="AU43" s="150"/>
      <c r="AV43" s="148"/>
      <c r="AW43" s="149"/>
      <c r="AX43" s="150"/>
      <c r="AY43" s="148"/>
      <c r="AZ43" s="149"/>
      <c r="BA43" s="150"/>
      <c r="BB43" s="148"/>
      <c r="BC43" s="149"/>
      <c r="BD43" s="150"/>
      <c r="BE43" s="148"/>
      <c r="BF43" s="149"/>
      <c r="BG43" s="150"/>
    </row>
    <row r="44" spans="1:59" x14ac:dyDescent="0.25">
      <c r="A44" s="14" t="s">
        <v>10</v>
      </c>
      <c r="B44" s="14"/>
      <c r="C44" s="14"/>
      <c r="D44" s="9"/>
      <c r="E44" s="9"/>
      <c r="F44" s="9"/>
      <c r="G44" s="38"/>
      <c r="H44" s="34"/>
      <c r="I44" s="155"/>
      <c r="J44" s="9"/>
      <c r="K44" s="156"/>
      <c r="L44" s="155"/>
      <c r="M44" s="9"/>
      <c r="N44" s="156"/>
      <c r="O44" s="155"/>
      <c r="P44" s="9"/>
      <c r="Q44" s="156"/>
      <c r="R44" s="155"/>
      <c r="S44" s="9"/>
      <c r="T44" s="156"/>
      <c r="U44" s="155"/>
      <c r="V44" s="9"/>
      <c r="W44" s="156"/>
      <c r="X44" s="155"/>
      <c r="Y44" s="9"/>
      <c r="Z44" s="156"/>
      <c r="AA44" s="155"/>
      <c r="AB44" s="9"/>
      <c r="AC44" s="156"/>
      <c r="AD44" s="155"/>
      <c r="AE44" s="9"/>
      <c r="AF44" s="156"/>
      <c r="AG44" s="155"/>
      <c r="AH44" s="9"/>
      <c r="AI44" s="156"/>
      <c r="AJ44" s="155"/>
      <c r="AK44" s="9"/>
      <c r="AL44" s="156"/>
      <c r="AM44" s="155"/>
      <c r="AN44" s="9"/>
      <c r="AO44" s="156"/>
      <c r="AP44" s="155"/>
      <c r="AQ44" s="9"/>
      <c r="AR44" s="156"/>
      <c r="AS44" s="155"/>
      <c r="AT44" s="9"/>
      <c r="AU44" s="156"/>
      <c r="AV44" s="155"/>
      <c r="AW44" s="9"/>
      <c r="AX44" s="156"/>
      <c r="AY44" s="155"/>
      <c r="AZ44" s="9"/>
      <c r="BA44" s="156"/>
      <c r="BB44" s="155"/>
      <c r="BC44" s="9"/>
      <c r="BD44" s="156"/>
      <c r="BE44" s="155"/>
      <c r="BF44" s="9"/>
      <c r="BG44" s="156"/>
    </row>
    <row r="45" spans="1:59" ht="15.75" customHeight="1" thickBot="1" x14ac:dyDescent="0.3">
      <c r="A45" s="342" t="s">
        <v>250</v>
      </c>
      <c r="B45" s="342"/>
      <c r="C45" s="66" t="s">
        <v>81</v>
      </c>
      <c r="D45" s="12"/>
      <c r="E45" s="12"/>
      <c r="F45" s="10"/>
      <c r="G45" s="11"/>
      <c r="H45" s="29"/>
      <c r="I45" s="142">
        <v>496550.32</v>
      </c>
      <c r="J45" s="107"/>
      <c r="K45" s="143"/>
      <c r="L45" s="142">
        <v>476186.52</v>
      </c>
      <c r="M45" s="107"/>
      <c r="N45" s="143"/>
      <c r="O45" s="142">
        <v>384633.32</v>
      </c>
      <c r="P45" s="107"/>
      <c r="Q45" s="143"/>
      <c r="R45" s="142">
        <f t="shared" ref="R45:R46" si="17">O45+L45+I45</f>
        <v>1357370.1600000001</v>
      </c>
      <c r="S45" s="107"/>
      <c r="T45" s="143"/>
      <c r="U45" s="142">
        <v>338202</v>
      </c>
      <c r="V45" s="142"/>
      <c r="W45" s="143"/>
      <c r="X45" s="142">
        <f>474896+5277</f>
        <v>480173</v>
      </c>
      <c r="Y45" s="107"/>
      <c r="Z45" s="143"/>
      <c r="AA45" s="142">
        <f>[2]Catering!$F$5+[2]NonCatering!$F$5+[2]NonCatering!$F$12+[2]NonCatering!$F$15+[2]Mlsrm!$F$5+[2]TS!$F$6</f>
        <v>405612.48</v>
      </c>
      <c r="AB45" s="107"/>
      <c r="AC45" s="143"/>
      <c r="AD45" s="107">
        <f t="shared" ref="AD45:AD50" si="18">AA45+X45+U45</f>
        <v>1223987.48</v>
      </c>
      <c r="AE45" s="107"/>
      <c r="AF45" s="143"/>
      <c r="AG45" s="142">
        <v>531347.96</v>
      </c>
      <c r="AH45" s="107"/>
      <c r="AI45" s="143"/>
      <c r="AJ45" s="142"/>
      <c r="AK45" s="107"/>
      <c r="AL45" s="143"/>
      <c r="AM45" s="142"/>
      <c r="AN45" s="107"/>
      <c r="AO45" s="143"/>
      <c r="AP45" s="142"/>
      <c r="AQ45" s="107"/>
      <c r="AR45" s="143"/>
      <c r="AS45" s="142"/>
      <c r="AT45" s="107"/>
      <c r="AU45" s="143"/>
      <c r="AV45" s="142"/>
      <c r="AW45" s="107"/>
      <c r="AX45" s="143"/>
      <c r="AY45" s="142"/>
      <c r="AZ45" s="107"/>
      <c r="BA45" s="143"/>
      <c r="BB45" s="142"/>
      <c r="BC45" s="107"/>
      <c r="BD45" s="143"/>
      <c r="BE45" s="107">
        <f>I45+L45+O45+U45+X45+AA45+AG45+AJ45+AM45+AS45+AV45+AY45</f>
        <v>3112705.6</v>
      </c>
      <c r="BF45" s="107"/>
      <c r="BG45" s="143"/>
    </row>
    <row r="46" spans="1:59" ht="15.75" thickBot="1" x14ac:dyDescent="0.3">
      <c r="A46" s="342"/>
      <c r="B46" s="342"/>
      <c r="C46" s="67" t="s">
        <v>82</v>
      </c>
      <c r="D46" s="12"/>
      <c r="E46" s="12"/>
      <c r="F46" s="10"/>
      <c r="G46" s="11"/>
      <c r="H46" s="29"/>
      <c r="I46" s="142">
        <f>I5-I45</f>
        <v>11717832.68</v>
      </c>
      <c r="J46" s="107"/>
      <c r="K46" s="143"/>
      <c r="L46" s="142">
        <f>L5-L45</f>
        <v>11229601.48</v>
      </c>
      <c r="M46" s="107"/>
      <c r="N46" s="143"/>
      <c r="O46" s="142">
        <f>O5-O45</f>
        <v>9030324.6799999997</v>
      </c>
      <c r="P46" s="107"/>
      <c r="Q46" s="143"/>
      <c r="R46" s="275">
        <f t="shared" si="17"/>
        <v>31977758.84</v>
      </c>
      <c r="S46" s="273"/>
      <c r="T46" s="274"/>
      <c r="U46" s="275">
        <f>U5-U45</f>
        <v>8219768</v>
      </c>
      <c r="V46" s="273"/>
      <c r="W46" s="274"/>
      <c r="X46" s="274">
        <f>X5-X45</f>
        <v>11212203</v>
      </c>
      <c r="Y46" s="273"/>
      <c r="Z46" s="274"/>
      <c r="AA46" s="274">
        <f>AA5-AA45</f>
        <v>9473199.5199999996</v>
      </c>
      <c r="AB46" s="273"/>
      <c r="AC46" s="274"/>
      <c r="AD46" s="273">
        <f t="shared" si="18"/>
        <v>28905170.52</v>
      </c>
      <c r="AE46" s="273"/>
      <c r="AF46" s="274"/>
      <c r="AG46" s="274">
        <f>AG5-AG45</f>
        <v>12541708.039999999</v>
      </c>
      <c r="AH46" s="273"/>
      <c r="AI46" s="274"/>
      <c r="AJ46" s="142"/>
      <c r="AK46" s="107"/>
      <c r="AL46" s="143"/>
      <c r="AM46" s="142"/>
      <c r="AN46" s="107"/>
      <c r="AO46" s="143"/>
      <c r="AP46" s="142"/>
      <c r="AQ46" s="107"/>
      <c r="AR46" s="143"/>
      <c r="AS46" s="142"/>
      <c r="AT46" s="107"/>
      <c r="AU46" s="143"/>
      <c r="AV46" s="142"/>
      <c r="AW46" s="107"/>
      <c r="AX46" s="143"/>
      <c r="AY46" s="142"/>
      <c r="AZ46" s="107"/>
      <c r="BA46" s="143"/>
      <c r="BB46" s="142"/>
      <c r="BC46" s="107"/>
      <c r="BD46" s="143"/>
      <c r="BE46" s="274">
        <f>BE5-BE45</f>
        <v>73424637.400000006</v>
      </c>
      <c r="BF46" s="273"/>
      <c r="BG46" s="274"/>
    </row>
    <row r="47" spans="1:59" ht="4.5" customHeight="1" x14ac:dyDescent="0.25">
      <c r="A47" s="342"/>
      <c r="B47" s="342"/>
      <c r="D47" s="12"/>
      <c r="E47" s="12"/>
      <c r="F47" s="10"/>
      <c r="G47" s="11"/>
      <c r="H47" s="29"/>
      <c r="I47" s="142"/>
      <c r="J47" s="107"/>
      <c r="K47" s="143"/>
      <c r="L47" s="142"/>
      <c r="M47" s="107"/>
      <c r="N47" s="143"/>
      <c r="O47" s="142"/>
      <c r="P47" s="107"/>
      <c r="Q47" s="143"/>
      <c r="R47" s="142"/>
      <c r="S47" s="107"/>
      <c r="T47" s="143"/>
      <c r="U47" s="142"/>
      <c r="V47" s="107"/>
      <c r="W47" s="143"/>
      <c r="X47" s="142"/>
      <c r="Y47" s="107"/>
      <c r="Z47" s="143"/>
      <c r="AA47" s="142"/>
      <c r="AB47" s="107"/>
      <c r="AC47" s="143"/>
      <c r="AD47" s="142"/>
      <c r="AE47" s="107"/>
      <c r="AF47" s="143"/>
      <c r="AG47" s="142"/>
      <c r="AH47" s="107"/>
      <c r="AI47" s="143"/>
      <c r="AJ47" s="142"/>
      <c r="AK47" s="107"/>
      <c r="AL47" s="143"/>
      <c r="AM47" s="142"/>
      <c r="AN47" s="107"/>
      <c r="AO47" s="143"/>
      <c r="AP47" s="142"/>
      <c r="AQ47" s="107"/>
      <c r="AR47" s="143"/>
      <c r="AS47" s="142"/>
      <c r="AT47" s="107"/>
      <c r="AU47" s="143"/>
      <c r="AV47" s="142"/>
      <c r="AW47" s="107"/>
      <c r="AX47" s="143"/>
      <c r="AY47" s="142"/>
      <c r="AZ47" s="107"/>
      <c r="BA47" s="143"/>
      <c r="BB47" s="142"/>
      <c r="BC47" s="107"/>
      <c r="BD47" s="143"/>
      <c r="BE47" s="142"/>
      <c r="BF47" s="107"/>
      <c r="BG47" s="143"/>
    </row>
    <row r="48" spans="1:59" x14ac:dyDescent="0.25">
      <c r="A48" s="342"/>
      <c r="B48" s="342"/>
      <c r="C48" s="51" t="s">
        <v>83</v>
      </c>
      <c r="D48" s="12"/>
      <c r="E48" s="12"/>
      <c r="F48" s="10"/>
      <c r="G48" s="11"/>
      <c r="H48" s="29"/>
      <c r="I48" s="142">
        <v>4522919.673913043</v>
      </c>
      <c r="J48" s="107"/>
      <c r="K48" s="143"/>
      <c r="L48" s="142">
        <v>4659234.2173913047</v>
      </c>
      <c r="M48" s="107"/>
      <c r="N48" s="143"/>
      <c r="O48" s="142">
        <f>3415299.13043478-456276</f>
        <v>2959023.1304347799</v>
      </c>
      <c r="P48" s="107"/>
      <c r="Q48" s="143"/>
      <c r="R48" s="142">
        <f t="shared" ref="R48:R50" si="19">O48+L48+I48</f>
        <v>12141177.021739127</v>
      </c>
      <c r="S48" s="107"/>
      <c r="T48" s="143"/>
      <c r="U48" s="142">
        <f>3798533-456276</f>
        <v>3342257</v>
      </c>
      <c r="V48" s="142"/>
      <c r="W48" s="143"/>
      <c r="X48" s="142">
        <v>4721485</v>
      </c>
      <c r="Y48" s="107"/>
      <c r="Z48" s="143"/>
      <c r="AA48" s="142">
        <v>3274377</v>
      </c>
      <c r="AB48" s="107"/>
      <c r="AC48" s="143"/>
      <c r="AD48" s="107">
        <f t="shared" si="18"/>
        <v>11338119</v>
      </c>
      <c r="AE48" s="107"/>
      <c r="AF48" s="143"/>
      <c r="AG48" s="142">
        <v>6110805</v>
      </c>
      <c r="AH48" s="107"/>
      <c r="AI48" s="143"/>
      <c r="AJ48" s="142"/>
      <c r="AK48" s="107"/>
      <c r="AL48" s="143"/>
      <c r="AM48" s="142"/>
      <c r="AN48" s="107"/>
      <c r="AO48" s="143"/>
      <c r="AP48" s="142"/>
      <c r="AQ48" s="107"/>
      <c r="AR48" s="143"/>
      <c r="AS48" s="142"/>
      <c r="AT48" s="107"/>
      <c r="AU48" s="143"/>
      <c r="AV48" s="142"/>
      <c r="AW48" s="107"/>
      <c r="AX48" s="143"/>
      <c r="AY48" s="142"/>
      <c r="AZ48" s="107"/>
      <c r="BA48" s="143"/>
      <c r="BB48" s="142"/>
      <c r="BC48" s="107"/>
      <c r="BD48" s="143"/>
      <c r="BE48" s="107">
        <f>I48+L48+O48+U48+X48+AA48+AG48+AJ48+AM48+AS48+AV48+AY48</f>
        <v>29590101.021739125</v>
      </c>
      <c r="BF48" s="107"/>
      <c r="BG48" s="143"/>
    </row>
    <row r="49" spans="1:207" x14ac:dyDescent="0.25">
      <c r="A49" s="342"/>
      <c r="B49" s="342"/>
      <c r="C49" s="51" t="s">
        <v>84</v>
      </c>
      <c r="D49" s="12"/>
      <c r="E49" s="12"/>
      <c r="F49" s="10"/>
      <c r="G49" s="11"/>
      <c r="H49" s="29"/>
      <c r="I49" s="142">
        <v>25196</v>
      </c>
      <c r="J49" s="107"/>
      <c r="K49" s="143"/>
      <c r="L49" s="142">
        <v>30016</v>
      </c>
      <c r="M49" s="107"/>
      <c r="N49" s="143"/>
      <c r="O49" s="142">
        <v>20355</v>
      </c>
      <c r="P49" s="107"/>
      <c r="Q49" s="143"/>
      <c r="R49" s="142">
        <f t="shared" si="19"/>
        <v>75567</v>
      </c>
      <c r="S49" s="107"/>
      <c r="T49" s="143"/>
      <c r="U49" s="142">
        <v>421794</v>
      </c>
      <c r="V49" s="107"/>
      <c r="W49" s="143"/>
      <c r="X49" s="142">
        <v>168138</v>
      </c>
      <c r="Y49" s="107"/>
      <c r="Z49" s="143"/>
      <c r="AA49" s="142">
        <v>101456</v>
      </c>
      <c r="AB49" s="107"/>
      <c r="AC49" s="143"/>
      <c r="AD49" s="107">
        <f t="shared" si="18"/>
        <v>691388</v>
      </c>
      <c r="AE49" s="107"/>
      <c r="AF49" s="143"/>
      <c r="AG49" s="142">
        <f>[3]Catering!$F$17+[3]NonCatering!$C$29</f>
        <v>1672</v>
      </c>
      <c r="AH49" s="107"/>
      <c r="AI49" s="143"/>
      <c r="AJ49" s="142"/>
      <c r="AK49" s="107"/>
      <c r="AL49" s="143"/>
      <c r="AM49" s="142"/>
      <c r="AN49" s="107"/>
      <c r="AO49" s="143"/>
      <c r="AP49" s="142"/>
      <c r="AQ49" s="107"/>
      <c r="AR49" s="143"/>
      <c r="AS49" s="142"/>
      <c r="AT49" s="107"/>
      <c r="AU49" s="143"/>
      <c r="AV49" s="142"/>
      <c r="AW49" s="107"/>
      <c r="AX49" s="143"/>
      <c r="AY49" s="142"/>
      <c r="AZ49" s="107"/>
      <c r="BA49" s="143"/>
      <c r="BB49" s="142"/>
      <c r="BC49" s="107"/>
      <c r="BD49" s="143"/>
      <c r="BE49" s="107">
        <f t="shared" ref="BE49:BE50" si="20">I49+L49+O49+U49+X49+AA49+AG49+AJ49+AM49+AS49+AV49+AY49</f>
        <v>768627</v>
      </c>
      <c r="BF49" s="107"/>
      <c r="BG49" s="143"/>
    </row>
    <row r="50" spans="1:207" ht="15.75" thickBot="1" x14ac:dyDescent="0.3">
      <c r="A50" s="342"/>
      <c r="B50" s="342"/>
      <c r="C50" s="51" t="s">
        <v>85</v>
      </c>
      <c r="D50" s="12"/>
      <c r="E50" s="12"/>
      <c r="F50" s="10"/>
      <c r="G50" s="11"/>
      <c r="H50" s="29"/>
      <c r="I50" s="142">
        <v>433539</v>
      </c>
      <c r="J50" s="107"/>
      <c r="K50" s="143"/>
      <c r="L50" s="142">
        <v>112386</v>
      </c>
      <c r="M50" s="107"/>
      <c r="N50" s="143"/>
      <c r="O50" s="142">
        <v>197244</v>
      </c>
      <c r="P50" s="107"/>
      <c r="Q50" s="143"/>
      <c r="R50" s="142">
        <f t="shared" si="19"/>
        <v>743169</v>
      </c>
      <c r="S50" s="107"/>
      <c r="T50" s="143"/>
      <c r="U50" s="142">
        <v>33854</v>
      </c>
      <c r="V50" s="107"/>
      <c r="W50" s="143"/>
      <c r="X50" s="142">
        <v>28611</v>
      </c>
      <c r="Y50" s="107"/>
      <c r="Z50" s="143"/>
      <c r="AA50" s="142">
        <v>338140</v>
      </c>
      <c r="AB50" s="107"/>
      <c r="AC50" s="143"/>
      <c r="AD50" s="107">
        <f t="shared" si="18"/>
        <v>400605</v>
      </c>
      <c r="AE50" s="107"/>
      <c r="AF50" s="143"/>
      <c r="AG50" s="142">
        <v>171765</v>
      </c>
      <c r="AH50" s="107"/>
      <c r="AI50" s="143"/>
      <c r="AJ50" s="142"/>
      <c r="AK50" s="107"/>
      <c r="AL50" s="143"/>
      <c r="AM50" s="142"/>
      <c r="AN50" s="107"/>
      <c r="AO50" s="143"/>
      <c r="AP50" s="142"/>
      <c r="AQ50" s="107"/>
      <c r="AR50" s="143"/>
      <c r="AS50" s="142"/>
      <c r="AT50" s="107"/>
      <c r="AU50" s="143"/>
      <c r="AV50" s="142"/>
      <c r="AW50" s="107"/>
      <c r="AX50" s="143"/>
      <c r="AY50" s="142"/>
      <c r="AZ50" s="107"/>
      <c r="BA50" s="143"/>
      <c r="BB50" s="142"/>
      <c r="BC50" s="107"/>
      <c r="BD50" s="143"/>
      <c r="BE50" s="107">
        <f t="shared" si="20"/>
        <v>1315539</v>
      </c>
      <c r="BF50" s="107"/>
      <c r="BG50" s="143"/>
      <c r="BH50" s="286"/>
      <c r="BI50" s="286"/>
      <c r="BJ50" s="286"/>
      <c r="BK50" s="286"/>
      <c r="BL50" s="286"/>
      <c r="BM50" s="286"/>
      <c r="BN50" s="286"/>
      <c r="BO50" s="286"/>
      <c r="BP50" s="286"/>
      <c r="BQ50" s="286"/>
      <c r="BR50" s="286"/>
      <c r="BS50" s="286"/>
      <c r="BT50" s="286"/>
      <c r="BU50" s="286"/>
      <c r="BV50" s="286"/>
      <c r="BW50" s="286"/>
      <c r="BX50" s="286"/>
      <c r="BY50" s="286"/>
      <c r="BZ50" s="286"/>
      <c r="CA50" s="286"/>
      <c r="CB50" s="286"/>
      <c r="CC50" s="286"/>
      <c r="CD50" s="286"/>
      <c r="CE50" s="286"/>
      <c r="CF50" s="286"/>
      <c r="CG50" s="286"/>
      <c r="CH50" s="286"/>
      <c r="CI50" s="286"/>
      <c r="CJ50" s="286"/>
      <c r="CK50" s="286"/>
      <c r="CL50" s="286"/>
      <c r="CM50" s="286"/>
      <c r="CN50" s="286"/>
      <c r="CO50" s="286"/>
      <c r="CP50" s="286"/>
      <c r="CQ50" s="286"/>
      <c r="CR50" s="286"/>
      <c r="CS50" s="286"/>
      <c r="CT50" s="286"/>
      <c r="CU50" s="286"/>
      <c r="CV50" s="286"/>
      <c r="CW50" s="286"/>
      <c r="CX50" s="286"/>
      <c r="CY50" s="286"/>
      <c r="CZ50" s="286"/>
      <c r="DA50" s="286"/>
      <c r="DB50" s="286"/>
      <c r="DC50" s="286"/>
      <c r="DD50" s="286"/>
      <c r="DE50" s="286"/>
      <c r="DF50" s="286"/>
      <c r="DG50" s="286"/>
      <c r="DH50" s="286"/>
      <c r="DI50" s="286"/>
      <c r="DJ50" s="286"/>
      <c r="DK50" s="286"/>
      <c r="DL50" s="286"/>
      <c r="DM50" s="286"/>
      <c r="DN50" s="286"/>
      <c r="DO50" s="286"/>
      <c r="DP50" s="286"/>
      <c r="DQ50" s="286"/>
      <c r="DR50" s="286"/>
      <c r="DS50" s="286"/>
      <c r="DT50" s="286"/>
      <c r="DU50" s="286"/>
      <c r="DV50" s="286"/>
      <c r="DW50" s="286"/>
      <c r="DX50" s="286"/>
      <c r="DY50" s="286"/>
      <c r="DZ50" s="286"/>
      <c r="EA50" s="286"/>
      <c r="EB50" s="286"/>
      <c r="EC50" s="286"/>
      <c r="ED50" s="286"/>
      <c r="EE50" s="286"/>
      <c r="EF50" s="286"/>
      <c r="EG50" s="286"/>
      <c r="EH50" s="286"/>
      <c r="EI50" s="286"/>
      <c r="EJ50" s="286"/>
      <c r="EK50" s="286"/>
      <c r="EL50" s="286"/>
      <c r="EM50" s="286"/>
      <c r="EN50" s="286"/>
      <c r="EO50" s="286"/>
      <c r="EP50" s="286"/>
      <c r="EQ50" s="286"/>
      <c r="ER50" s="286"/>
      <c r="ES50" s="286"/>
      <c r="ET50" s="286"/>
      <c r="EU50" s="286"/>
      <c r="EV50" s="286"/>
      <c r="EW50" s="286"/>
      <c r="EX50" s="286"/>
      <c r="EY50" s="286"/>
      <c r="EZ50" s="286"/>
      <c r="FA50" s="286"/>
      <c r="FB50" s="286"/>
      <c r="FC50" s="286"/>
      <c r="FD50" s="286"/>
      <c r="FE50" s="286"/>
      <c r="FF50" s="286"/>
      <c r="FG50" s="286"/>
      <c r="FH50" s="286"/>
      <c r="FI50" s="286"/>
      <c r="FJ50" s="286"/>
      <c r="FK50" s="286"/>
      <c r="FL50" s="286"/>
      <c r="FM50" s="286"/>
      <c r="FN50" s="286"/>
      <c r="FO50" s="286"/>
      <c r="FP50" s="286"/>
      <c r="FQ50" s="286"/>
      <c r="FR50" s="286"/>
      <c r="FS50" s="286"/>
      <c r="FT50" s="286"/>
      <c r="FU50" s="286"/>
      <c r="FV50" s="286"/>
      <c r="FW50" s="286"/>
      <c r="FX50" s="286"/>
      <c r="FY50" s="286"/>
      <c r="FZ50" s="286"/>
      <c r="GA50" s="286"/>
      <c r="GB50" s="286"/>
      <c r="GC50" s="286"/>
      <c r="GD50" s="286"/>
      <c r="GE50" s="286"/>
      <c r="GF50" s="286"/>
      <c r="GG50" s="286"/>
      <c r="GH50" s="286"/>
      <c r="GI50" s="286"/>
      <c r="GJ50" s="286"/>
      <c r="GK50" s="286"/>
      <c r="GL50" s="286"/>
      <c r="GM50" s="286"/>
      <c r="GN50" s="286"/>
      <c r="GO50" s="286"/>
      <c r="GP50" s="286"/>
      <c r="GQ50" s="286"/>
      <c r="GR50" s="286"/>
      <c r="GS50" s="286"/>
      <c r="GT50" s="286"/>
      <c r="GU50" s="286"/>
      <c r="GV50" s="286"/>
      <c r="GW50" s="286"/>
      <c r="GX50" s="286"/>
      <c r="GY50" s="286"/>
    </row>
    <row r="51" spans="1:207" s="278" customFormat="1" ht="15.75" thickBot="1" x14ac:dyDescent="0.3">
      <c r="A51" s="342"/>
      <c r="B51" s="342"/>
      <c r="C51" s="67" t="s">
        <v>86</v>
      </c>
      <c r="D51" s="266"/>
      <c r="E51" s="266"/>
      <c r="F51" s="267"/>
      <c r="G51" s="268"/>
      <c r="H51" s="269"/>
      <c r="I51" s="275">
        <f>I46-I48-I49-I50</f>
        <v>6736178.0060869567</v>
      </c>
      <c r="J51" s="273"/>
      <c r="K51" s="274"/>
      <c r="L51" s="275">
        <f>L46-L48-L49-L50</f>
        <v>6427965.2626086958</v>
      </c>
      <c r="M51" s="273"/>
      <c r="N51" s="274"/>
      <c r="O51" s="275">
        <f>O46-O48-O49-O50</f>
        <v>5853702.5495652203</v>
      </c>
      <c r="P51" s="273"/>
      <c r="Q51" s="274"/>
      <c r="R51" s="275">
        <f>R46-R48-R49-R50</f>
        <v>19017845.818260871</v>
      </c>
      <c r="S51" s="273"/>
      <c r="T51" s="274"/>
      <c r="U51" s="275">
        <f>U46-U48-U49-U50</f>
        <v>4421863</v>
      </c>
      <c r="V51" s="273"/>
      <c r="W51" s="274"/>
      <c r="X51" s="275">
        <f>X46-SUM(X48:X50)</f>
        <v>6293969</v>
      </c>
      <c r="Y51" s="273"/>
      <c r="Z51" s="274"/>
      <c r="AA51" s="275">
        <f>AA46-SUM(AA48:AA50)</f>
        <v>5759226.5199999996</v>
      </c>
      <c r="AB51" s="273"/>
      <c r="AC51" s="274"/>
      <c r="AD51" s="275">
        <f>AD46-SUM(AD48:AD50)</f>
        <v>16475058.52</v>
      </c>
      <c r="AE51" s="273"/>
      <c r="AF51" s="274"/>
      <c r="AG51" s="275">
        <f>AG46-SUM(AG48:AG50)</f>
        <v>6257466.0399999991</v>
      </c>
      <c r="AH51" s="273"/>
      <c r="AI51" s="274"/>
      <c r="AJ51" s="275"/>
      <c r="AK51" s="273"/>
      <c r="AL51" s="274"/>
      <c r="AM51" s="275"/>
      <c r="AN51" s="273"/>
      <c r="AO51" s="274"/>
      <c r="AP51" s="275"/>
      <c r="AQ51" s="273"/>
      <c r="AR51" s="274"/>
      <c r="AS51" s="275"/>
      <c r="AT51" s="273"/>
      <c r="AU51" s="274"/>
      <c r="AV51" s="275"/>
      <c r="AW51" s="273"/>
      <c r="AX51" s="274"/>
      <c r="AY51" s="275"/>
      <c r="AZ51" s="273"/>
      <c r="BA51" s="274"/>
      <c r="BB51" s="275"/>
      <c r="BC51" s="273"/>
      <c r="BD51" s="274"/>
      <c r="BE51" s="275">
        <f>BE46-SUM(BE48:BE50)</f>
        <v>41750370.378260881</v>
      </c>
      <c r="BF51" s="273"/>
      <c r="BG51" s="274"/>
      <c r="BH51" s="286"/>
      <c r="BI51" s="286"/>
      <c r="BJ51" s="286"/>
      <c r="BK51" s="286"/>
      <c r="BL51" s="286"/>
      <c r="BM51" s="286"/>
      <c r="BN51" s="286"/>
      <c r="BO51" s="286"/>
      <c r="BP51" s="286"/>
      <c r="BQ51" s="286"/>
      <c r="BR51" s="286"/>
      <c r="BS51" s="286"/>
      <c r="BT51" s="286"/>
      <c r="BU51" s="286"/>
      <c r="BV51" s="286"/>
      <c r="BW51" s="286"/>
      <c r="BX51" s="286"/>
      <c r="BY51" s="286"/>
      <c r="BZ51" s="286"/>
      <c r="CA51" s="286"/>
      <c r="CB51" s="286"/>
      <c r="CC51" s="286"/>
      <c r="CD51" s="286"/>
      <c r="CE51" s="286"/>
      <c r="CF51" s="286"/>
      <c r="CG51" s="286"/>
      <c r="CH51" s="286"/>
      <c r="CI51" s="286"/>
      <c r="CJ51" s="286"/>
      <c r="CK51" s="286"/>
      <c r="CL51" s="286"/>
      <c r="CM51" s="286"/>
      <c r="CN51" s="286"/>
      <c r="CO51" s="286"/>
      <c r="CP51" s="286"/>
      <c r="CQ51" s="286"/>
      <c r="CR51" s="286"/>
      <c r="CS51" s="286"/>
      <c r="CT51" s="286"/>
      <c r="CU51" s="286"/>
      <c r="CV51" s="286"/>
      <c r="CW51" s="286"/>
      <c r="CX51" s="286"/>
      <c r="CY51" s="286"/>
      <c r="CZ51" s="286"/>
      <c r="DA51" s="286"/>
      <c r="DB51" s="286"/>
      <c r="DC51" s="286"/>
      <c r="DD51" s="286"/>
      <c r="DE51" s="286"/>
      <c r="DF51" s="286"/>
      <c r="DG51" s="286"/>
      <c r="DH51" s="286"/>
      <c r="DI51" s="286"/>
      <c r="DJ51" s="286"/>
      <c r="DK51" s="286"/>
      <c r="DL51" s="286"/>
      <c r="DM51" s="286"/>
      <c r="DN51" s="286"/>
      <c r="DO51" s="286"/>
      <c r="DP51" s="286"/>
      <c r="DQ51" s="286"/>
      <c r="DR51" s="286"/>
      <c r="DS51" s="286"/>
      <c r="DT51" s="286"/>
      <c r="DU51" s="286"/>
      <c r="DV51" s="286"/>
      <c r="DW51" s="286"/>
      <c r="DX51" s="286"/>
      <c r="DY51" s="286"/>
      <c r="DZ51" s="286"/>
      <c r="EA51" s="286"/>
      <c r="EB51" s="286"/>
      <c r="EC51" s="286"/>
      <c r="ED51" s="286"/>
      <c r="EE51" s="286"/>
      <c r="EF51" s="286"/>
      <c r="EG51" s="286"/>
      <c r="EH51" s="286"/>
      <c r="EI51" s="286"/>
      <c r="EJ51" s="286"/>
      <c r="EK51" s="286"/>
      <c r="EL51" s="286"/>
      <c r="EM51" s="286"/>
      <c r="EN51" s="286"/>
      <c r="EO51" s="286"/>
      <c r="EP51" s="286"/>
      <c r="EQ51" s="286"/>
      <c r="ER51" s="286"/>
      <c r="ES51" s="286"/>
      <c r="ET51" s="286"/>
      <c r="EU51" s="286"/>
      <c r="EV51" s="286"/>
      <c r="EW51" s="286"/>
      <c r="EX51" s="286"/>
      <c r="EY51" s="286"/>
      <c r="EZ51" s="286"/>
      <c r="FA51" s="286"/>
      <c r="FB51" s="286"/>
      <c r="FC51" s="286"/>
      <c r="FD51" s="286"/>
      <c r="FE51" s="286"/>
      <c r="FF51" s="286"/>
      <c r="FG51" s="286"/>
      <c r="FH51" s="286"/>
      <c r="FI51" s="286"/>
      <c r="FJ51" s="286"/>
      <c r="FK51" s="286"/>
      <c r="FL51" s="286"/>
      <c r="FM51" s="286"/>
      <c r="FN51" s="286"/>
      <c r="FO51" s="286"/>
      <c r="FP51" s="286"/>
      <c r="FQ51" s="286"/>
      <c r="FR51" s="286"/>
      <c r="FS51" s="286"/>
      <c r="FT51" s="286"/>
      <c r="FU51" s="286"/>
      <c r="FV51" s="286"/>
      <c r="FW51" s="286"/>
      <c r="FX51" s="286"/>
      <c r="FY51" s="286"/>
      <c r="FZ51" s="286"/>
      <c r="GA51" s="286"/>
      <c r="GB51" s="286"/>
      <c r="GC51" s="286"/>
      <c r="GD51" s="286"/>
      <c r="GE51" s="286"/>
      <c r="GF51" s="286"/>
      <c r="GG51" s="286"/>
      <c r="GH51" s="286"/>
      <c r="GI51" s="286"/>
      <c r="GJ51" s="286"/>
      <c r="GK51" s="286"/>
      <c r="GL51" s="286"/>
      <c r="GM51" s="286"/>
      <c r="GN51" s="286"/>
      <c r="GO51" s="286"/>
      <c r="GP51" s="286"/>
      <c r="GQ51" s="286"/>
      <c r="GR51" s="286"/>
      <c r="GS51" s="286"/>
      <c r="GT51" s="286"/>
      <c r="GU51" s="286"/>
      <c r="GV51" s="286"/>
      <c r="GW51" s="286"/>
      <c r="GX51" s="286"/>
      <c r="GY51" s="286"/>
    </row>
    <row r="52" spans="1:207" ht="3.75" customHeight="1" x14ac:dyDescent="0.25">
      <c r="A52" s="342"/>
      <c r="B52" s="342"/>
      <c r="D52" s="12"/>
      <c r="E52" s="12"/>
      <c r="F52" s="10"/>
      <c r="G52" s="11"/>
      <c r="H52" s="29"/>
      <c r="I52" s="142"/>
      <c r="J52" s="107"/>
      <c r="K52" s="143"/>
      <c r="L52" s="142"/>
      <c r="M52" s="107"/>
      <c r="N52" s="143"/>
      <c r="O52" s="142"/>
      <c r="P52" s="107"/>
      <c r="Q52" s="143"/>
      <c r="R52" s="142"/>
      <c r="S52" s="107"/>
      <c r="T52" s="143"/>
      <c r="U52" s="142"/>
      <c r="V52" s="107"/>
      <c r="W52" s="143"/>
      <c r="X52" s="142"/>
      <c r="Y52" s="107"/>
      <c r="Z52" s="143"/>
      <c r="AA52" s="142"/>
      <c r="AB52" s="107"/>
      <c r="AC52" s="143"/>
      <c r="AD52" s="142"/>
      <c r="AE52" s="107"/>
      <c r="AF52" s="143"/>
      <c r="AG52" s="142"/>
      <c r="AH52" s="107"/>
      <c r="AI52" s="143"/>
      <c r="AJ52" s="142"/>
      <c r="AK52" s="107"/>
      <c r="AL52" s="143"/>
      <c r="AM52" s="142"/>
      <c r="AN52" s="107"/>
      <c r="AO52" s="143"/>
      <c r="AP52" s="142"/>
      <c r="AQ52" s="107"/>
      <c r="AR52" s="143"/>
      <c r="AS52" s="142"/>
      <c r="AT52" s="107"/>
      <c r="AU52" s="143"/>
      <c r="AV52" s="142"/>
      <c r="AW52" s="107"/>
      <c r="AX52" s="143"/>
      <c r="AY52" s="142"/>
      <c r="AZ52" s="107"/>
      <c r="BA52" s="143"/>
      <c r="BB52" s="142"/>
      <c r="BC52" s="107"/>
      <c r="BD52" s="143"/>
      <c r="BE52" s="142"/>
      <c r="BF52" s="107"/>
      <c r="BG52" s="143"/>
      <c r="BH52" s="286"/>
      <c r="BI52" s="286"/>
      <c r="BJ52" s="286"/>
      <c r="BK52" s="286"/>
      <c r="BL52" s="286"/>
      <c r="BM52" s="286"/>
      <c r="BN52" s="286"/>
      <c r="BO52" s="286"/>
      <c r="BP52" s="286"/>
      <c r="BQ52" s="286"/>
      <c r="BR52" s="286"/>
      <c r="BS52" s="286"/>
      <c r="BT52" s="286"/>
      <c r="BU52" s="286"/>
      <c r="BV52" s="286"/>
      <c r="BW52" s="286"/>
      <c r="BX52" s="286"/>
      <c r="BY52" s="286"/>
      <c r="BZ52" s="286"/>
      <c r="CA52" s="286"/>
      <c r="CB52" s="286"/>
      <c r="CC52" s="286"/>
      <c r="CD52" s="286"/>
      <c r="CE52" s="286"/>
      <c r="CF52" s="286"/>
      <c r="CG52" s="286"/>
      <c r="CH52" s="286"/>
      <c r="CI52" s="286"/>
      <c r="CJ52" s="286"/>
      <c r="CK52" s="286"/>
      <c r="CL52" s="286"/>
      <c r="CM52" s="286"/>
      <c r="CN52" s="286"/>
      <c r="CO52" s="286"/>
      <c r="CP52" s="286"/>
      <c r="CQ52" s="286"/>
      <c r="CR52" s="286"/>
      <c r="CS52" s="286"/>
      <c r="CT52" s="286"/>
      <c r="CU52" s="286"/>
      <c r="CV52" s="286"/>
      <c r="CW52" s="286"/>
      <c r="CX52" s="286"/>
      <c r="CY52" s="286"/>
      <c r="CZ52" s="286"/>
      <c r="DA52" s="286"/>
      <c r="DB52" s="286"/>
      <c r="DC52" s="286"/>
      <c r="DD52" s="286"/>
      <c r="DE52" s="286"/>
      <c r="DF52" s="286"/>
      <c r="DG52" s="286"/>
      <c r="DH52" s="286"/>
      <c r="DI52" s="286"/>
      <c r="DJ52" s="286"/>
      <c r="DK52" s="286"/>
      <c r="DL52" s="286"/>
      <c r="DM52" s="286"/>
      <c r="DN52" s="286"/>
      <c r="DO52" s="286"/>
      <c r="DP52" s="286"/>
      <c r="DQ52" s="286"/>
      <c r="DR52" s="286"/>
      <c r="DS52" s="286"/>
      <c r="DT52" s="286"/>
      <c r="DU52" s="286"/>
      <c r="DV52" s="286"/>
      <c r="DW52" s="286"/>
      <c r="DX52" s="286"/>
      <c r="DY52" s="286"/>
      <c r="DZ52" s="286"/>
      <c r="EA52" s="286"/>
      <c r="EB52" s="286"/>
      <c r="EC52" s="286"/>
      <c r="ED52" s="286"/>
      <c r="EE52" s="286"/>
      <c r="EF52" s="286"/>
      <c r="EG52" s="286"/>
      <c r="EH52" s="286"/>
      <c r="EI52" s="286"/>
      <c r="EJ52" s="286"/>
      <c r="EK52" s="286"/>
      <c r="EL52" s="286"/>
      <c r="EM52" s="286"/>
      <c r="EN52" s="286"/>
      <c r="EO52" s="286"/>
      <c r="EP52" s="286"/>
      <c r="EQ52" s="286"/>
      <c r="ER52" s="286"/>
      <c r="ES52" s="286"/>
      <c r="ET52" s="286"/>
      <c r="EU52" s="286"/>
      <c r="EV52" s="286"/>
      <c r="EW52" s="286"/>
      <c r="EX52" s="286"/>
      <c r="EY52" s="286"/>
      <c r="EZ52" s="286"/>
      <c r="FA52" s="286"/>
      <c r="FB52" s="286"/>
      <c r="FC52" s="286"/>
      <c r="FD52" s="286"/>
      <c r="FE52" s="286"/>
      <c r="FF52" s="286"/>
      <c r="FG52" s="286"/>
      <c r="FH52" s="286"/>
      <c r="FI52" s="286"/>
      <c r="FJ52" s="286"/>
      <c r="FK52" s="286"/>
      <c r="FL52" s="286"/>
      <c r="FM52" s="286"/>
      <c r="FN52" s="286"/>
      <c r="FO52" s="286"/>
      <c r="FP52" s="286"/>
      <c r="FQ52" s="286"/>
      <c r="FR52" s="286"/>
      <c r="FS52" s="286"/>
      <c r="FT52" s="286"/>
      <c r="FU52" s="286"/>
      <c r="FV52" s="286"/>
      <c r="FW52" s="286"/>
      <c r="FX52" s="286"/>
      <c r="FY52" s="286"/>
      <c r="FZ52" s="286"/>
      <c r="GA52" s="286"/>
      <c r="GB52" s="286"/>
      <c r="GC52" s="286"/>
      <c r="GD52" s="286"/>
      <c r="GE52" s="286"/>
      <c r="GF52" s="286"/>
      <c r="GG52" s="286"/>
      <c r="GH52" s="286"/>
      <c r="GI52" s="286"/>
      <c r="GJ52" s="286"/>
      <c r="GK52" s="286"/>
      <c r="GL52" s="286"/>
      <c r="GM52" s="286"/>
      <c r="GN52" s="286"/>
      <c r="GO52" s="286"/>
      <c r="GP52" s="286"/>
      <c r="GQ52" s="286"/>
      <c r="GR52" s="286"/>
      <c r="GS52" s="286"/>
      <c r="GT52" s="286"/>
      <c r="GU52" s="286"/>
      <c r="GV52" s="286"/>
      <c r="GW52" s="286"/>
      <c r="GX52" s="286"/>
      <c r="GY52" s="286"/>
    </row>
    <row r="53" spans="1:207" x14ac:dyDescent="0.25">
      <c r="A53" s="342"/>
      <c r="B53" s="342"/>
      <c r="C53" s="195" t="s">
        <v>620</v>
      </c>
      <c r="D53" s="12"/>
      <c r="E53" s="12"/>
      <c r="F53" s="10"/>
      <c r="G53" s="11"/>
      <c r="H53" s="29"/>
      <c r="I53" s="142">
        <v>2216371.8360000001</v>
      </c>
      <c r="J53" s="107"/>
      <c r="K53" s="143"/>
      <c r="L53" s="142">
        <v>1713029.82</v>
      </c>
      <c r="M53" s="107"/>
      <c r="N53" s="143"/>
      <c r="O53" s="142">
        <v>1680979</v>
      </c>
      <c r="P53" s="107"/>
      <c r="Q53" s="143"/>
      <c r="R53" s="142">
        <f t="shared" ref="R53:R58" si="21">O53+L53+I53</f>
        <v>5610380.6560000004</v>
      </c>
      <c r="S53" s="107"/>
      <c r="T53" s="143"/>
      <c r="U53" s="142">
        <v>1595476</v>
      </c>
      <c r="V53" s="107"/>
      <c r="W53" s="143"/>
      <c r="X53" s="142">
        <f>841297+515736</f>
        <v>1357033</v>
      </c>
      <c r="Y53" s="107"/>
      <c r="Z53" s="143"/>
      <c r="AA53" s="142">
        <v>1385012</v>
      </c>
      <c r="AB53" s="107"/>
      <c r="AC53" s="143"/>
      <c r="AD53" s="107">
        <f t="shared" ref="AD53:AD58" si="22">AA53+X53+U53</f>
        <v>4337521</v>
      </c>
      <c r="AE53" s="107"/>
      <c r="AF53" s="143"/>
      <c r="AG53" s="142">
        <v>1744435</v>
      </c>
      <c r="AH53" s="107"/>
      <c r="AI53" s="143"/>
      <c r="AJ53" s="142"/>
      <c r="AK53" s="107"/>
      <c r="AL53" s="143"/>
      <c r="AM53" s="142"/>
      <c r="AN53" s="107"/>
      <c r="AO53" s="143"/>
      <c r="AP53" s="142"/>
      <c r="AQ53" s="107"/>
      <c r="AR53" s="143"/>
      <c r="AS53" s="142"/>
      <c r="AT53" s="107"/>
      <c r="AU53" s="143"/>
      <c r="AV53" s="142"/>
      <c r="AW53" s="107"/>
      <c r="AX53" s="143"/>
      <c r="AY53" s="142"/>
      <c r="AZ53" s="107"/>
      <c r="BA53" s="143"/>
      <c r="BB53" s="142"/>
      <c r="BC53" s="107"/>
      <c r="BD53" s="143"/>
      <c r="BE53" s="107">
        <f t="shared" ref="BE53:BE58" si="23">I53+L53+O53+U53+X53+AA53+AG53+AJ53+AM53+AS53+AV53+AY53</f>
        <v>11692336.655999999</v>
      </c>
      <c r="BF53" s="107"/>
      <c r="BG53" s="143"/>
      <c r="BH53" s="286"/>
      <c r="BI53" s="286"/>
      <c r="BJ53" s="286"/>
      <c r="BK53" s="286"/>
      <c r="BL53" s="286"/>
      <c r="BM53" s="286"/>
      <c r="BN53" s="286"/>
      <c r="BO53" s="286"/>
      <c r="BP53" s="286"/>
      <c r="BQ53" s="286"/>
      <c r="BR53" s="286"/>
      <c r="BS53" s="286"/>
      <c r="BT53" s="286"/>
      <c r="BU53" s="286"/>
      <c r="BV53" s="286"/>
      <c r="BW53" s="286"/>
      <c r="BX53" s="286"/>
      <c r="BY53" s="286"/>
      <c r="BZ53" s="286"/>
      <c r="CA53" s="286"/>
      <c r="CB53" s="286"/>
      <c r="CC53" s="286"/>
      <c r="CD53" s="286"/>
      <c r="CE53" s="286"/>
      <c r="CF53" s="286"/>
      <c r="CG53" s="286"/>
      <c r="CH53" s="286"/>
      <c r="CI53" s="286"/>
      <c r="CJ53" s="286"/>
      <c r="CK53" s="286"/>
      <c r="CL53" s="286"/>
      <c r="CM53" s="286"/>
      <c r="CN53" s="286"/>
      <c r="CO53" s="286"/>
      <c r="CP53" s="286"/>
      <c r="CQ53" s="286"/>
      <c r="CR53" s="286"/>
      <c r="CS53" s="286"/>
      <c r="CT53" s="286"/>
      <c r="CU53" s="286"/>
      <c r="CV53" s="286"/>
      <c r="CW53" s="286"/>
      <c r="CX53" s="286"/>
      <c r="CY53" s="286"/>
      <c r="CZ53" s="286"/>
      <c r="DA53" s="286"/>
      <c r="DB53" s="286"/>
      <c r="DC53" s="286"/>
      <c r="DD53" s="286"/>
      <c r="DE53" s="286"/>
      <c r="DF53" s="286"/>
      <c r="DG53" s="286"/>
      <c r="DH53" s="286"/>
      <c r="DI53" s="286"/>
      <c r="DJ53" s="286"/>
      <c r="DK53" s="286"/>
      <c r="DL53" s="286"/>
      <c r="DM53" s="286"/>
      <c r="DN53" s="286"/>
      <c r="DO53" s="286"/>
      <c r="DP53" s="286"/>
      <c r="DQ53" s="286"/>
      <c r="DR53" s="286"/>
      <c r="DS53" s="286"/>
      <c r="DT53" s="286"/>
      <c r="DU53" s="286"/>
      <c r="DV53" s="286"/>
      <c r="DW53" s="286"/>
      <c r="DX53" s="286"/>
      <c r="DY53" s="286"/>
      <c r="DZ53" s="286"/>
      <c r="EA53" s="286"/>
      <c r="EB53" s="286"/>
      <c r="EC53" s="286"/>
      <c r="ED53" s="286"/>
      <c r="EE53" s="286"/>
      <c r="EF53" s="286"/>
      <c r="EG53" s="286"/>
      <c r="EH53" s="286"/>
      <c r="EI53" s="286"/>
      <c r="EJ53" s="286"/>
      <c r="EK53" s="286"/>
      <c r="EL53" s="286"/>
      <c r="EM53" s="286"/>
      <c r="EN53" s="286"/>
      <c r="EO53" s="286"/>
      <c r="EP53" s="286"/>
      <c r="EQ53" s="286"/>
      <c r="ER53" s="286"/>
      <c r="ES53" s="286"/>
      <c r="ET53" s="286"/>
      <c r="EU53" s="286"/>
      <c r="EV53" s="286"/>
      <c r="EW53" s="286"/>
      <c r="EX53" s="286"/>
      <c r="EY53" s="286"/>
      <c r="EZ53" s="286"/>
      <c r="FA53" s="286"/>
      <c r="FB53" s="286"/>
      <c r="FC53" s="286"/>
      <c r="FD53" s="286"/>
      <c r="FE53" s="286"/>
      <c r="FF53" s="286"/>
      <c r="FG53" s="286"/>
      <c r="FH53" s="286"/>
      <c r="FI53" s="286"/>
      <c r="FJ53" s="286"/>
      <c r="FK53" s="286"/>
      <c r="FL53" s="286"/>
      <c r="FM53" s="286"/>
      <c r="FN53" s="286"/>
      <c r="FO53" s="286"/>
      <c r="FP53" s="286"/>
      <c r="FQ53" s="286"/>
      <c r="FR53" s="286"/>
      <c r="FS53" s="286"/>
      <c r="FT53" s="286"/>
      <c r="FU53" s="286"/>
      <c r="FV53" s="286"/>
      <c r="FW53" s="286"/>
      <c r="FX53" s="286"/>
      <c r="FY53" s="286"/>
      <c r="FZ53" s="286"/>
      <c r="GA53" s="286"/>
      <c r="GB53" s="286"/>
      <c r="GC53" s="286"/>
      <c r="GD53" s="286"/>
      <c r="GE53" s="286"/>
      <c r="GF53" s="286"/>
      <c r="GG53" s="286"/>
      <c r="GH53" s="286"/>
      <c r="GI53" s="286"/>
      <c r="GJ53" s="286"/>
      <c r="GK53" s="286"/>
      <c r="GL53" s="286"/>
      <c r="GM53" s="286"/>
      <c r="GN53" s="286"/>
      <c r="GO53" s="286"/>
      <c r="GP53" s="286"/>
      <c r="GQ53" s="286"/>
      <c r="GR53" s="286"/>
      <c r="GS53" s="286"/>
      <c r="GT53" s="286"/>
      <c r="GU53" s="286"/>
      <c r="GV53" s="286"/>
      <c r="GW53" s="286"/>
      <c r="GX53" s="286"/>
      <c r="GY53" s="286"/>
    </row>
    <row r="54" spans="1:207" x14ac:dyDescent="0.25">
      <c r="A54" s="342"/>
      <c r="B54" s="342"/>
      <c r="C54" s="195" t="s">
        <v>622</v>
      </c>
      <c r="D54" s="12"/>
      <c r="E54" s="12"/>
      <c r="F54" s="10"/>
      <c r="G54" s="11"/>
      <c r="H54" s="29"/>
      <c r="I54" s="142">
        <v>90962</v>
      </c>
      <c r="J54" s="107"/>
      <c r="K54" s="143"/>
      <c r="L54" s="142">
        <v>77883</v>
      </c>
      <c r="M54" s="107"/>
      <c r="N54" s="143"/>
      <c r="O54" s="142">
        <v>54247</v>
      </c>
      <c r="P54" s="107"/>
      <c r="Q54" s="143"/>
      <c r="R54" s="142">
        <f t="shared" si="21"/>
        <v>223092</v>
      </c>
      <c r="S54" s="107"/>
      <c r="T54" s="143"/>
      <c r="U54" s="142">
        <v>113980</v>
      </c>
      <c r="V54" s="107"/>
      <c r="W54" s="143"/>
      <c r="X54" s="142">
        <f>56549+59458</f>
        <v>116007</v>
      </c>
      <c r="Y54" s="107"/>
      <c r="Z54" s="143"/>
      <c r="AA54" s="142">
        <v>46208</v>
      </c>
      <c r="AB54" s="107"/>
      <c r="AC54" s="143"/>
      <c r="AD54" s="107">
        <f t="shared" si="22"/>
        <v>276195</v>
      </c>
      <c r="AE54" s="107"/>
      <c r="AF54" s="143"/>
      <c r="AG54" s="142">
        <v>124141</v>
      </c>
      <c r="AH54" s="107"/>
      <c r="AI54" s="143"/>
      <c r="AJ54" s="142"/>
      <c r="AK54" s="107"/>
      <c r="AL54" s="143"/>
      <c r="AM54" s="142"/>
      <c r="AN54" s="107"/>
      <c r="AO54" s="143"/>
      <c r="AP54" s="142"/>
      <c r="AQ54" s="107"/>
      <c r="AR54" s="143"/>
      <c r="AS54" s="142"/>
      <c r="AT54" s="107"/>
      <c r="AU54" s="143"/>
      <c r="AV54" s="142"/>
      <c r="AW54" s="107"/>
      <c r="AX54" s="143"/>
      <c r="AY54" s="142"/>
      <c r="AZ54" s="107"/>
      <c r="BA54" s="143"/>
      <c r="BB54" s="142"/>
      <c r="BC54" s="107"/>
      <c r="BD54" s="143"/>
      <c r="BE54" s="107">
        <f t="shared" si="23"/>
        <v>623428</v>
      </c>
      <c r="BF54" s="107"/>
      <c r="BG54" s="143"/>
      <c r="BH54" s="286"/>
      <c r="BI54" s="286"/>
      <c r="BJ54" s="286"/>
      <c r="BK54" s="286"/>
      <c r="BL54" s="286"/>
      <c r="BM54" s="286"/>
      <c r="BN54" s="286"/>
      <c r="BO54" s="286"/>
      <c r="BP54" s="286"/>
      <c r="BQ54" s="286"/>
      <c r="BR54" s="286"/>
      <c r="BS54" s="286"/>
      <c r="BT54" s="286"/>
      <c r="BU54" s="286"/>
      <c r="BV54" s="286"/>
      <c r="BW54" s="286"/>
      <c r="BX54" s="286"/>
      <c r="BY54" s="286"/>
      <c r="BZ54" s="286"/>
      <c r="CA54" s="286"/>
      <c r="CB54" s="286"/>
      <c r="CC54" s="286"/>
      <c r="CD54" s="286"/>
      <c r="CE54" s="286"/>
      <c r="CF54" s="286"/>
      <c r="CG54" s="286"/>
      <c r="CH54" s="286"/>
      <c r="CI54" s="286"/>
      <c r="CJ54" s="286"/>
      <c r="CK54" s="286"/>
      <c r="CL54" s="286"/>
      <c r="CM54" s="286"/>
      <c r="CN54" s="286"/>
      <c r="CO54" s="286"/>
      <c r="CP54" s="286"/>
      <c r="CQ54" s="286"/>
      <c r="CR54" s="286"/>
      <c r="CS54" s="286"/>
      <c r="CT54" s="286"/>
      <c r="CU54" s="286"/>
      <c r="CV54" s="286"/>
      <c r="CW54" s="286"/>
      <c r="CX54" s="286"/>
      <c r="CY54" s="286"/>
      <c r="CZ54" s="286"/>
      <c r="DA54" s="286"/>
      <c r="DB54" s="286"/>
      <c r="DC54" s="286"/>
      <c r="DD54" s="286"/>
      <c r="DE54" s="286"/>
      <c r="DF54" s="286"/>
      <c r="DG54" s="286"/>
      <c r="DH54" s="286"/>
      <c r="DI54" s="286"/>
      <c r="DJ54" s="286"/>
      <c r="DK54" s="286"/>
      <c r="DL54" s="286"/>
      <c r="DM54" s="286"/>
      <c r="DN54" s="286"/>
      <c r="DO54" s="286"/>
      <c r="DP54" s="286"/>
      <c r="DQ54" s="286"/>
      <c r="DR54" s="286"/>
      <c r="DS54" s="286"/>
      <c r="DT54" s="286"/>
      <c r="DU54" s="286"/>
      <c r="DV54" s="286"/>
      <c r="DW54" s="286"/>
      <c r="DX54" s="286"/>
      <c r="DY54" s="286"/>
      <c r="DZ54" s="286"/>
      <c r="EA54" s="286"/>
      <c r="EB54" s="286"/>
      <c r="EC54" s="286"/>
      <c r="ED54" s="286"/>
      <c r="EE54" s="286"/>
      <c r="EF54" s="286"/>
      <c r="EG54" s="286"/>
      <c r="EH54" s="286"/>
      <c r="EI54" s="286"/>
      <c r="EJ54" s="286"/>
      <c r="EK54" s="286"/>
      <c r="EL54" s="286"/>
      <c r="EM54" s="286"/>
      <c r="EN54" s="286"/>
      <c r="EO54" s="286"/>
      <c r="EP54" s="286"/>
      <c r="EQ54" s="286"/>
      <c r="ER54" s="286"/>
      <c r="ES54" s="286"/>
      <c r="ET54" s="286"/>
      <c r="EU54" s="286"/>
      <c r="EV54" s="286"/>
      <c r="EW54" s="286"/>
      <c r="EX54" s="286"/>
      <c r="EY54" s="286"/>
      <c r="EZ54" s="286"/>
      <c r="FA54" s="286"/>
      <c r="FB54" s="286"/>
      <c r="FC54" s="286"/>
      <c r="FD54" s="286"/>
      <c r="FE54" s="286"/>
      <c r="FF54" s="286"/>
      <c r="FG54" s="286"/>
      <c r="FH54" s="286"/>
      <c r="FI54" s="286"/>
      <c r="FJ54" s="286"/>
      <c r="FK54" s="286"/>
      <c r="FL54" s="286"/>
      <c r="FM54" s="286"/>
      <c r="FN54" s="286"/>
      <c r="FO54" s="286"/>
      <c r="FP54" s="286"/>
      <c r="FQ54" s="286"/>
      <c r="FR54" s="286"/>
      <c r="FS54" s="286"/>
      <c r="FT54" s="286"/>
      <c r="FU54" s="286"/>
      <c r="FV54" s="286"/>
      <c r="FW54" s="286"/>
      <c r="FX54" s="286"/>
      <c r="FY54" s="286"/>
      <c r="FZ54" s="286"/>
      <c r="GA54" s="286"/>
      <c r="GB54" s="286"/>
      <c r="GC54" s="286"/>
      <c r="GD54" s="286"/>
      <c r="GE54" s="286"/>
      <c r="GF54" s="286"/>
      <c r="GG54" s="286"/>
      <c r="GH54" s="286"/>
      <c r="GI54" s="286"/>
      <c r="GJ54" s="286"/>
      <c r="GK54" s="286"/>
      <c r="GL54" s="286"/>
      <c r="GM54" s="286"/>
      <c r="GN54" s="286"/>
      <c r="GO54" s="286"/>
      <c r="GP54" s="286"/>
      <c r="GQ54" s="286"/>
      <c r="GR54" s="286"/>
      <c r="GS54" s="286"/>
      <c r="GT54" s="286"/>
      <c r="GU54" s="286"/>
      <c r="GV54" s="286"/>
      <c r="GW54" s="286"/>
      <c r="GX54" s="286"/>
      <c r="GY54" s="286"/>
    </row>
    <row r="55" spans="1:207" x14ac:dyDescent="0.25">
      <c r="A55" s="342"/>
      <c r="B55" s="342"/>
      <c r="C55" s="195" t="s">
        <v>623</v>
      </c>
      <c r="D55" s="12"/>
      <c r="E55" s="12"/>
      <c r="F55" s="10"/>
      <c r="G55" s="11"/>
      <c r="H55" s="29"/>
      <c r="I55" s="142">
        <v>353972</v>
      </c>
      <c r="J55" s="107"/>
      <c r="K55" s="143"/>
      <c r="L55" s="142">
        <v>353972</v>
      </c>
      <c r="M55" s="107"/>
      <c r="N55" s="143"/>
      <c r="O55" s="142">
        <v>355469</v>
      </c>
      <c r="P55" s="107"/>
      <c r="Q55" s="143"/>
      <c r="R55" s="142">
        <f t="shared" si="21"/>
        <v>1063413</v>
      </c>
      <c r="S55" s="107"/>
      <c r="T55" s="143"/>
      <c r="U55" s="142">
        <v>320085</v>
      </c>
      <c r="V55" s="107"/>
      <c r="W55" s="143"/>
      <c r="X55" s="142">
        <f>207440+146726</f>
        <v>354166</v>
      </c>
      <c r="Y55" s="107"/>
      <c r="Z55" s="143"/>
      <c r="AA55" s="142">
        <v>214815</v>
      </c>
      <c r="AB55" s="107"/>
      <c r="AC55" s="143"/>
      <c r="AD55" s="107">
        <f t="shared" si="22"/>
        <v>889066</v>
      </c>
      <c r="AE55" s="107"/>
      <c r="AF55" s="143"/>
      <c r="AG55" s="142">
        <v>216312</v>
      </c>
      <c r="AH55" s="107"/>
      <c r="AI55" s="143"/>
      <c r="AJ55" s="142"/>
      <c r="AK55" s="107"/>
      <c r="AL55" s="143"/>
      <c r="AM55" s="142"/>
      <c r="AN55" s="107"/>
      <c r="AO55" s="143"/>
      <c r="AP55" s="142"/>
      <c r="AQ55" s="107"/>
      <c r="AR55" s="143"/>
      <c r="AS55" s="142"/>
      <c r="AT55" s="107"/>
      <c r="AU55" s="143"/>
      <c r="AV55" s="142"/>
      <c r="AW55" s="107"/>
      <c r="AX55" s="143"/>
      <c r="AY55" s="142"/>
      <c r="AZ55" s="107"/>
      <c r="BA55" s="143"/>
      <c r="BB55" s="142"/>
      <c r="BC55" s="107"/>
      <c r="BD55" s="143"/>
      <c r="BE55" s="107">
        <f t="shared" si="23"/>
        <v>2168791</v>
      </c>
      <c r="BF55" s="107"/>
      <c r="BG55" s="143"/>
      <c r="BH55" s="286"/>
      <c r="BI55" s="286"/>
      <c r="BJ55" s="286"/>
      <c r="BK55" s="286"/>
      <c r="BL55" s="286"/>
      <c r="BM55" s="286"/>
      <c r="BN55" s="286"/>
      <c r="BO55" s="286"/>
      <c r="BP55" s="286"/>
      <c r="BQ55" s="286"/>
      <c r="BR55" s="286"/>
      <c r="BS55" s="286"/>
      <c r="BT55" s="286"/>
      <c r="BU55" s="286"/>
      <c r="BV55" s="286"/>
      <c r="BW55" s="286"/>
      <c r="BX55" s="286"/>
      <c r="BY55" s="286"/>
      <c r="BZ55" s="286"/>
      <c r="CA55" s="286"/>
      <c r="CB55" s="286"/>
      <c r="CC55" s="286"/>
      <c r="CD55" s="286"/>
      <c r="CE55" s="286"/>
      <c r="CF55" s="286"/>
      <c r="CG55" s="286"/>
      <c r="CH55" s="286"/>
      <c r="CI55" s="286"/>
      <c r="CJ55" s="286"/>
      <c r="CK55" s="286"/>
      <c r="CL55" s="286"/>
      <c r="CM55" s="286"/>
      <c r="CN55" s="286"/>
      <c r="CO55" s="286"/>
      <c r="CP55" s="286"/>
      <c r="CQ55" s="286"/>
      <c r="CR55" s="286"/>
      <c r="CS55" s="286"/>
      <c r="CT55" s="286"/>
      <c r="CU55" s="286"/>
      <c r="CV55" s="286"/>
      <c r="CW55" s="286"/>
      <c r="CX55" s="286"/>
      <c r="CY55" s="286"/>
      <c r="CZ55" s="286"/>
      <c r="DA55" s="286"/>
      <c r="DB55" s="286"/>
      <c r="DC55" s="286"/>
      <c r="DD55" s="286"/>
      <c r="DE55" s="286"/>
      <c r="DF55" s="286"/>
      <c r="DG55" s="286"/>
      <c r="DH55" s="286"/>
      <c r="DI55" s="286"/>
      <c r="DJ55" s="286"/>
      <c r="DK55" s="286"/>
      <c r="DL55" s="286"/>
      <c r="DM55" s="286"/>
      <c r="DN55" s="286"/>
      <c r="DO55" s="286"/>
      <c r="DP55" s="286"/>
      <c r="DQ55" s="286"/>
      <c r="DR55" s="286"/>
      <c r="DS55" s="286"/>
      <c r="DT55" s="286"/>
      <c r="DU55" s="286"/>
      <c r="DV55" s="286"/>
      <c r="DW55" s="286"/>
      <c r="DX55" s="286"/>
      <c r="DY55" s="286"/>
      <c r="DZ55" s="286"/>
      <c r="EA55" s="286"/>
      <c r="EB55" s="286"/>
      <c r="EC55" s="286"/>
      <c r="ED55" s="286"/>
      <c r="EE55" s="286"/>
      <c r="EF55" s="286"/>
      <c r="EG55" s="286"/>
      <c r="EH55" s="286"/>
      <c r="EI55" s="286"/>
      <c r="EJ55" s="286"/>
      <c r="EK55" s="286"/>
      <c r="EL55" s="286"/>
      <c r="EM55" s="286"/>
      <c r="EN55" s="286"/>
      <c r="EO55" s="286"/>
      <c r="EP55" s="286"/>
      <c r="EQ55" s="286"/>
      <c r="ER55" s="286"/>
      <c r="ES55" s="286"/>
      <c r="ET55" s="286"/>
      <c r="EU55" s="286"/>
      <c r="EV55" s="286"/>
      <c r="EW55" s="286"/>
      <c r="EX55" s="286"/>
      <c r="EY55" s="286"/>
      <c r="EZ55" s="286"/>
      <c r="FA55" s="286"/>
      <c r="FB55" s="286"/>
      <c r="FC55" s="286"/>
      <c r="FD55" s="286"/>
      <c r="FE55" s="286"/>
      <c r="FF55" s="286"/>
      <c r="FG55" s="286"/>
      <c r="FH55" s="286"/>
      <c r="FI55" s="286"/>
      <c r="FJ55" s="286"/>
      <c r="FK55" s="286"/>
      <c r="FL55" s="286"/>
      <c r="FM55" s="286"/>
      <c r="FN55" s="286"/>
      <c r="FO55" s="286"/>
      <c r="FP55" s="286"/>
      <c r="FQ55" s="286"/>
      <c r="FR55" s="286"/>
      <c r="FS55" s="286"/>
      <c r="FT55" s="286"/>
      <c r="FU55" s="286"/>
      <c r="FV55" s="286"/>
      <c r="FW55" s="286"/>
      <c r="FX55" s="286"/>
      <c r="FY55" s="286"/>
      <c r="FZ55" s="286"/>
      <c r="GA55" s="286"/>
      <c r="GB55" s="286"/>
      <c r="GC55" s="286"/>
      <c r="GD55" s="286"/>
      <c r="GE55" s="286"/>
      <c r="GF55" s="286"/>
      <c r="GG55" s="286"/>
      <c r="GH55" s="286"/>
      <c r="GI55" s="286"/>
      <c r="GJ55" s="286"/>
      <c r="GK55" s="286"/>
      <c r="GL55" s="286"/>
      <c r="GM55" s="286"/>
      <c r="GN55" s="286"/>
      <c r="GO55" s="286"/>
      <c r="GP55" s="286"/>
      <c r="GQ55" s="286"/>
      <c r="GR55" s="286"/>
      <c r="GS55" s="286"/>
      <c r="GT55" s="286"/>
      <c r="GU55" s="286"/>
      <c r="GV55" s="286"/>
      <c r="GW55" s="286"/>
      <c r="GX55" s="286"/>
      <c r="GY55" s="286"/>
    </row>
    <row r="56" spans="1:207" x14ac:dyDescent="0.25">
      <c r="A56" s="342"/>
      <c r="B56" s="342"/>
      <c r="C56" s="51" t="s">
        <v>621</v>
      </c>
      <c r="D56" s="12"/>
      <c r="E56" s="12"/>
      <c r="F56" s="10"/>
      <c r="G56" s="11"/>
      <c r="H56" s="29"/>
      <c r="I56" s="142">
        <v>272955</v>
      </c>
      <c r="J56" s="107"/>
      <c r="K56" s="143"/>
      <c r="L56" s="142">
        <v>220166</v>
      </c>
      <c r="M56" s="107"/>
      <c r="N56" s="143"/>
      <c r="O56" s="142">
        <v>230238</v>
      </c>
      <c r="P56" s="107"/>
      <c r="Q56" s="143"/>
      <c r="R56" s="142">
        <f t="shared" si="21"/>
        <v>723359</v>
      </c>
      <c r="S56" s="107"/>
      <c r="T56" s="143"/>
      <c r="U56" s="142">
        <f>502739+881</f>
        <v>503620</v>
      </c>
      <c r="V56" s="107"/>
      <c r="W56" s="143"/>
      <c r="X56" s="142">
        <f>264847+121152</f>
        <v>385999</v>
      </c>
      <c r="Y56" s="107"/>
      <c r="Z56" s="143"/>
      <c r="AA56" s="142">
        <f>287656-1050</f>
        <v>286606</v>
      </c>
      <c r="AB56" s="107"/>
      <c r="AC56" s="143"/>
      <c r="AD56" s="107">
        <f t="shared" si="22"/>
        <v>1176225</v>
      </c>
      <c r="AE56" s="107"/>
      <c r="AF56" s="143"/>
      <c r="AG56" s="142">
        <v>274298</v>
      </c>
      <c r="AH56" s="107"/>
      <c r="AI56" s="143"/>
      <c r="AJ56" s="142"/>
      <c r="AK56" s="107"/>
      <c r="AL56" s="143"/>
      <c r="AM56" s="142"/>
      <c r="AN56" s="107"/>
      <c r="AO56" s="143"/>
      <c r="AP56" s="142"/>
      <c r="AQ56" s="107"/>
      <c r="AR56" s="143"/>
      <c r="AS56" s="142"/>
      <c r="AT56" s="107"/>
      <c r="AU56" s="143"/>
      <c r="AV56" s="142"/>
      <c r="AW56" s="107"/>
      <c r="AX56" s="143"/>
      <c r="AY56" s="142"/>
      <c r="AZ56" s="107"/>
      <c r="BA56" s="143"/>
      <c r="BB56" s="142"/>
      <c r="BC56" s="107"/>
      <c r="BD56" s="143"/>
      <c r="BE56" s="107">
        <f t="shared" si="23"/>
        <v>2173882</v>
      </c>
      <c r="BF56" s="107"/>
      <c r="BG56" s="143"/>
      <c r="BH56" s="286"/>
      <c r="BI56" s="286"/>
      <c r="BJ56" s="286"/>
      <c r="BK56" s="286"/>
      <c r="BL56" s="286"/>
      <c r="BM56" s="286"/>
      <c r="BN56" s="286"/>
      <c r="BO56" s="286"/>
      <c r="BP56" s="286"/>
      <c r="BQ56" s="286"/>
      <c r="BR56" s="286"/>
      <c r="BS56" s="286"/>
      <c r="BT56" s="286"/>
      <c r="BU56" s="286"/>
      <c r="BV56" s="286"/>
      <c r="BW56" s="286"/>
      <c r="BX56" s="286"/>
      <c r="BY56" s="286"/>
      <c r="BZ56" s="286"/>
      <c r="CA56" s="286"/>
      <c r="CB56" s="286"/>
      <c r="CC56" s="286"/>
      <c r="CD56" s="286"/>
      <c r="CE56" s="286"/>
      <c r="CF56" s="286"/>
      <c r="CG56" s="286"/>
      <c r="CH56" s="286"/>
      <c r="CI56" s="286"/>
      <c r="CJ56" s="286"/>
      <c r="CK56" s="286"/>
      <c r="CL56" s="286"/>
      <c r="CM56" s="286"/>
      <c r="CN56" s="286"/>
      <c r="CO56" s="286"/>
      <c r="CP56" s="286"/>
      <c r="CQ56" s="286"/>
      <c r="CR56" s="286"/>
      <c r="CS56" s="286"/>
      <c r="CT56" s="286"/>
      <c r="CU56" s="286"/>
      <c r="CV56" s="286"/>
      <c r="CW56" s="286"/>
      <c r="CX56" s="286"/>
      <c r="CY56" s="286"/>
      <c r="CZ56" s="286"/>
      <c r="DA56" s="286"/>
      <c r="DB56" s="286"/>
      <c r="DC56" s="286"/>
      <c r="DD56" s="286"/>
      <c r="DE56" s="286"/>
      <c r="DF56" s="286"/>
      <c r="DG56" s="286"/>
      <c r="DH56" s="286"/>
      <c r="DI56" s="286"/>
      <c r="DJ56" s="286"/>
      <c r="DK56" s="286"/>
      <c r="DL56" s="286"/>
      <c r="DM56" s="286"/>
      <c r="DN56" s="286"/>
      <c r="DO56" s="286"/>
      <c r="DP56" s="286"/>
      <c r="DQ56" s="286"/>
      <c r="DR56" s="286"/>
      <c r="DS56" s="286"/>
      <c r="DT56" s="286"/>
      <c r="DU56" s="286"/>
      <c r="DV56" s="286"/>
      <c r="DW56" s="286"/>
      <c r="DX56" s="286"/>
      <c r="DY56" s="286"/>
      <c r="DZ56" s="286"/>
      <c r="EA56" s="286"/>
      <c r="EB56" s="286"/>
      <c r="EC56" s="286"/>
      <c r="ED56" s="286"/>
      <c r="EE56" s="286"/>
      <c r="EF56" s="286"/>
      <c r="EG56" s="286"/>
      <c r="EH56" s="286"/>
      <c r="EI56" s="286"/>
      <c r="EJ56" s="286"/>
      <c r="EK56" s="286"/>
      <c r="EL56" s="286"/>
      <c r="EM56" s="286"/>
      <c r="EN56" s="286"/>
      <c r="EO56" s="286"/>
      <c r="EP56" s="286"/>
      <c r="EQ56" s="286"/>
      <c r="ER56" s="286"/>
      <c r="ES56" s="286"/>
      <c r="ET56" s="286"/>
      <c r="EU56" s="286"/>
      <c r="EV56" s="286"/>
      <c r="EW56" s="286"/>
      <c r="EX56" s="286"/>
      <c r="EY56" s="286"/>
      <c r="EZ56" s="286"/>
      <c r="FA56" s="286"/>
      <c r="FB56" s="286"/>
      <c r="FC56" s="286"/>
      <c r="FD56" s="286"/>
      <c r="FE56" s="286"/>
      <c r="FF56" s="286"/>
      <c r="FG56" s="286"/>
      <c r="FH56" s="286"/>
      <c r="FI56" s="286"/>
      <c r="FJ56" s="286"/>
      <c r="FK56" s="286"/>
      <c r="FL56" s="286"/>
      <c r="FM56" s="286"/>
      <c r="FN56" s="286"/>
      <c r="FO56" s="286"/>
      <c r="FP56" s="286"/>
      <c r="FQ56" s="286"/>
      <c r="FR56" s="286"/>
      <c r="FS56" s="286"/>
      <c r="FT56" s="286"/>
      <c r="FU56" s="286"/>
      <c r="FV56" s="286"/>
      <c r="FW56" s="286"/>
      <c r="FX56" s="286"/>
      <c r="FY56" s="286"/>
      <c r="FZ56" s="286"/>
      <c r="GA56" s="286"/>
      <c r="GB56" s="286"/>
      <c r="GC56" s="286"/>
      <c r="GD56" s="286"/>
      <c r="GE56" s="286"/>
      <c r="GF56" s="286"/>
      <c r="GG56" s="286"/>
      <c r="GH56" s="286"/>
      <c r="GI56" s="286"/>
      <c r="GJ56" s="286"/>
      <c r="GK56" s="286"/>
      <c r="GL56" s="286"/>
      <c r="GM56" s="286"/>
      <c r="GN56" s="286"/>
      <c r="GO56" s="286"/>
      <c r="GP56" s="286"/>
      <c r="GQ56" s="286"/>
      <c r="GR56" s="286"/>
      <c r="GS56" s="286"/>
      <c r="GT56" s="286"/>
      <c r="GU56" s="286"/>
      <c r="GV56" s="286"/>
      <c r="GW56" s="286"/>
      <c r="GX56" s="286"/>
      <c r="GY56" s="286"/>
    </row>
    <row r="57" spans="1:207" x14ac:dyDescent="0.25">
      <c r="A57" s="342"/>
      <c r="B57" s="342"/>
      <c r="C57" s="51" t="s">
        <v>644</v>
      </c>
      <c r="D57" s="12"/>
      <c r="E57" s="12"/>
      <c r="F57" s="10"/>
      <c r="G57" s="11"/>
      <c r="H57" s="29"/>
      <c r="I57" s="142">
        <v>30000</v>
      </c>
      <c r="J57" s="107"/>
      <c r="K57" s="143"/>
      <c r="L57" s="142">
        <v>35000</v>
      </c>
      <c r="M57" s="107"/>
      <c r="N57" s="143"/>
      <c r="O57" s="142">
        <v>35000</v>
      </c>
      <c r="P57" s="107"/>
      <c r="Q57" s="143"/>
      <c r="R57" s="142">
        <f t="shared" si="21"/>
        <v>100000</v>
      </c>
      <c r="S57" s="107"/>
      <c r="T57" s="143"/>
      <c r="U57" s="142"/>
      <c r="V57" s="107"/>
      <c r="W57" s="143"/>
      <c r="X57" s="142">
        <v>0</v>
      </c>
      <c r="Y57" s="107"/>
      <c r="Z57" s="143"/>
      <c r="AA57" s="142">
        <v>-1000</v>
      </c>
      <c r="AB57" s="107"/>
      <c r="AC57" s="143"/>
      <c r="AD57" s="107">
        <f t="shared" si="22"/>
        <v>-1000</v>
      </c>
      <c r="AE57" s="107"/>
      <c r="AF57" s="143"/>
      <c r="AG57" s="142">
        <v>0</v>
      </c>
      <c r="AH57" s="107"/>
      <c r="AI57" s="143"/>
      <c r="AJ57" s="142"/>
      <c r="AK57" s="107"/>
      <c r="AL57" s="143"/>
      <c r="AM57" s="142"/>
      <c r="AN57" s="107"/>
      <c r="AO57" s="143"/>
      <c r="AP57" s="142"/>
      <c r="AQ57" s="107"/>
      <c r="AR57" s="143"/>
      <c r="AS57" s="142"/>
      <c r="AT57" s="107"/>
      <c r="AU57" s="143"/>
      <c r="AV57" s="142"/>
      <c r="AW57" s="107"/>
      <c r="AX57" s="143"/>
      <c r="AY57" s="142"/>
      <c r="AZ57" s="107"/>
      <c r="BA57" s="143"/>
      <c r="BB57" s="142"/>
      <c r="BC57" s="107"/>
      <c r="BD57" s="143"/>
      <c r="BE57" s="107">
        <f t="shared" si="23"/>
        <v>99000</v>
      </c>
      <c r="BF57" s="107"/>
      <c r="BG57" s="143"/>
      <c r="BH57" s="286"/>
      <c r="BI57" s="286"/>
      <c r="BJ57" s="286"/>
      <c r="BK57" s="286"/>
      <c r="BL57" s="286"/>
      <c r="BM57" s="286"/>
      <c r="BN57" s="286"/>
      <c r="BO57" s="286"/>
      <c r="BP57" s="286"/>
      <c r="BQ57" s="286"/>
      <c r="BR57" s="286"/>
      <c r="BS57" s="286"/>
      <c r="BT57" s="286"/>
      <c r="BU57" s="286"/>
      <c r="BV57" s="286"/>
      <c r="BW57" s="286"/>
      <c r="BX57" s="286"/>
      <c r="BY57" s="286"/>
      <c r="BZ57" s="286"/>
      <c r="CA57" s="286"/>
      <c r="CB57" s="286"/>
      <c r="CC57" s="286"/>
      <c r="CD57" s="286"/>
      <c r="CE57" s="286"/>
      <c r="CF57" s="286"/>
      <c r="CG57" s="286"/>
      <c r="CH57" s="286"/>
      <c r="CI57" s="286"/>
      <c r="CJ57" s="286"/>
      <c r="CK57" s="286"/>
      <c r="CL57" s="286"/>
      <c r="CM57" s="286"/>
      <c r="CN57" s="286"/>
      <c r="CO57" s="286"/>
      <c r="CP57" s="286"/>
      <c r="CQ57" s="286"/>
      <c r="CR57" s="286"/>
      <c r="CS57" s="286"/>
      <c r="CT57" s="286"/>
      <c r="CU57" s="286"/>
      <c r="CV57" s="286"/>
      <c r="CW57" s="286"/>
      <c r="CX57" s="286"/>
      <c r="CY57" s="286"/>
      <c r="CZ57" s="286"/>
      <c r="DA57" s="286"/>
      <c r="DB57" s="286"/>
      <c r="DC57" s="286"/>
      <c r="DD57" s="286"/>
      <c r="DE57" s="286"/>
      <c r="DF57" s="286"/>
      <c r="DG57" s="286"/>
      <c r="DH57" s="286"/>
      <c r="DI57" s="286"/>
      <c r="DJ57" s="286"/>
      <c r="DK57" s="286"/>
      <c r="DL57" s="286"/>
      <c r="DM57" s="286"/>
      <c r="DN57" s="286"/>
      <c r="DO57" s="286"/>
      <c r="DP57" s="286"/>
      <c r="DQ57" s="286"/>
      <c r="DR57" s="286"/>
      <c r="DS57" s="286"/>
      <c r="DT57" s="286"/>
      <c r="DU57" s="286"/>
      <c r="DV57" s="286"/>
      <c r="DW57" s="286"/>
      <c r="DX57" s="286"/>
      <c r="DY57" s="286"/>
      <c r="DZ57" s="286"/>
      <c r="EA57" s="286"/>
      <c r="EB57" s="286"/>
      <c r="EC57" s="286"/>
      <c r="ED57" s="286"/>
      <c r="EE57" s="286"/>
      <c r="EF57" s="286"/>
      <c r="EG57" s="286"/>
      <c r="EH57" s="286"/>
      <c r="EI57" s="286"/>
      <c r="EJ57" s="286"/>
      <c r="EK57" s="286"/>
      <c r="EL57" s="286"/>
      <c r="EM57" s="286"/>
      <c r="EN57" s="286"/>
      <c r="EO57" s="286"/>
      <c r="EP57" s="286"/>
      <c r="EQ57" s="286"/>
      <c r="ER57" s="286"/>
      <c r="ES57" s="286"/>
      <c r="ET57" s="286"/>
      <c r="EU57" s="286"/>
      <c r="EV57" s="286"/>
      <c r="EW57" s="286"/>
      <c r="EX57" s="286"/>
      <c r="EY57" s="286"/>
      <c r="EZ57" s="286"/>
      <c r="FA57" s="286"/>
      <c r="FB57" s="286"/>
      <c r="FC57" s="286"/>
      <c r="FD57" s="286"/>
      <c r="FE57" s="286"/>
      <c r="FF57" s="286"/>
      <c r="FG57" s="286"/>
      <c r="FH57" s="286"/>
      <c r="FI57" s="286"/>
      <c r="FJ57" s="286"/>
      <c r="FK57" s="286"/>
      <c r="FL57" s="286"/>
      <c r="FM57" s="286"/>
      <c r="FN57" s="286"/>
      <c r="FO57" s="286"/>
      <c r="FP57" s="286"/>
      <c r="FQ57" s="286"/>
      <c r="FR57" s="286"/>
      <c r="FS57" s="286"/>
      <c r="FT57" s="286"/>
      <c r="FU57" s="286"/>
      <c r="FV57" s="286"/>
      <c r="FW57" s="286"/>
      <c r="FX57" s="286"/>
      <c r="FY57" s="286"/>
      <c r="FZ57" s="286"/>
      <c r="GA57" s="286"/>
      <c r="GB57" s="286"/>
      <c r="GC57" s="286"/>
      <c r="GD57" s="286"/>
      <c r="GE57" s="286"/>
      <c r="GF57" s="286"/>
      <c r="GG57" s="286"/>
      <c r="GH57" s="286"/>
      <c r="GI57" s="286"/>
      <c r="GJ57" s="286"/>
      <c r="GK57" s="286"/>
      <c r="GL57" s="286"/>
      <c r="GM57" s="286"/>
      <c r="GN57" s="286"/>
      <c r="GO57" s="286"/>
      <c r="GP57" s="286"/>
      <c r="GQ57" s="286"/>
      <c r="GR57" s="286"/>
      <c r="GS57" s="286"/>
      <c r="GT57" s="286"/>
      <c r="GU57" s="286"/>
      <c r="GV57" s="286"/>
      <c r="GW57" s="286"/>
      <c r="GX57" s="286"/>
      <c r="GY57" s="286"/>
    </row>
    <row r="58" spans="1:207" x14ac:dyDescent="0.25">
      <c r="A58" s="342"/>
      <c r="B58" s="342"/>
      <c r="C58" s="51" t="s">
        <v>619</v>
      </c>
      <c r="D58" s="12"/>
      <c r="E58" s="12"/>
      <c r="F58" s="10"/>
      <c r="G58" s="11"/>
      <c r="H58" s="29"/>
      <c r="I58" s="142">
        <v>98500</v>
      </c>
      <c r="J58" s="107"/>
      <c r="K58" s="143"/>
      <c r="L58" s="142">
        <v>2500</v>
      </c>
      <c r="M58" s="107"/>
      <c r="N58" s="143"/>
      <c r="O58" s="142">
        <v>10700</v>
      </c>
      <c r="P58" s="107"/>
      <c r="Q58" s="143"/>
      <c r="R58" s="142">
        <f t="shared" si="21"/>
        <v>111700</v>
      </c>
      <c r="S58" s="107"/>
      <c r="T58" s="143"/>
      <c r="U58" s="186"/>
      <c r="V58" s="107"/>
      <c r="W58" s="143"/>
      <c r="X58" s="142">
        <v>0</v>
      </c>
      <c r="Y58" s="107"/>
      <c r="Z58" s="143"/>
      <c r="AA58" s="142">
        <v>0</v>
      </c>
      <c r="AB58" s="107"/>
      <c r="AC58" s="143"/>
      <c r="AD58" s="107">
        <f t="shared" si="22"/>
        <v>0</v>
      </c>
      <c r="AE58" s="107"/>
      <c r="AF58" s="143"/>
      <c r="AG58" s="142">
        <v>600</v>
      </c>
      <c r="AH58" s="107"/>
      <c r="AI58" s="143"/>
      <c r="AJ58" s="142"/>
      <c r="AK58" s="107"/>
      <c r="AL58" s="143"/>
      <c r="AM58" s="142"/>
      <c r="AN58" s="107"/>
      <c r="AO58" s="143"/>
      <c r="AP58" s="142"/>
      <c r="AQ58" s="107"/>
      <c r="AR58" s="143"/>
      <c r="AS58" s="142"/>
      <c r="AT58" s="107"/>
      <c r="AU58" s="143"/>
      <c r="AV58" s="142"/>
      <c r="AW58" s="107"/>
      <c r="AX58" s="143"/>
      <c r="AY58" s="142"/>
      <c r="AZ58" s="107"/>
      <c r="BA58" s="143"/>
      <c r="BB58" s="142"/>
      <c r="BC58" s="107"/>
      <c r="BD58" s="143"/>
      <c r="BE58" s="107">
        <f t="shared" si="23"/>
        <v>112300</v>
      </c>
      <c r="BF58" s="107"/>
      <c r="BG58" s="143"/>
      <c r="BH58" s="286"/>
      <c r="BI58" s="286"/>
      <c r="BJ58" s="286"/>
      <c r="BK58" s="286"/>
      <c r="BL58" s="286"/>
      <c r="BM58" s="286"/>
      <c r="BN58" s="286"/>
      <c r="BO58" s="286"/>
      <c r="BP58" s="286"/>
      <c r="BQ58" s="286"/>
      <c r="BR58" s="286"/>
      <c r="BS58" s="286"/>
      <c r="BT58" s="286"/>
      <c r="BU58" s="286"/>
      <c r="BV58" s="286"/>
      <c r="BW58" s="286"/>
      <c r="BX58" s="286"/>
      <c r="BY58" s="286"/>
      <c r="BZ58" s="286"/>
      <c r="CA58" s="286"/>
      <c r="CB58" s="286"/>
      <c r="CC58" s="286"/>
      <c r="CD58" s="286"/>
      <c r="CE58" s="286"/>
      <c r="CF58" s="286"/>
      <c r="CG58" s="286"/>
      <c r="CH58" s="286"/>
      <c r="CI58" s="286"/>
      <c r="CJ58" s="286"/>
      <c r="CK58" s="286"/>
      <c r="CL58" s="286"/>
      <c r="CM58" s="286"/>
      <c r="CN58" s="286"/>
      <c r="CO58" s="286"/>
      <c r="CP58" s="286"/>
      <c r="CQ58" s="286"/>
      <c r="CR58" s="286"/>
      <c r="CS58" s="286"/>
      <c r="CT58" s="286"/>
      <c r="CU58" s="286"/>
      <c r="CV58" s="286"/>
      <c r="CW58" s="286"/>
      <c r="CX58" s="286"/>
      <c r="CY58" s="286"/>
      <c r="CZ58" s="286"/>
      <c r="DA58" s="286"/>
      <c r="DB58" s="286"/>
      <c r="DC58" s="286"/>
      <c r="DD58" s="286"/>
      <c r="DE58" s="286"/>
      <c r="DF58" s="286"/>
      <c r="DG58" s="286"/>
      <c r="DH58" s="286"/>
      <c r="DI58" s="286"/>
      <c r="DJ58" s="286"/>
      <c r="DK58" s="286"/>
      <c r="DL58" s="286"/>
      <c r="DM58" s="286"/>
      <c r="DN58" s="286"/>
      <c r="DO58" s="286"/>
      <c r="DP58" s="286"/>
      <c r="DQ58" s="286"/>
      <c r="DR58" s="286"/>
      <c r="DS58" s="286"/>
      <c r="DT58" s="286"/>
      <c r="DU58" s="286"/>
      <c r="DV58" s="286"/>
      <c r="DW58" s="286"/>
      <c r="DX58" s="286"/>
      <c r="DY58" s="286"/>
      <c r="DZ58" s="286"/>
      <c r="EA58" s="286"/>
      <c r="EB58" s="286"/>
      <c r="EC58" s="286"/>
      <c r="ED58" s="286"/>
      <c r="EE58" s="286"/>
      <c r="EF58" s="286"/>
      <c r="EG58" s="286"/>
      <c r="EH58" s="286"/>
      <c r="EI58" s="286"/>
      <c r="EJ58" s="286"/>
      <c r="EK58" s="286"/>
      <c r="EL58" s="286"/>
      <c r="EM58" s="286"/>
      <c r="EN58" s="286"/>
      <c r="EO58" s="286"/>
      <c r="EP58" s="286"/>
      <c r="EQ58" s="286"/>
      <c r="ER58" s="286"/>
      <c r="ES58" s="286"/>
      <c r="ET58" s="286"/>
      <c r="EU58" s="286"/>
      <c r="EV58" s="286"/>
      <c r="EW58" s="286"/>
      <c r="EX58" s="286"/>
      <c r="EY58" s="286"/>
      <c r="EZ58" s="286"/>
      <c r="FA58" s="286"/>
      <c r="FB58" s="286"/>
      <c r="FC58" s="286"/>
      <c r="FD58" s="286"/>
      <c r="FE58" s="286"/>
      <c r="FF58" s="286"/>
      <c r="FG58" s="286"/>
      <c r="FH58" s="286"/>
      <c r="FI58" s="286"/>
      <c r="FJ58" s="286"/>
      <c r="FK58" s="286"/>
      <c r="FL58" s="286"/>
      <c r="FM58" s="286"/>
      <c r="FN58" s="286"/>
      <c r="FO58" s="286"/>
      <c r="FP58" s="286"/>
      <c r="FQ58" s="286"/>
      <c r="FR58" s="286"/>
      <c r="FS58" s="286"/>
      <c r="FT58" s="286"/>
      <c r="FU58" s="286"/>
      <c r="FV58" s="286"/>
      <c r="FW58" s="286"/>
      <c r="FX58" s="286"/>
      <c r="FY58" s="286"/>
      <c r="FZ58" s="286"/>
      <c r="GA58" s="286"/>
      <c r="GB58" s="286"/>
      <c r="GC58" s="286"/>
      <c r="GD58" s="286"/>
      <c r="GE58" s="286"/>
      <c r="GF58" s="286"/>
      <c r="GG58" s="286"/>
      <c r="GH58" s="286"/>
      <c r="GI58" s="286"/>
      <c r="GJ58" s="286"/>
      <c r="GK58" s="286"/>
      <c r="GL58" s="286"/>
      <c r="GM58" s="286"/>
      <c r="GN58" s="286"/>
      <c r="GO58" s="286"/>
      <c r="GP58" s="286"/>
      <c r="GQ58" s="286"/>
      <c r="GR58" s="286"/>
      <c r="GS58" s="286"/>
      <c r="GT58" s="286"/>
      <c r="GU58" s="286"/>
      <c r="GV58" s="286"/>
      <c r="GW58" s="286"/>
      <c r="GX58" s="286"/>
      <c r="GY58" s="286"/>
    </row>
    <row r="59" spans="1:207" x14ac:dyDescent="0.25">
      <c r="A59" s="342"/>
      <c r="B59" s="342"/>
      <c r="C59" s="51"/>
      <c r="D59" s="12"/>
      <c r="E59" s="12"/>
      <c r="F59" s="10"/>
      <c r="G59" s="11"/>
      <c r="H59" s="29"/>
      <c r="I59" s="142"/>
      <c r="J59" s="107"/>
      <c r="K59" s="143"/>
      <c r="L59" s="142"/>
      <c r="M59" s="107"/>
      <c r="N59" s="143"/>
      <c r="O59" s="142"/>
      <c r="P59" s="107"/>
      <c r="Q59" s="143"/>
      <c r="R59" s="142"/>
      <c r="S59" s="107"/>
      <c r="T59" s="143"/>
      <c r="U59" s="142"/>
      <c r="V59" s="107"/>
      <c r="W59" s="143"/>
      <c r="X59" s="142"/>
      <c r="Y59" s="107"/>
      <c r="Z59" s="143"/>
      <c r="AA59" s="142"/>
      <c r="AB59" s="107"/>
      <c r="AC59" s="143"/>
      <c r="AD59" s="142"/>
      <c r="AE59" s="107"/>
      <c r="AF59" s="143"/>
      <c r="AG59" s="142"/>
      <c r="AH59" s="107"/>
      <c r="AI59" s="143"/>
      <c r="AJ59" s="142"/>
      <c r="AK59" s="107"/>
      <c r="AL59" s="143"/>
      <c r="AM59" s="142"/>
      <c r="AN59" s="107"/>
      <c r="AO59" s="143"/>
      <c r="AP59" s="142"/>
      <c r="AQ59" s="107"/>
      <c r="AR59" s="143"/>
      <c r="AS59" s="142"/>
      <c r="AT59" s="107"/>
      <c r="AU59" s="143"/>
      <c r="AV59" s="142"/>
      <c r="AW59" s="107"/>
      <c r="AX59" s="143"/>
      <c r="AY59" s="142"/>
      <c r="AZ59" s="107"/>
      <c r="BA59" s="143"/>
      <c r="BB59" s="142"/>
      <c r="BC59" s="107"/>
      <c r="BD59" s="143"/>
      <c r="BE59" s="142"/>
      <c r="BF59" s="107"/>
      <c r="BG59" s="143"/>
      <c r="BH59" s="286"/>
      <c r="BI59" s="286"/>
      <c r="BJ59" s="286"/>
      <c r="BK59" s="286"/>
      <c r="BL59" s="286"/>
      <c r="BM59" s="286"/>
      <c r="BN59" s="286"/>
      <c r="BO59" s="286"/>
      <c r="BP59" s="286"/>
      <c r="BQ59" s="286"/>
      <c r="BR59" s="286"/>
      <c r="BS59" s="286"/>
      <c r="BT59" s="286"/>
      <c r="BU59" s="286"/>
      <c r="BV59" s="286"/>
      <c r="BW59" s="286"/>
      <c r="BX59" s="286"/>
      <c r="BY59" s="286"/>
      <c r="BZ59" s="286"/>
      <c r="CA59" s="286"/>
      <c r="CB59" s="286"/>
      <c r="CC59" s="286"/>
      <c r="CD59" s="286"/>
      <c r="CE59" s="286"/>
      <c r="CF59" s="286"/>
      <c r="CG59" s="286"/>
      <c r="CH59" s="286"/>
      <c r="CI59" s="286"/>
      <c r="CJ59" s="286"/>
      <c r="CK59" s="286"/>
      <c r="CL59" s="286"/>
      <c r="CM59" s="286"/>
      <c r="CN59" s="286"/>
      <c r="CO59" s="286"/>
      <c r="CP59" s="286"/>
      <c r="CQ59" s="286"/>
      <c r="CR59" s="286"/>
      <c r="CS59" s="286"/>
      <c r="CT59" s="286"/>
      <c r="CU59" s="286"/>
      <c r="CV59" s="286"/>
      <c r="CW59" s="286"/>
      <c r="CX59" s="286"/>
      <c r="CY59" s="286"/>
      <c r="CZ59" s="286"/>
      <c r="DA59" s="286"/>
      <c r="DB59" s="286"/>
      <c r="DC59" s="286"/>
      <c r="DD59" s="286"/>
      <c r="DE59" s="286"/>
      <c r="DF59" s="286"/>
      <c r="DG59" s="286"/>
      <c r="DH59" s="286"/>
      <c r="DI59" s="286"/>
      <c r="DJ59" s="286"/>
      <c r="DK59" s="286"/>
      <c r="DL59" s="286"/>
      <c r="DM59" s="286"/>
      <c r="DN59" s="286"/>
      <c r="DO59" s="286"/>
      <c r="DP59" s="286"/>
      <c r="DQ59" s="286"/>
      <c r="DR59" s="286"/>
      <c r="DS59" s="286"/>
      <c r="DT59" s="286"/>
      <c r="DU59" s="286"/>
      <c r="DV59" s="286"/>
      <c r="DW59" s="286"/>
      <c r="DX59" s="286"/>
      <c r="DY59" s="286"/>
      <c r="DZ59" s="286"/>
      <c r="EA59" s="286"/>
      <c r="EB59" s="286"/>
      <c r="EC59" s="286"/>
      <c r="ED59" s="286"/>
      <c r="EE59" s="286"/>
      <c r="EF59" s="286"/>
      <c r="EG59" s="286"/>
      <c r="EH59" s="286"/>
      <c r="EI59" s="286"/>
      <c r="EJ59" s="286"/>
      <c r="EK59" s="286"/>
      <c r="EL59" s="286"/>
      <c r="EM59" s="286"/>
      <c r="EN59" s="286"/>
      <c r="EO59" s="286"/>
      <c r="EP59" s="286"/>
      <c r="EQ59" s="286"/>
      <c r="ER59" s="286"/>
      <c r="ES59" s="286"/>
      <c r="ET59" s="286"/>
      <c r="EU59" s="286"/>
      <c r="EV59" s="286"/>
      <c r="EW59" s="286"/>
      <c r="EX59" s="286"/>
      <c r="EY59" s="286"/>
      <c r="EZ59" s="286"/>
      <c r="FA59" s="286"/>
      <c r="FB59" s="286"/>
      <c r="FC59" s="286"/>
      <c r="FD59" s="286"/>
      <c r="FE59" s="286"/>
      <c r="FF59" s="286"/>
      <c r="FG59" s="286"/>
      <c r="FH59" s="286"/>
      <c r="FI59" s="286"/>
      <c r="FJ59" s="286"/>
      <c r="FK59" s="286"/>
      <c r="FL59" s="286"/>
      <c r="FM59" s="286"/>
      <c r="FN59" s="286"/>
      <c r="FO59" s="286"/>
      <c r="FP59" s="286"/>
      <c r="FQ59" s="286"/>
      <c r="FR59" s="286"/>
      <c r="FS59" s="286"/>
      <c r="FT59" s="286"/>
      <c r="FU59" s="286"/>
      <c r="FV59" s="286"/>
      <c r="FW59" s="286"/>
      <c r="FX59" s="286"/>
      <c r="FY59" s="286"/>
      <c r="FZ59" s="286"/>
      <c r="GA59" s="286"/>
      <c r="GB59" s="286"/>
      <c r="GC59" s="286"/>
      <c r="GD59" s="286"/>
      <c r="GE59" s="286"/>
      <c r="GF59" s="286"/>
      <c r="GG59" s="286"/>
      <c r="GH59" s="286"/>
      <c r="GI59" s="286"/>
      <c r="GJ59" s="286"/>
      <c r="GK59" s="286"/>
      <c r="GL59" s="286"/>
      <c r="GM59" s="286"/>
      <c r="GN59" s="286"/>
      <c r="GO59" s="286"/>
      <c r="GP59" s="286"/>
      <c r="GQ59" s="286"/>
      <c r="GR59" s="286"/>
      <c r="GS59" s="286"/>
      <c r="GT59" s="286"/>
      <c r="GU59" s="286"/>
      <c r="GV59" s="286"/>
      <c r="GW59" s="286"/>
      <c r="GX59" s="286"/>
      <c r="GY59" s="286"/>
    </row>
    <row r="60" spans="1:207" ht="3.75" customHeight="1" x14ac:dyDescent="0.25">
      <c r="A60" s="342"/>
      <c r="B60" s="342"/>
      <c r="C60" s="68"/>
      <c r="D60" s="12"/>
      <c r="E60" s="12"/>
      <c r="F60" s="10"/>
      <c r="G60" s="11"/>
      <c r="H60" s="29"/>
      <c r="I60" s="142"/>
      <c r="J60" s="107"/>
      <c r="K60" s="143"/>
      <c r="L60" s="142"/>
      <c r="M60" s="107"/>
      <c r="N60" s="143"/>
      <c r="O60" s="142"/>
      <c r="P60" s="107"/>
      <c r="Q60" s="143"/>
      <c r="R60" s="142"/>
      <c r="S60" s="107"/>
      <c r="T60" s="143"/>
      <c r="U60" s="142"/>
      <c r="V60" s="107"/>
      <c r="W60" s="143"/>
      <c r="X60" s="142"/>
      <c r="Y60" s="107"/>
      <c r="Z60" s="143"/>
      <c r="AA60" s="142"/>
      <c r="AB60" s="107"/>
      <c r="AC60" s="143"/>
      <c r="AD60" s="142"/>
      <c r="AE60" s="107"/>
      <c r="AF60" s="143"/>
      <c r="AG60" s="142"/>
      <c r="AH60" s="107"/>
      <c r="AI60" s="143"/>
      <c r="AJ60" s="142"/>
      <c r="AK60" s="107"/>
      <c r="AL60" s="143"/>
      <c r="AM60" s="142"/>
      <c r="AN60" s="107"/>
      <c r="AO60" s="143"/>
      <c r="AP60" s="142"/>
      <c r="AQ60" s="107"/>
      <c r="AR60" s="143"/>
      <c r="AS60" s="142"/>
      <c r="AT60" s="107"/>
      <c r="AU60" s="143"/>
      <c r="AV60" s="142"/>
      <c r="AW60" s="107"/>
      <c r="AX60" s="143"/>
      <c r="AY60" s="142"/>
      <c r="AZ60" s="107"/>
      <c r="BA60" s="143"/>
      <c r="BB60" s="142"/>
      <c r="BC60" s="107"/>
      <c r="BD60" s="143"/>
      <c r="BE60" s="142"/>
      <c r="BF60" s="107"/>
      <c r="BG60" s="143"/>
      <c r="BH60" s="286"/>
      <c r="BI60" s="286"/>
      <c r="BJ60" s="286"/>
      <c r="BK60" s="286"/>
      <c r="BL60" s="286"/>
      <c r="BM60" s="286"/>
      <c r="BN60" s="286"/>
      <c r="BO60" s="286"/>
      <c r="BP60" s="286"/>
      <c r="BQ60" s="286"/>
      <c r="BR60" s="286"/>
      <c r="BS60" s="286"/>
      <c r="BT60" s="286"/>
      <c r="BU60" s="286"/>
      <c r="BV60" s="286"/>
      <c r="BW60" s="286"/>
      <c r="BX60" s="286"/>
      <c r="BY60" s="286"/>
      <c r="BZ60" s="286"/>
      <c r="CA60" s="286"/>
      <c r="CB60" s="286"/>
      <c r="CC60" s="286"/>
      <c r="CD60" s="286"/>
      <c r="CE60" s="286"/>
      <c r="CF60" s="286"/>
      <c r="CG60" s="286"/>
      <c r="CH60" s="286"/>
      <c r="CI60" s="286"/>
      <c r="CJ60" s="286"/>
      <c r="CK60" s="286"/>
      <c r="CL60" s="286"/>
      <c r="CM60" s="286"/>
      <c r="CN60" s="286"/>
      <c r="CO60" s="286"/>
      <c r="CP60" s="286"/>
      <c r="CQ60" s="286"/>
      <c r="CR60" s="286"/>
      <c r="CS60" s="286"/>
      <c r="CT60" s="286"/>
      <c r="CU60" s="286"/>
      <c r="CV60" s="286"/>
      <c r="CW60" s="286"/>
      <c r="CX60" s="286"/>
      <c r="CY60" s="286"/>
      <c r="CZ60" s="286"/>
      <c r="DA60" s="286"/>
      <c r="DB60" s="286"/>
      <c r="DC60" s="286"/>
      <c r="DD60" s="286"/>
      <c r="DE60" s="286"/>
      <c r="DF60" s="286"/>
      <c r="DG60" s="286"/>
      <c r="DH60" s="286"/>
      <c r="DI60" s="286"/>
      <c r="DJ60" s="286"/>
      <c r="DK60" s="286"/>
      <c r="DL60" s="286"/>
      <c r="DM60" s="286"/>
      <c r="DN60" s="286"/>
      <c r="DO60" s="286"/>
      <c r="DP60" s="286"/>
      <c r="DQ60" s="286"/>
      <c r="DR60" s="286"/>
      <c r="DS60" s="286"/>
      <c r="DT60" s="286"/>
      <c r="DU60" s="286"/>
      <c r="DV60" s="286"/>
      <c r="DW60" s="286"/>
      <c r="DX60" s="286"/>
      <c r="DY60" s="286"/>
      <c r="DZ60" s="286"/>
      <c r="EA60" s="286"/>
      <c r="EB60" s="286"/>
      <c r="EC60" s="286"/>
      <c r="ED60" s="286"/>
      <c r="EE60" s="286"/>
      <c r="EF60" s="286"/>
      <c r="EG60" s="286"/>
      <c r="EH60" s="286"/>
      <c r="EI60" s="286"/>
      <c r="EJ60" s="286"/>
      <c r="EK60" s="286"/>
      <c r="EL60" s="286"/>
      <c r="EM60" s="286"/>
      <c r="EN60" s="286"/>
      <c r="EO60" s="286"/>
      <c r="EP60" s="286"/>
      <c r="EQ60" s="286"/>
      <c r="ER60" s="286"/>
      <c r="ES60" s="286"/>
      <c r="ET60" s="286"/>
      <c r="EU60" s="286"/>
      <c r="EV60" s="286"/>
      <c r="EW60" s="286"/>
      <c r="EX60" s="286"/>
      <c r="EY60" s="286"/>
      <c r="EZ60" s="286"/>
      <c r="FA60" s="286"/>
      <c r="FB60" s="286"/>
      <c r="FC60" s="286"/>
      <c r="FD60" s="286"/>
      <c r="FE60" s="286"/>
      <c r="FF60" s="286"/>
      <c r="FG60" s="286"/>
      <c r="FH60" s="286"/>
      <c r="FI60" s="286"/>
      <c r="FJ60" s="286"/>
      <c r="FK60" s="286"/>
      <c r="FL60" s="286"/>
      <c r="FM60" s="286"/>
      <c r="FN60" s="286"/>
      <c r="FO60" s="286"/>
      <c r="FP60" s="286"/>
      <c r="FQ60" s="286"/>
      <c r="FR60" s="286"/>
      <c r="FS60" s="286"/>
      <c r="FT60" s="286"/>
      <c r="FU60" s="286"/>
      <c r="FV60" s="286"/>
      <c r="FW60" s="286"/>
      <c r="FX60" s="286"/>
      <c r="FY60" s="286"/>
      <c r="FZ60" s="286"/>
      <c r="GA60" s="286"/>
      <c r="GB60" s="286"/>
      <c r="GC60" s="286"/>
      <c r="GD60" s="286"/>
      <c r="GE60" s="286"/>
      <c r="GF60" s="286"/>
      <c r="GG60" s="286"/>
      <c r="GH60" s="286"/>
      <c r="GI60" s="286"/>
      <c r="GJ60" s="286"/>
      <c r="GK60" s="286"/>
      <c r="GL60" s="286"/>
      <c r="GM60" s="286"/>
      <c r="GN60" s="286"/>
      <c r="GO60" s="286"/>
      <c r="GP60" s="286"/>
      <c r="GQ60" s="286"/>
      <c r="GR60" s="286"/>
      <c r="GS60" s="286"/>
      <c r="GT60" s="286"/>
      <c r="GU60" s="286"/>
      <c r="GV60" s="286"/>
      <c r="GW60" s="286"/>
      <c r="GX60" s="286"/>
      <c r="GY60" s="286"/>
    </row>
    <row r="61" spans="1:207" s="278" customFormat="1" ht="15.75" thickBot="1" x14ac:dyDescent="0.3">
      <c r="A61" s="342"/>
      <c r="B61" s="342"/>
      <c r="C61" s="69" t="s">
        <v>87</v>
      </c>
      <c r="D61" s="266"/>
      <c r="E61" s="266"/>
      <c r="F61" s="267"/>
      <c r="G61" s="268"/>
      <c r="H61" s="269"/>
      <c r="I61" s="275">
        <f>I51-SUM(I53:I59)</f>
        <v>3673417.1700869566</v>
      </c>
      <c r="J61" s="273"/>
      <c r="K61" s="274"/>
      <c r="L61" s="275">
        <f>L51-SUM(L53:L59)</f>
        <v>4025414.4426086955</v>
      </c>
      <c r="M61" s="273"/>
      <c r="N61" s="274"/>
      <c r="O61" s="275">
        <f>O51-SUM(O53:O59)</f>
        <v>3487069.5495652203</v>
      </c>
      <c r="P61" s="273"/>
      <c r="Q61" s="274"/>
      <c r="R61" s="275">
        <f>R51-SUM(R53:R59)</f>
        <v>11185901.162260871</v>
      </c>
      <c r="S61" s="273"/>
      <c r="T61" s="274"/>
      <c r="U61" s="275">
        <f>U51-SUM(U53:U59)</f>
        <v>1888702</v>
      </c>
      <c r="V61" s="273"/>
      <c r="W61" s="274"/>
      <c r="X61" s="275">
        <f>X51-SUM(X53:X58)</f>
        <v>4080764</v>
      </c>
      <c r="Y61" s="273"/>
      <c r="Z61" s="274"/>
      <c r="AA61" s="270">
        <f>AA51-SUM(AA53:AA58)</f>
        <v>3827585.5199999996</v>
      </c>
      <c r="AB61" s="273"/>
      <c r="AC61" s="274"/>
      <c r="AD61" s="270">
        <f>AD51-SUM(AD53:AD58)</f>
        <v>9797051.5199999996</v>
      </c>
      <c r="AE61" s="273"/>
      <c r="AF61" s="274"/>
      <c r="AG61" s="270">
        <f>AG51-SUM(AG53:AG58)</f>
        <v>3897680.0399999991</v>
      </c>
      <c r="AH61" s="273"/>
      <c r="AI61" s="274"/>
      <c r="AJ61" s="275"/>
      <c r="AK61" s="273"/>
      <c r="AL61" s="274"/>
      <c r="AM61" s="275"/>
      <c r="AN61" s="273"/>
      <c r="AO61" s="274"/>
      <c r="AP61" s="275"/>
      <c r="AQ61" s="273"/>
      <c r="AR61" s="274"/>
      <c r="AS61" s="275"/>
      <c r="AT61" s="273"/>
      <c r="AU61" s="274"/>
      <c r="AV61" s="275"/>
      <c r="AW61" s="273"/>
      <c r="AX61" s="274"/>
      <c r="AY61" s="275"/>
      <c r="AZ61" s="273"/>
      <c r="BA61" s="274"/>
      <c r="BB61" s="275"/>
      <c r="BC61" s="273"/>
      <c r="BD61" s="274"/>
      <c r="BE61" s="275">
        <f>BE51-SUM(BE53:BE58)</f>
        <v>24880632.722260881</v>
      </c>
      <c r="BF61" s="273"/>
      <c r="BG61" s="274"/>
      <c r="BH61" s="286"/>
      <c r="BI61" s="286"/>
      <c r="BJ61" s="286"/>
      <c r="BK61" s="286"/>
      <c r="BL61" s="286"/>
      <c r="BM61" s="286"/>
      <c r="BN61" s="286"/>
      <c r="BO61" s="286"/>
      <c r="BP61" s="286"/>
      <c r="BQ61" s="286"/>
      <c r="BR61" s="286"/>
      <c r="BS61" s="286"/>
      <c r="BT61" s="286"/>
      <c r="BU61" s="286"/>
      <c r="BV61" s="286"/>
      <c r="BW61" s="286"/>
      <c r="BX61" s="286"/>
      <c r="BY61" s="286"/>
      <c r="BZ61" s="286"/>
      <c r="CA61" s="286"/>
      <c r="CB61" s="286"/>
      <c r="CC61" s="286"/>
      <c r="CD61" s="286"/>
      <c r="CE61" s="286"/>
      <c r="CF61" s="286"/>
      <c r="CG61" s="286"/>
      <c r="CH61" s="286"/>
      <c r="CI61" s="286"/>
      <c r="CJ61" s="286"/>
      <c r="CK61" s="286"/>
      <c r="CL61" s="286"/>
      <c r="CM61" s="286"/>
      <c r="CN61" s="286"/>
      <c r="CO61" s="286"/>
      <c r="CP61" s="286"/>
      <c r="CQ61" s="286"/>
      <c r="CR61" s="286"/>
      <c r="CS61" s="286"/>
      <c r="CT61" s="286"/>
      <c r="CU61" s="286"/>
      <c r="CV61" s="286"/>
      <c r="CW61" s="286"/>
      <c r="CX61" s="286"/>
      <c r="CY61" s="286"/>
      <c r="CZ61" s="286"/>
      <c r="DA61" s="286"/>
      <c r="DB61" s="286"/>
      <c r="DC61" s="286"/>
      <c r="DD61" s="286"/>
      <c r="DE61" s="286"/>
      <c r="DF61" s="286"/>
      <c r="DG61" s="286"/>
      <c r="DH61" s="286"/>
      <c r="DI61" s="286"/>
      <c r="DJ61" s="286"/>
      <c r="DK61" s="286"/>
      <c r="DL61" s="286"/>
      <c r="DM61" s="286"/>
      <c r="DN61" s="286"/>
      <c r="DO61" s="286"/>
      <c r="DP61" s="286"/>
      <c r="DQ61" s="286"/>
      <c r="DR61" s="286"/>
      <c r="DS61" s="286"/>
      <c r="DT61" s="286"/>
      <c r="DU61" s="286"/>
      <c r="DV61" s="286"/>
      <c r="DW61" s="286"/>
      <c r="DX61" s="286"/>
      <c r="DY61" s="286"/>
      <c r="DZ61" s="286"/>
      <c r="EA61" s="286"/>
      <c r="EB61" s="286"/>
      <c r="EC61" s="286"/>
      <c r="ED61" s="286"/>
      <c r="EE61" s="286"/>
      <c r="EF61" s="286"/>
      <c r="EG61" s="286"/>
      <c r="EH61" s="286"/>
      <c r="EI61" s="286"/>
      <c r="EJ61" s="286"/>
      <c r="EK61" s="286"/>
      <c r="EL61" s="286"/>
      <c r="EM61" s="286"/>
      <c r="EN61" s="286"/>
      <c r="EO61" s="286"/>
      <c r="EP61" s="286"/>
      <c r="EQ61" s="286"/>
      <c r="ER61" s="286"/>
      <c r="ES61" s="286"/>
      <c r="ET61" s="286"/>
      <c r="EU61" s="286"/>
      <c r="EV61" s="286"/>
      <c r="EW61" s="286"/>
      <c r="EX61" s="286"/>
      <c r="EY61" s="286"/>
      <c r="EZ61" s="286"/>
      <c r="FA61" s="286"/>
      <c r="FB61" s="286"/>
      <c r="FC61" s="286"/>
      <c r="FD61" s="286"/>
      <c r="FE61" s="286"/>
      <c r="FF61" s="286"/>
      <c r="FG61" s="286"/>
      <c r="FH61" s="286"/>
      <c r="FI61" s="286"/>
      <c r="FJ61" s="286"/>
      <c r="FK61" s="286"/>
      <c r="FL61" s="286"/>
      <c r="FM61" s="286"/>
      <c r="FN61" s="286"/>
      <c r="FO61" s="286"/>
      <c r="FP61" s="286"/>
      <c r="FQ61" s="286"/>
      <c r="FR61" s="286"/>
      <c r="FS61" s="286"/>
      <c r="FT61" s="286"/>
      <c r="FU61" s="286"/>
      <c r="FV61" s="286"/>
      <c r="FW61" s="286"/>
      <c r="FX61" s="286"/>
      <c r="FY61" s="286"/>
      <c r="FZ61" s="286"/>
      <c r="GA61" s="286"/>
      <c r="GB61" s="286"/>
      <c r="GC61" s="286"/>
      <c r="GD61" s="286"/>
      <c r="GE61" s="286"/>
      <c r="GF61" s="286"/>
      <c r="GG61" s="286"/>
      <c r="GH61" s="286"/>
      <c r="GI61" s="286"/>
      <c r="GJ61" s="286"/>
      <c r="GK61" s="286"/>
      <c r="GL61" s="286"/>
      <c r="GM61" s="286"/>
      <c r="GN61" s="286"/>
      <c r="GO61" s="286"/>
      <c r="GP61" s="286"/>
      <c r="GQ61" s="286"/>
      <c r="GR61" s="286"/>
      <c r="GS61" s="286"/>
      <c r="GT61" s="286"/>
      <c r="GU61" s="286"/>
      <c r="GV61" s="286"/>
      <c r="GW61" s="286"/>
      <c r="GX61" s="286"/>
      <c r="GY61" s="286"/>
    </row>
    <row r="62" spans="1:207" ht="5.25" customHeight="1" thickBot="1" x14ac:dyDescent="0.3">
      <c r="A62" s="342"/>
      <c r="B62" s="342"/>
      <c r="D62" s="12"/>
      <c r="E62" s="12"/>
      <c r="F62" s="10"/>
      <c r="G62" s="11"/>
      <c r="H62" s="29"/>
      <c r="I62" s="159"/>
      <c r="J62" s="11"/>
      <c r="K62" s="160"/>
      <c r="L62" s="159"/>
      <c r="M62" s="11"/>
      <c r="N62" s="160"/>
      <c r="O62" s="159"/>
      <c r="P62" s="11"/>
      <c r="Q62" s="160"/>
      <c r="R62" s="159"/>
      <c r="S62" s="11"/>
      <c r="T62" s="160"/>
      <c r="U62" s="159"/>
      <c r="V62" s="11"/>
      <c r="W62" s="160"/>
      <c r="X62" s="159"/>
      <c r="Y62" s="11"/>
      <c r="Z62" s="160"/>
      <c r="AA62" s="159"/>
      <c r="AB62" s="11"/>
      <c r="AC62" s="160"/>
      <c r="AD62" s="159"/>
      <c r="AE62" s="11"/>
      <c r="AF62" s="160"/>
      <c r="AG62" s="159"/>
      <c r="AH62" s="11"/>
      <c r="AI62" s="160"/>
      <c r="AJ62" s="159"/>
      <c r="AK62" s="11"/>
      <c r="AL62" s="160"/>
      <c r="AM62" s="159"/>
      <c r="AN62" s="11"/>
      <c r="AO62" s="160"/>
      <c r="AP62" s="159"/>
      <c r="AQ62" s="11"/>
      <c r="AR62" s="160"/>
      <c r="AS62" s="159"/>
      <c r="AT62" s="11"/>
      <c r="AU62" s="160"/>
      <c r="AV62" s="159"/>
      <c r="AW62" s="11"/>
      <c r="AX62" s="160"/>
      <c r="AY62" s="159"/>
      <c r="AZ62" s="11"/>
      <c r="BA62" s="160"/>
      <c r="BB62" s="159"/>
      <c r="BC62" s="11"/>
      <c r="BD62" s="160"/>
      <c r="BE62" s="159"/>
      <c r="BF62" s="11"/>
      <c r="BG62" s="160"/>
      <c r="BH62" s="286"/>
      <c r="BI62" s="286"/>
      <c r="BJ62" s="286"/>
      <c r="BK62" s="286"/>
      <c r="BL62" s="286"/>
      <c r="BM62" s="286"/>
      <c r="BN62" s="286"/>
      <c r="BO62" s="286"/>
      <c r="BP62" s="286"/>
      <c r="BQ62" s="286"/>
      <c r="BR62" s="286"/>
      <c r="BS62" s="286"/>
      <c r="BT62" s="286"/>
      <c r="BU62" s="286"/>
      <c r="BV62" s="286"/>
      <c r="BW62" s="286"/>
      <c r="BX62" s="286"/>
      <c r="BY62" s="286"/>
      <c r="BZ62" s="286"/>
      <c r="CA62" s="286"/>
      <c r="CB62" s="286"/>
      <c r="CC62" s="286"/>
      <c r="CD62" s="286"/>
      <c r="CE62" s="286"/>
      <c r="CF62" s="286"/>
      <c r="CG62" s="286"/>
      <c r="CH62" s="286"/>
      <c r="CI62" s="286"/>
      <c r="CJ62" s="286"/>
      <c r="CK62" s="286"/>
      <c r="CL62" s="286"/>
      <c r="CM62" s="286"/>
      <c r="CN62" s="286"/>
      <c r="CO62" s="286"/>
      <c r="CP62" s="286"/>
      <c r="CQ62" s="286"/>
      <c r="CR62" s="286"/>
      <c r="CS62" s="286"/>
      <c r="CT62" s="286"/>
      <c r="CU62" s="286"/>
      <c r="CV62" s="286"/>
      <c r="CW62" s="286"/>
      <c r="CX62" s="286"/>
      <c r="CY62" s="286"/>
      <c r="CZ62" s="286"/>
      <c r="DA62" s="286"/>
      <c r="DB62" s="286"/>
      <c r="DC62" s="286"/>
      <c r="DD62" s="286"/>
      <c r="DE62" s="286"/>
      <c r="DF62" s="286"/>
      <c r="DG62" s="286"/>
      <c r="DH62" s="286"/>
      <c r="DI62" s="286"/>
      <c r="DJ62" s="286"/>
      <c r="DK62" s="286"/>
      <c r="DL62" s="286"/>
      <c r="DM62" s="286"/>
      <c r="DN62" s="286"/>
      <c r="DO62" s="286"/>
      <c r="DP62" s="286"/>
      <c r="DQ62" s="286"/>
      <c r="DR62" s="286"/>
      <c r="DS62" s="286"/>
      <c r="DT62" s="286"/>
      <c r="DU62" s="286"/>
      <c r="DV62" s="286"/>
      <c r="DW62" s="286"/>
      <c r="DX62" s="286"/>
      <c r="DY62" s="286"/>
      <c r="DZ62" s="286"/>
      <c r="EA62" s="286"/>
      <c r="EB62" s="286"/>
      <c r="EC62" s="286"/>
      <c r="ED62" s="286"/>
      <c r="EE62" s="286"/>
      <c r="EF62" s="286"/>
      <c r="EG62" s="286"/>
      <c r="EH62" s="286"/>
      <c r="EI62" s="286"/>
      <c r="EJ62" s="286"/>
      <c r="EK62" s="286"/>
      <c r="EL62" s="286"/>
      <c r="EM62" s="286"/>
      <c r="EN62" s="286"/>
      <c r="EO62" s="286"/>
      <c r="EP62" s="286"/>
      <c r="EQ62" s="286"/>
      <c r="ER62" s="286"/>
      <c r="ES62" s="286"/>
      <c r="ET62" s="286"/>
      <c r="EU62" s="286"/>
      <c r="EV62" s="286"/>
      <c r="EW62" s="286"/>
      <c r="EX62" s="286"/>
      <c r="EY62" s="286"/>
      <c r="EZ62" s="286"/>
      <c r="FA62" s="286"/>
      <c r="FB62" s="286"/>
      <c r="FC62" s="286"/>
      <c r="FD62" s="286"/>
      <c r="FE62" s="286"/>
      <c r="FF62" s="286"/>
      <c r="FG62" s="286"/>
      <c r="FH62" s="286"/>
      <c r="FI62" s="286"/>
      <c r="FJ62" s="286"/>
      <c r="FK62" s="286"/>
      <c r="FL62" s="286"/>
      <c r="FM62" s="286"/>
      <c r="FN62" s="286"/>
      <c r="FO62" s="286"/>
      <c r="FP62" s="286"/>
      <c r="FQ62" s="286"/>
      <c r="FR62" s="286"/>
      <c r="FS62" s="286"/>
      <c r="FT62" s="286"/>
      <c r="FU62" s="286"/>
      <c r="FV62" s="286"/>
      <c r="FW62" s="286"/>
      <c r="FX62" s="286"/>
      <c r="FY62" s="286"/>
      <c r="FZ62" s="286"/>
      <c r="GA62" s="286"/>
      <c r="GB62" s="286"/>
      <c r="GC62" s="286"/>
      <c r="GD62" s="286"/>
      <c r="GE62" s="286"/>
      <c r="GF62" s="286"/>
      <c r="GG62" s="286"/>
      <c r="GH62" s="286"/>
      <c r="GI62" s="286"/>
      <c r="GJ62" s="286"/>
      <c r="GK62" s="286"/>
      <c r="GL62" s="286"/>
      <c r="GM62" s="286"/>
      <c r="GN62" s="286"/>
      <c r="GO62" s="286"/>
      <c r="GP62" s="286"/>
      <c r="GQ62" s="286"/>
      <c r="GR62" s="286"/>
      <c r="GS62" s="286"/>
      <c r="GT62" s="286"/>
      <c r="GU62" s="286"/>
      <c r="GV62" s="286"/>
      <c r="GW62" s="286"/>
      <c r="GX62" s="286"/>
      <c r="GY62" s="286"/>
    </row>
    <row r="63" spans="1:207" s="278" customFormat="1" ht="15.75" thickBot="1" x14ac:dyDescent="0.3">
      <c r="A63" s="342"/>
      <c r="B63" s="342"/>
      <c r="C63" s="67" t="s">
        <v>88</v>
      </c>
      <c r="D63" s="266"/>
      <c r="E63" s="266"/>
      <c r="F63" s="267"/>
      <c r="G63" s="268"/>
      <c r="H63" s="269"/>
      <c r="I63" s="283">
        <f>I61/I5</f>
        <v>0.30074520915931297</v>
      </c>
      <c r="J63" s="284"/>
      <c r="K63" s="285"/>
      <c r="L63" s="283">
        <f>L61/L5</f>
        <v>0.34388239754629896</v>
      </c>
      <c r="M63" s="284"/>
      <c r="N63" s="285"/>
      <c r="O63" s="283">
        <f>O61/O5</f>
        <v>0.37037547587203473</v>
      </c>
      <c r="P63" s="284"/>
      <c r="Q63" s="285"/>
      <c r="R63" s="283">
        <f>R61/R5</f>
        <v>0.33555895830674215</v>
      </c>
      <c r="S63" s="284"/>
      <c r="T63" s="285"/>
      <c r="U63" s="283">
        <f>U61/U5</f>
        <v>0.22069509474793672</v>
      </c>
      <c r="V63" s="281"/>
      <c r="W63" s="282"/>
      <c r="X63" s="283">
        <f>X61/X5</f>
        <v>0.34901067156923454</v>
      </c>
      <c r="Y63" s="281"/>
      <c r="Z63" s="282"/>
      <c r="AA63" s="283">
        <f>AA61/AA5</f>
        <v>0.38745402989752203</v>
      </c>
      <c r="AB63" s="281"/>
      <c r="AC63" s="282"/>
      <c r="AD63" s="283">
        <f>AD61/AD5</f>
        <v>0.3251684471235472</v>
      </c>
      <c r="AE63" s="281"/>
      <c r="AF63" s="282"/>
      <c r="AG63" s="283">
        <f>AG61/AG5</f>
        <v>0.29814605246087822</v>
      </c>
      <c r="AH63" s="281"/>
      <c r="AI63" s="282"/>
      <c r="AJ63" s="279"/>
      <c r="AK63" s="281"/>
      <c r="AL63" s="282"/>
      <c r="AM63" s="279"/>
      <c r="AN63" s="281"/>
      <c r="AO63" s="282"/>
      <c r="AP63" s="279"/>
      <c r="AQ63" s="281"/>
      <c r="AR63" s="282"/>
      <c r="AS63" s="279"/>
      <c r="AT63" s="281"/>
      <c r="AU63" s="282"/>
      <c r="AV63" s="279"/>
      <c r="AW63" s="281"/>
      <c r="AX63" s="282"/>
      <c r="AY63" s="279"/>
      <c r="AZ63" s="281"/>
      <c r="BA63" s="282"/>
      <c r="BB63" s="279"/>
      <c r="BC63" s="281"/>
      <c r="BD63" s="282"/>
      <c r="BE63" s="283">
        <f>BE61/BE5</f>
        <v>0.32507834407396247</v>
      </c>
      <c r="BF63" s="281"/>
      <c r="BG63" s="282"/>
      <c r="BH63" s="286"/>
      <c r="BI63" s="286"/>
      <c r="BJ63" s="286"/>
      <c r="BK63" s="286"/>
      <c r="BL63" s="286"/>
      <c r="BM63" s="286"/>
      <c r="BN63" s="286"/>
      <c r="BO63" s="286"/>
      <c r="BP63" s="286"/>
      <c r="BQ63" s="286"/>
      <c r="BR63" s="286"/>
      <c r="BS63" s="286"/>
      <c r="BT63" s="286"/>
      <c r="BU63" s="286"/>
      <c r="BV63" s="286"/>
      <c r="BW63" s="286"/>
      <c r="BX63" s="286"/>
      <c r="BY63" s="286"/>
      <c r="BZ63" s="286"/>
      <c r="CA63" s="286"/>
      <c r="CB63" s="286"/>
      <c r="CC63" s="286"/>
      <c r="CD63" s="286"/>
      <c r="CE63" s="286"/>
      <c r="CF63" s="286"/>
      <c r="CG63" s="286"/>
      <c r="CH63" s="286"/>
      <c r="CI63" s="286"/>
      <c r="CJ63" s="286"/>
      <c r="CK63" s="286"/>
      <c r="CL63" s="286"/>
      <c r="CM63" s="286"/>
      <c r="CN63" s="286"/>
      <c r="CO63" s="286"/>
      <c r="CP63" s="286"/>
      <c r="CQ63" s="286"/>
      <c r="CR63" s="286"/>
      <c r="CS63" s="286"/>
      <c r="CT63" s="286"/>
      <c r="CU63" s="286"/>
      <c r="CV63" s="286"/>
      <c r="CW63" s="286"/>
      <c r="CX63" s="286"/>
      <c r="CY63" s="286"/>
      <c r="CZ63" s="286"/>
      <c r="DA63" s="286"/>
      <c r="DB63" s="286"/>
      <c r="DC63" s="286"/>
      <c r="DD63" s="286"/>
      <c r="DE63" s="286"/>
      <c r="DF63" s="286"/>
      <c r="DG63" s="286"/>
      <c r="DH63" s="286"/>
      <c r="DI63" s="286"/>
      <c r="DJ63" s="286"/>
      <c r="DK63" s="286"/>
      <c r="DL63" s="286"/>
      <c r="DM63" s="286"/>
      <c r="DN63" s="286"/>
      <c r="DO63" s="286"/>
      <c r="DP63" s="286"/>
      <c r="DQ63" s="286"/>
      <c r="DR63" s="286"/>
      <c r="DS63" s="286"/>
      <c r="DT63" s="286"/>
      <c r="DU63" s="286"/>
      <c r="DV63" s="286"/>
      <c r="DW63" s="286"/>
      <c r="DX63" s="286"/>
      <c r="DY63" s="286"/>
      <c r="DZ63" s="286"/>
      <c r="EA63" s="286"/>
      <c r="EB63" s="286"/>
      <c r="EC63" s="286"/>
      <c r="ED63" s="286"/>
      <c r="EE63" s="286"/>
      <c r="EF63" s="286"/>
      <c r="EG63" s="286"/>
      <c r="EH63" s="286"/>
      <c r="EI63" s="286"/>
      <c r="EJ63" s="286"/>
      <c r="EK63" s="286"/>
      <c r="EL63" s="286"/>
      <c r="EM63" s="286"/>
      <c r="EN63" s="286"/>
      <c r="EO63" s="286"/>
      <c r="EP63" s="286"/>
      <c r="EQ63" s="286"/>
      <c r="ER63" s="286"/>
      <c r="ES63" s="286"/>
      <c r="ET63" s="286"/>
      <c r="EU63" s="286"/>
      <c r="EV63" s="286"/>
      <c r="EW63" s="286"/>
      <c r="EX63" s="286"/>
      <c r="EY63" s="286"/>
      <c r="EZ63" s="286"/>
      <c r="FA63" s="286"/>
      <c r="FB63" s="286"/>
      <c r="FC63" s="286"/>
      <c r="FD63" s="286"/>
      <c r="FE63" s="286"/>
      <c r="FF63" s="286"/>
      <c r="FG63" s="286"/>
      <c r="FH63" s="286"/>
      <c r="FI63" s="286"/>
      <c r="FJ63" s="286"/>
      <c r="FK63" s="286"/>
      <c r="FL63" s="286"/>
      <c r="FM63" s="286"/>
      <c r="FN63" s="286"/>
      <c r="FO63" s="286"/>
      <c r="FP63" s="286"/>
      <c r="FQ63" s="286"/>
      <c r="FR63" s="286"/>
      <c r="FS63" s="286"/>
      <c r="FT63" s="286"/>
      <c r="FU63" s="286"/>
      <c r="FV63" s="286"/>
      <c r="FW63" s="286"/>
      <c r="FX63" s="286"/>
      <c r="FY63" s="286"/>
      <c r="FZ63" s="286"/>
      <c r="GA63" s="286"/>
      <c r="GB63" s="286"/>
      <c r="GC63" s="286"/>
      <c r="GD63" s="286"/>
      <c r="GE63" s="286"/>
      <c r="GF63" s="286"/>
      <c r="GG63" s="286"/>
      <c r="GH63" s="286"/>
      <c r="GI63" s="286"/>
      <c r="GJ63" s="286"/>
      <c r="GK63" s="286"/>
      <c r="GL63" s="286"/>
      <c r="GM63" s="286"/>
      <c r="GN63" s="286"/>
      <c r="GO63" s="286"/>
      <c r="GP63" s="286"/>
      <c r="GQ63" s="286"/>
      <c r="GR63" s="286"/>
      <c r="GS63" s="286"/>
      <c r="GT63" s="286"/>
      <c r="GU63" s="286"/>
      <c r="GV63" s="286"/>
      <c r="GW63" s="286"/>
      <c r="GX63" s="286"/>
      <c r="GY63" s="286"/>
    </row>
    <row r="64" spans="1:207" ht="3.75" customHeight="1" x14ac:dyDescent="0.25">
      <c r="I64" s="205"/>
      <c r="J64" s="206"/>
      <c r="K64" s="207"/>
      <c r="L64" s="205"/>
      <c r="M64" s="206"/>
      <c r="N64" s="207"/>
      <c r="O64" s="205"/>
      <c r="P64" s="206"/>
      <c r="Q64" s="207"/>
      <c r="R64" s="205"/>
      <c r="S64" s="206"/>
      <c r="T64" s="207"/>
      <c r="U64" s="148"/>
      <c r="V64" s="149"/>
      <c r="W64" s="150"/>
      <c r="X64" s="148"/>
      <c r="Y64" s="149"/>
      <c r="Z64" s="150"/>
      <c r="AA64" s="148"/>
      <c r="AB64" s="149"/>
      <c r="AC64" s="150"/>
      <c r="AD64" s="148"/>
      <c r="AE64" s="149"/>
      <c r="AF64" s="150"/>
      <c r="AG64" s="148"/>
      <c r="AH64" s="149"/>
      <c r="AI64" s="150"/>
      <c r="AJ64" s="148"/>
      <c r="AK64" s="149"/>
      <c r="AL64" s="150"/>
      <c r="AM64" s="148"/>
      <c r="AN64" s="149"/>
      <c r="AO64" s="150"/>
      <c r="AP64" s="148"/>
      <c r="AQ64" s="149"/>
      <c r="AR64" s="150"/>
      <c r="AS64" s="148"/>
      <c r="AT64" s="149"/>
      <c r="AU64" s="150"/>
      <c r="AV64" s="148"/>
      <c r="AW64" s="149"/>
      <c r="AX64" s="150"/>
      <c r="AY64" s="148"/>
      <c r="AZ64" s="149"/>
      <c r="BA64" s="150"/>
      <c r="BB64" s="148"/>
      <c r="BC64" s="149"/>
      <c r="BD64" s="150"/>
      <c r="BE64" s="148"/>
      <c r="BF64" s="149"/>
      <c r="BG64" s="150"/>
      <c r="BH64" s="286"/>
      <c r="BI64" s="286"/>
      <c r="BJ64" s="286"/>
      <c r="BK64" s="286"/>
      <c r="BL64" s="286"/>
      <c r="BM64" s="286"/>
      <c r="BN64" s="286"/>
      <c r="BO64" s="286"/>
      <c r="BP64" s="286"/>
      <c r="BQ64" s="286"/>
      <c r="BR64" s="286"/>
      <c r="BS64" s="286"/>
      <c r="BT64" s="286"/>
      <c r="BU64" s="286"/>
      <c r="BV64" s="286"/>
      <c r="BW64" s="286"/>
      <c r="BX64" s="286"/>
      <c r="BY64" s="286"/>
      <c r="BZ64" s="286"/>
      <c r="CA64" s="286"/>
      <c r="CB64" s="286"/>
      <c r="CC64" s="286"/>
      <c r="CD64" s="286"/>
      <c r="CE64" s="286"/>
      <c r="CF64" s="286"/>
      <c r="CG64" s="286"/>
      <c r="CH64" s="286"/>
      <c r="CI64" s="286"/>
      <c r="CJ64" s="286"/>
      <c r="CK64" s="286"/>
      <c r="CL64" s="286"/>
      <c r="CM64" s="286"/>
      <c r="CN64" s="286"/>
      <c r="CO64" s="286"/>
      <c r="CP64" s="286"/>
      <c r="CQ64" s="286"/>
      <c r="CR64" s="286"/>
      <c r="CS64" s="286"/>
      <c r="CT64" s="286"/>
      <c r="CU64" s="286"/>
      <c r="CV64" s="286"/>
      <c r="CW64" s="286"/>
      <c r="CX64" s="286"/>
      <c r="CY64" s="286"/>
      <c r="CZ64" s="286"/>
      <c r="DA64" s="286"/>
      <c r="DB64" s="286"/>
      <c r="DC64" s="286"/>
      <c r="DD64" s="286"/>
      <c r="DE64" s="286"/>
      <c r="DF64" s="286"/>
      <c r="DG64" s="286"/>
      <c r="DH64" s="286"/>
      <c r="DI64" s="286"/>
      <c r="DJ64" s="286"/>
      <c r="DK64" s="286"/>
      <c r="DL64" s="286"/>
      <c r="DM64" s="286"/>
      <c r="DN64" s="286"/>
      <c r="DO64" s="286"/>
      <c r="DP64" s="286"/>
      <c r="DQ64" s="286"/>
      <c r="DR64" s="286"/>
      <c r="DS64" s="286"/>
      <c r="DT64" s="286"/>
      <c r="DU64" s="286"/>
      <c r="DV64" s="286"/>
      <c r="DW64" s="286"/>
      <c r="DX64" s="286"/>
      <c r="DY64" s="286"/>
      <c r="DZ64" s="286"/>
      <c r="EA64" s="286"/>
      <c r="EB64" s="286"/>
      <c r="EC64" s="286"/>
      <c r="ED64" s="286"/>
      <c r="EE64" s="286"/>
      <c r="EF64" s="286"/>
      <c r="EG64" s="286"/>
      <c r="EH64" s="286"/>
      <c r="EI64" s="286"/>
      <c r="EJ64" s="286"/>
      <c r="EK64" s="286"/>
      <c r="EL64" s="286"/>
      <c r="EM64" s="286"/>
      <c r="EN64" s="286"/>
      <c r="EO64" s="286"/>
      <c r="EP64" s="286"/>
      <c r="EQ64" s="286"/>
      <c r="ER64" s="286"/>
      <c r="ES64" s="286"/>
      <c r="ET64" s="286"/>
      <c r="EU64" s="286"/>
      <c r="EV64" s="286"/>
      <c r="EW64" s="286"/>
      <c r="EX64" s="286"/>
      <c r="EY64" s="286"/>
      <c r="EZ64" s="286"/>
      <c r="FA64" s="286"/>
      <c r="FB64" s="286"/>
      <c r="FC64" s="286"/>
      <c r="FD64" s="286"/>
      <c r="FE64" s="286"/>
      <c r="FF64" s="286"/>
      <c r="FG64" s="286"/>
      <c r="FH64" s="286"/>
      <c r="FI64" s="286"/>
      <c r="FJ64" s="286"/>
      <c r="FK64" s="286"/>
      <c r="FL64" s="286"/>
      <c r="FM64" s="286"/>
      <c r="FN64" s="286"/>
      <c r="FO64" s="286"/>
      <c r="FP64" s="286"/>
      <c r="FQ64" s="286"/>
      <c r="FR64" s="286"/>
      <c r="FS64" s="286"/>
      <c r="FT64" s="286"/>
      <c r="FU64" s="286"/>
      <c r="FV64" s="286"/>
      <c r="FW64" s="286"/>
      <c r="FX64" s="286"/>
      <c r="FY64" s="286"/>
      <c r="FZ64" s="286"/>
      <c r="GA64" s="286"/>
      <c r="GB64" s="286"/>
      <c r="GC64" s="286"/>
      <c r="GD64" s="286"/>
      <c r="GE64" s="286"/>
      <c r="GF64" s="286"/>
      <c r="GG64" s="286"/>
      <c r="GH64" s="286"/>
      <c r="GI64" s="286"/>
      <c r="GJ64" s="286"/>
      <c r="GK64" s="286"/>
      <c r="GL64" s="286"/>
      <c r="GM64" s="286"/>
      <c r="GN64" s="286"/>
      <c r="GO64" s="286"/>
      <c r="GP64" s="286"/>
      <c r="GQ64" s="286"/>
      <c r="GR64" s="286"/>
      <c r="GS64" s="286"/>
      <c r="GT64" s="286"/>
      <c r="GU64" s="286"/>
      <c r="GV64" s="286"/>
      <c r="GW64" s="286"/>
      <c r="GX64" s="286"/>
      <c r="GY64" s="286"/>
    </row>
    <row r="65" spans="1:207" ht="16.5" customHeight="1" x14ac:dyDescent="0.25">
      <c r="A65" s="342" t="s">
        <v>102</v>
      </c>
      <c r="B65" s="346" t="s">
        <v>98</v>
      </c>
      <c r="C65" s="62" t="s">
        <v>99</v>
      </c>
      <c r="D65" s="12"/>
      <c r="E65" s="12"/>
      <c r="F65" s="10"/>
      <c r="G65" s="11"/>
      <c r="H65" s="29"/>
      <c r="I65" s="202">
        <v>-0.42</v>
      </c>
      <c r="J65" s="203"/>
      <c r="K65" s="290"/>
      <c r="L65" s="202">
        <v>0.08</v>
      </c>
      <c r="M65" s="203"/>
      <c r="N65" s="204"/>
      <c r="O65" s="202">
        <v>0.12</v>
      </c>
      <c r="P65" s="203"/>
      <c r="Q65" s="204"/>
      <c r="R65" s="202">
        <f t="shared" ref="R65:R67" si="24">(O65+L65+I65)/3</f>
        <v>-7.333333333333332E-2</v>
      </c>
      <c r="S65" s="203"/>
      <c r="T65" s="204"/>
      <c r="U65" s="202">
        <v>0.13508738644333987</v>
      </c>
      <c r="V65" s="85"/>
      <c r="W65" s="137"/>
      <c r="X65" s="136">
        <v>0.13237718998358175</v>
      </c>
      <c r="Y65" s="85"/>
      <c r="Z65" s="137"/>
      <c r="AA65" s="136">
        <v>6.6488918259455118E-2</v>
      </c>
      <c r="AB65" s="85"/>
      <c r="AC65" s="137"/>
      <c r="AD65" s="136">
        <f>SUM(AA65+X65+U65)/3</f>
        <v>0.11131783156212556</v>
      </c>
      <c r="AE65" s="85"/>
      <c r="AF65" s="137"/>
      <c r="AG65" s="136">
        <v>0.15845678295024049</v>
      </c>
      <c r="AH65" s="85"/>
      <c r="AI65" s="137"/>
      <c r="AJ65" s="136"/>
      <c r="AK65" s="85"/>
      <c r="AL65" s="137"/>
      <c r="AM65" s="136"/>
      <c r="AN65" s="85"/>
      <c r="AO65" s="137"/>
      <c r="AP65" s="136"/>
      <c r="AQ65" s="85"/>
      <c r="AR65" s="137"/>
      <c r="AS65" s="136"/>
      <c r="AT65" s="85"/>
      <c r="AU65" s="137"/>
      <c r="AV65" s="136"/>
      <c r="AW65" s="85"/>
      <c r="AX65" s="137"/>
      <c r="AY65" s="136"/>
      <c r="AZ65" s="85"/>
      <c r="BA65" s="137"/>
      <c r="BB65" s="136"/>
      <c r="BC65" s="85"/>
      <c r="BD65" s="137"/>
      <c r="BE65" s="202">
        <f t="shared" ref="BE65:BE67" si="25">(BB65+AY65+AV65)/3</f>
        <v>0</v>
      </c>
      <c r="BF65" s="85"/>
      <c r="BG65" s="137"/>
      <c r="BH65" s="286"/>
      <c r="BI65" s="286"/>
      <c r="BJ65" s="286"/>
      <c r="BK65" s="286"/>
      <c r="BL65" s="286"/>
      <c r="BM65" s="286"/>
      <c r="BN65" s="286"/>
      <c r="BO65" s="286"/>
      <c r="BP65" s="286"/>
      <c r="BQ65" s="286"/>
      <c r="BR65" s="286"/>
      <c r="BS65" s="286"/>
      <c r="BT65" s="286"/>
      <c r="BU65" s="286"/>
      <c r="BV65" s="286"/>
      <c r="BW65" s="286"/>
      <c r="BX65" s="286"/>
      <c r="BY65" s="286"/>
      <c r="BZ65" s="286"/>
      <c r="CA65" s="286"/>
      <c r="CB65" s="286"/>
      <c r="CC65" s="286"/>
      <c r="CD65" s="286"/>
      <c r="CE65" s="286"/>
      <c r="CF65" s="286"/>
      <c r="CG65" s="286"/>
      <c r="CH65" s="286"/>
      <c r="CI65" s="286"/>
      <c r="CJ65" s="286"/>
      <c r="CK65" s="286"/>
      <c r="CL65" s="286"/>
      <c r="CM65" s="286"/>
      <c r="CN65" s="286"/>
      <c r="CO65" s="286"/>
      <c r="CP65" s="286"/>
      <c r="CQ65" s="286"/>
      <c r="CR65" s="286"/>
      <c r="CS65" s="286"/>
      <c r="CT65" s="286"/>
      <c r="CU65" s="286"/>
      <c r="CV65" s="286"/>
      <c r="CW65" s="286"/>
      <c r="CX65" s="286"/>
      <c r="CY65" s="286"/>
      <c r="CZ65" s="286"/>
      <c r="DA65" s="286"/>
      <c r="DB65" s="286"/>
      <c r="DC65" s="286"/>
      <c r="DD65" s="286"/>
      <c r="DE65" s="286"/>
      <c r="DF65" s="286"/>
      <c r="DG65" s="286"/>
      <c r="DH65" s="286"/>
      <c r="DI65" s="286"/>
      <c r="DJ65" s="286"/>
      <c r="DK65" s="286"/>
      <c r="DL65" s="286"/>
      <c r="DM65" s="286"/>
      <c r="DN65" s="286"/>
      <c r="DO65" s="286"/>
      <c r="DP65" s="286"/>
      <c r="DQ65" s="286"/>
      <c r="DR65" s="286"/>
      <c r="DS65" s="286"/>
      <c r="DT65" s="286"/>
      <c r="DU65" s="286"/>
      <c r="DV65" s="286"/>
      <c r="DW65" s="286"/>
      <c r="DX65" s="286"/>
      <c r="DY65" s="286"/>
      <c r="DZ65" s="286"/>
      <c r="EA65" s="286"/>
      <c r="EB65" s="286"/>
      <c r="EC65" s="286"/>
      <c r="ED65" s="286"/>
      <c r="EE65" s="286"/>
      <c r="EF65" s="286"/>
      <c r="EG65" s="286"/>
      <c r="EH65" s="286"/>
      <c r="EI65" s="286"/>
      <c r="EJ65" s="286"/>
      <c r="EK65" s="286"/>
      <c r="EL65" s="286"/>
      <c r="EM65" s="286"/>
      <c r="EN65" s="286"/>
      <c r="EO65" s="286"/>
      <c r="EP65" s="286"/>
      <c r="EQ65" s="286"/>
      <c r="ER65" s="286"/>
      <c r="ES65" s="286"/>
      <c r="ET65" s="286"/>
      <c r="EU65" s="286"/>
      <c r="EV65" s="286"/>
      <c r="EW65" s="286"/>
      <c r="EX65" s="286"/>
      <c r="EY65" s="286"/>
      <c r="EZ65" s="286"/>
      <c r="FA65" s="286"/>
      <c r="FB65" s="286"/>
      <c r="FC65" s="286"/>
      <c r="FD65" s="286"/>
      <c r="FE65" s="286"/>
      <c r="FF65" s="286"/>
      <c r="FG65" s="286"/>
      <c r="FH65" s="286"/>
      <c r="FI65" s="286"/>
      <c r="FJ65" s="286"/>
      <c r="FK65" s="286"/>
      <c r="FL65" s="286"/>
      <c r="FM65" s="286"/>
      <c r="FN65" s="286"/>
      <c r="FO65" s="286"/>
      <c r="FP65" s="286"/>
      <c r="FQ65" s="286"/>
      <c r="FR65" s="286"/>
      <c r="FS65" s="286"/>
      <c r="FT65" s="286"/>
      <c r="FU65" s="286"/>
      <c r="FV65" s="286"/>
      <c r="FW65" s="286"/>
      <c r="FX65" s="286"/>
      <c r="FY65" s="286"/>
      <c r="FZ65" s="286"/>
      <c r="GA65" s="286"/>
      <c r="GB65" s="286"/>
      <c r="GC65" s="286"/>
      <c r="GD65" s="286"/>
      <c r="GE65" s="286"/>
      <c r="GF65" s="286"/>
      <c r="GG65" s="286"/>
      <c r="GH65" s="286"/>
      <c r="GI65" s="286"/>
      <c r="GJ65" s="286"/>
      <c r="GK65" s="286"/>
      <c r="GL65" s="286"/>
      <c r="GM65" s="286"/>
      <c r="GN65" s="286"/>
      <c r="GO65" s="286"/>
      <c r="GP65" s="286"/>
      <c r="GQ65" s="286"/>
      <c r="GR65" s="286"/>
      <c r="GS65" s="286"/>
      <c r="GT65" s="286"/>
      <c r="GU65" s="286"/>
      <c r="GV65" s="286"/>
      <c r="GW65" s="286"/>
      <c r="GX65" s="286"/>
      <c r="GY65" s="286"/>
    </row>
    <row r="66" spans="1:207" ht="16.5" customHeight="1" x14ac:dyDescent="0.25">
      <c r="A66" s="342"/>
      <c r="B66" s="346"/>
      <c r="C66" s="62" t="s">
        <v>100</v>
      </c>
      <c r="D66" s="12"/>
      <c r="E66" s="12"/>
      <c r="F66" s="10"/>
      <c r="G66" s="11"/>
      <c r="H66" s="29"/>
      <c r="I66" s="202">
        <v>0.52</v>
      </c>
      <c r="J66" s="203"/>
      <c r="K66" s="204"/>
      <c r="L66" s="202">
        <v>0.5</v>
      </c>
      <c r="M66" s="203"/>
      <c r="N66" s="204"/>
      <c r="O66" s="202">
        <v>0.54</v>
      </c>
      <c r="P66" s="203"/>
      <c r="Q66" s="204"/>
      <c r="R66" s="202">
        <f t="shared" si="24"/>
        <v>0.52</v>
      </c>
      <c r="S66" s="203"/>
      <c r="T66" s="204"/>
      <c r="U66" s="202">
        <v>0.4590885854928215</v>
      </c>
      <c r="V66" s="85"/>
      <c r="W66" s="137"/>
      <c r="X66" s="136">
        <v>0.49548524273255962</v>
      </c>
      <c r="Y66" s="85"/>
      <c r="Z66" s="137"/>
      <c r="AA66" s="136">
        <v>0.52</v>
      </c>
      <c r="AB66" s="85"/>
      <c r="AC66" s="137"/>
      <c r="AD66" s="136">
        <f t="shared" ref="AD66:AD67" si="26">SUM(AA66+X66+U66)/3</f>
        <v>0.49152460940846038</v>
      </c>
      <c r="AE66" s="85"/>
      <c r="AF66" s="137"/>
      <c r="AG66" s="136">
        <v>0.54732796331848654</v>
      </c>
      <c r="AH66" s="85"/>
      <c r="AI66" s="137"/>
      <c r="AJ66" s="136"/>
      <c r="AK66" s="85"/>
      <c r="AL66" s="137"/>
      <c r="AM66" s="136"/>
      <c r="AN66" s="85"/>
      <c r="AO66" s="137"/>
      <c r="AP66" s="136"/>
      <c r="AQ66" s="85"/>
      <c r="AR66" s="137"/>
      <c r="AS66" s="136"/>
      <c r="AT66" s="85"/>
      <c r="AU66" s="137"/>
      <c r="AV66" s="136"/>
      <c r="AW66" s="85"/>
      <c r="AX66" s="137"/>
      <c r="AY66" s="136"/>
      <c r="AZ66" s="85"/>
      <c r="BA66" s="137"/>
      <c r="BB66" s="136"/>
      <c r="BC66" s="85"/>
      <c r="BD66" s="137"/>
      <c r="BE66" s="202">
        <f t="shared" si="25"/>
        <v>0</v>
      </c>
      <c r="BF66" s="85"/>
      <c r="BG66" s="137"/>
      <c r="BH66" s="286"/>
      <c r="BI66" s="286"/>
      <c r="BJ66" s="286"/>
      <c r="BK66" s="286"/>
      <c r="BL66" s="286"/>
      <c r="BM66" s="286"/>
      <c r="BN66" s="286"/>
      <c r="BO66" s="286"/>
      <c r="BP66" s="286"/>
      <c r="BQ66" s="286"/>
      <c r="BR66" s="286"/>
      <c r="BS66" s="286"/>
      <c r="BT66" s="286"/>
      <c r="BU66" s="286"/>
      <c r="BV66" s="286"/>
      <c r="BW66" s="286"/>
      <c r="BX66" s="286"/>
      <c r="BY66" s="286"/>
      <c r="BZ66" s="286"/>
      <c r="CA66" s="286"/>
      <c r="CB66" s="286"/>
      <c r="CC66" s="286"/>
      <c r="CD66" s="286"/>
      <c r="CE66" s="286"/>
      <c r="CF66" s="286"/>
      <c r="CG66" s="286"/>
      <c r="CH66" s="286"/>
      <c r="CI66" s="286"/>
      <c r="CJ66" s="286"/>
      <c r="CK66" s="286"/>
      <c r="CL66" s="286"/>
      <c r="CM66" s="286"/>
      <c r="CN66" s="286"/>
      <c r="CO66" s="286"/>
      <c r="CP66" s="286"/>
      <c r="CQ66" s="286"/>
      <c r="CR66" s="286"/>
      <c r="CS66" s="286"/>
      <c r="CT66" s="286"/>
      <c r="CU66" s="286"/>
      <c r="CV66" s="286"/>
      <c r="CW66" s="286"/>
      <c r="CX66" s="286"/>
      <c r="CY66" s="286"/>
      <c r="CZ66" s="286"/>
      <c r="DA66" s="286"/>
      <c r="DB66" s="286"/>
      <c r="DC66" s="286"/>
      <c r="DD66" s="286"/>
      <c r="DE66" s="286"/>
      <c r="DF66" s="286"/>
      <c r="DG66" s="286"/>
      <c r="DH66" s="286"/>
      <c r="DI66" s="286"/>
      <c r="DJ66" s="286"/>
      <c r="DK66" s="286"/>
      <c r="DL66" s="286"/>
      <c r="DM66" s="286"/>
      <c r="DN66" s="286"/>
      <c r="DO66" s="286"/>
      <c r="DP66" s="286"/>
      <c r="DQ66" s="286"/>
      <c r="DR66" s="286"/>
      <c r="DS66" s="286"/>
      <c r="DT66" s="286"/>
      <c r="DU66" s="286"/>
      <c r="DV66" s="286"/>
      <c r="DW66" s="286"/>
      <c r="DX66" s="286"/>
      <c r="DY66" s="286"/>
      <c r="DZ66" s="286"/>
      <c r="EA66" s="286"/>
      <c r="EB66" s="286"/>
      <c r="EC66" s="286"/>
      <c r="ED66" s="286"/>
      <c r="EE66" s="286"/>
      <c r="EF66" s="286"/>
      <c r="EG66" s="286"/>
      <c r="EH66" s="286"/>
      <c r="EI66" s="286"/>
      <c r="EJ66" s="286"/>
      <c r="EK66" s="286"/>
      <c r="EL66" s="286"/>
      <c r="EM66" s="286"/>
      <c r="EN66" s="286"/>
      <c r="EO66" s="286"/>
      <c r="EP66" s="286"/>
      <c r="EQ66" s="286"/>
      <c r="ER66" s="286"/>
      <c r="ES66" s="286"/>
      <c r="ET66" s="286"/>
      <c r="EU66" s="286"/>
      <c r="EV66" s="286"/>
      <c r="EW66" s="286"/>
      <c r="EX66" s="286"/>
      <c r="EY66" s="286"/>
      <c r="EZ66" s="286"/>
      <c r="FA66" s="286"/>
      <c r="FB66" s="286"/>
      <c r="FC66" s="286"/>
      <c r="FD66" s="286"/>
      <c r="FE66" s="286"/>
      <c r="FF66" s="286"/>
      <c r="FG66" s="286"/>
      <c r="FH66" s="286"/>
      <c r="FI66" s="286"/>
      <c r="FJ66" s="286"/>
      <c r="FK66" s="286"/>
      <c r="FL66" s="286"/>
      <c r="FM66" s="286"/>
      <c r="FN66" s="286"/>
      <c r="FO66" s="286"/>
      <c r="FP66" s="286"/>
      <c r="FQ66" s="286"/>
      <c r="FR66" s="286"/>
      <c r="FS66" s="286"/>
      <c r="FT66" s="286"/>
      <c r="FU66" s="286"/>
      <c r="FV66" s="286"/>
      <c r="FW66" s="286"/>
      <c r="FX66" s="286"/>
      <c r="FY66" s="286"/>
      <c r="FZ66" s="286"/>
      <c r="GA66" s="286"/>
      <c r="GB66" s="286"/>
      <c r="GC66" s="286"/>
      <c r="GD66" s="286"/>
      <c r="GE66" s="286"/>
      <c r="GF66" s="286"/>
      <c r="GG66" s="286"/>
      <c r="GH66" s="286"/>
      <c r="GI66" s="286"/>
      <c r="GJ66" s="286"/>
      <c r="GK66" s="286"/>
      <c r="GL66" s="286"/>
      <c r="GM66" s="286"/>
      <c r="GN66" s="286"/>
      <c r="GO66" s="286"/>
      <c r="GP66" s="286"/>
      <c r="GQ66" s="286"/>
      <c r="GR66" s="286"/>
      <c r="GS66" s="286"/>
      <c r="GT66" s="286"/>
      <c r="GU66" s="286"/>
      <c r="GV66" s="286"/>
      <c r="GW66" s="286"/>
      <c r="GX66" s="286"/>
      <c r="GY66" s="286"/>
    </row>
    <row r="67" spans="1:207" ht="16.5" customHeight="1" x14ac:dyDescent="0.25">
      <c r="A67" s="342"/>
      <c r="B67" s="346"/>
      <c r="C67" s="62" t="s">
        <v>101</v>
      </c>
      <c r="D67" s="12"/>
      <c r="E67" s="12"/>
      <c r="F67" s="10"/>
      <c r="G67" s="11"/>
      <c r="H67" s="29"/>
      <c r="I67" s="202">
        <v>0.4</v>
      </c>
      <c r="J67" s="203"/>
      <c r="K67" s="204"/>
      <c r="L67" s="202">
        <v>0.47</v>
      </c>
      <c r="M67" s="203"/>
      <c r="N67" s="204"/>
      <c r="O67" s="202">
        <v>0.28999999999999998</v>
      </c>
      <c r="P67" s="203"/>
      <c r="Q67" s="204"/>
      <c r="R67" s="202">
        <f t="shared" si="24"/>
        <v>0.38666666666666671</v>
      </c>
      <c r="S67" s="203"/>
      <c r="T67" s="204"/>
      <c r="U67" s="202">
        <v>0.08</v>
      </c>
      <c r="V67" s="85"/>
      <c r="W67" s="137"/>
      <c r="X67" s="136">
        <v>0.50197066877704888</v>
      </c>
      <c r="Y67" s="85"/>
      <c r="Z67" s="137"/>
      <c r="AA67" s="136">
        <v>0.39739906178805634</v>
      </c>
      <c r="AB67" s="85"/>
      <c r="AC67" s="137"/>
      <c r="AD67" s="136">
        <f t="shared" si="26"/>
        <v>0.32645657685503504</v>
      </c>
      <c r="AE67" s="85"/>
      <c r="AF67" s="137"/>
      <c r="AG67" s="136">
        <v>4.1297987842622938E-2</v>
      </c>
      <c r="AH67" s="85"/>
      <c r="AI67" s="137"/>
      <c r="AJ67" s="136"/>
      <c r="AK67" s="85"/>
      <c r="AL67" s="137"/>
      <c r="AM67" s="136"/>
      <c r="AN67" s="85"/>
      <c r="AO67" s="137"/>
      <c r="AP67" s="136"/>
      <c r="AQ67" s="85"/>
      <c r="AR67" s="137"/>
      <c r="AS67" s="136"/>
      <c r="AT67" s="85"/>
      <c r="AU67" s="137"/>
      <c r="AV67" s="136"/>
      <c r="AW67" s="85"/>
      <c r="AX67" s="137"/>
      <c r="AY67" s="136"/>
      <c r="AZ67" s="85"/>
      <c r="BA67" s="137"/>
      <c r="BB67" s="136"/>
      <c r="BC67" s="85"/>
      <c r="BD67" s="137"/>
      <c r="BE67" s="202">
        <f t="shared" si="25"/>
        <v>0</v>
      </c>
      <c r="BF67" s="85"/>
      <c r="BG67" s="137"/>
    </row>
    <row r="68" spans="1:207" ht="6" customHeight="1" x14ac:dyDescent="0.25">
      <c r="I68" s="148"/>
      <c r="J68" s="149"/>
      <c r="K68" s="150"/>
      <c r="L68" s="148"/>
      <c r="M68" s="149"/>
      <c r="N68" s="150"/>
      <c r="O68" s="148"/>
      <c r="P68" s="149"/>
      <c r="Q68" s="150"/>
      <c r="R68" s="148"/>
      <c r="S68" s="149"/>
      <c r="T68" s="150"/>
      <c r="U68" s="148"/>
      <c r="V68" s="149"/>
      <c r="W68" s="150"/>
      <c r="X68" s="148"/>
      <c r="Y68" s="149"/>
      <c r="Z68" s="150"/>
      <c r="AA68" s="148"/>
      <c r="AB68" s="149"/>
      <c r="AC68" s="150"/>
      <c r="AD68" s="148"/>
      <c r="AE68" s="149"/>
      <c r="AF68" s="150"/>
      <c r="AG68" s="148"/>
      <c r="AH68" s="149"/>
      <c r="AI68" s="150"/>
      <c r="AJ68" s="148"/>
      <c r="AK68" s="149"/>
      <c r="AL68" s="150"/>
      <c r="AM68" s="148"/>
      <c r="AN68" s="149"/>
      <c r="AO68" s="150"/>
      <c r="AP68" s="148"/>
      <c r="AQ68" s="149"/>
      <c r="AR68" s="150"/>
      <c r="AS68" s="148"/>
      <c r="AT68" s="149"/>
      <c r="AU68" s="150"/>
      <c r="AV68" s="148"/>
      <c r="AW68" s="149"/>
      <c r="AX68" s="150"/>
      <c r="AY68" s="148"/>
      <c r="AZ68" s="149"/>
      <c r="BA68" s="150"/>
      <c r="BB68" s="148"/>
      <c r="BC68" s="149"/>
      <c r="BD68" s="150"/>
      <c r="BE68" s="148"/>
      <c r="BF68" s="149"/>
      <c r="BG68" s="150"/>
    </row>
    <row r="69" spans="1:207" ht="36" customHeight="1" x14ac:dyDescent="0.25">
      <c r="A69" s="347" t="s">
        <v>54</v>
      </c>
      <c r="B69" s="322"/>
      <c r="C69" s="62" t="s">
        <v>104</v>
      </c>
      <c r="D69" s="12"/>
      <c r="E69" s="12"/>
      <c r="F69" s="10"/>
      <c r="G69" s="11"/>
      <c r="H69" s="29"/>
      <c r="I69" s="136">
        <f>SUM(I48:I50)/I5</f>
        <v>0.40785152012287834</v>
      </c>
      <c r="J69" s="85"/>
      <c r="K69" s="137"/>
      <c r="L69" s="136">
        <f>SUM(L48:L50)/L5</f>
        <v>0.41019333490332344</v>
      </c>
      <c r="M69" s="85"/>
      <c r="N69" s="137"/>
      <c r="O69" s="136">
        <f>SUM(O48:O50)/O5</f>
        <v>0.33740162520478367</v>
      </c>
      <c r="P69" s="85"/>
      <c r="Q69" s="137"/>
      <c r="R69" s="136">
        <f>SUM(R48:R50)/R5</f>
        <v>0.38877644726495963</v>
      </c>
      <c r="S69" s="85"/>
      <c r="T69" s="137"/>
      <c r="U69" s="136">
        <f>SUM(U48:U50)/U5</f>
        <v>0.4437857342337026</v>
      </c>
      <c r="V69" s="85"/>
      <c r="W69" s="137"/>
      <c r="X69" s="136">
        <f>SUM(X48:X50)/X5</f>
        <v>0.42063597681087234</v>
      </c>
      <c r="Y69" s="85"/>
      <c r="Z69" s="137"/>
      <c r="AA69" s="136">
        <f>SUM(AA48:AA50)/AA5</f>
        <v>0.37595340411377398</v>
      </c>
      <c r="AB69" s="85"/>
      <c r="AC69" s="137"/>
      <c r="AD69" s="136">
        <f>SUM(AD48:AD50)/AD5</f>
        <v>0.41256088205319247</v>
      </c>
      <c r="AE69" s="85"/>
      <c r="AF69" s="137"/>
      <c r="AG69" s="136">
        <f>SUM(AG48:AG50)/AG5</f>
        <v>0.48070183436833747</v>
      </c>
      <c r="AH69" s="85"/>
      <c r="AI69" s="137"/>
      <c r="AJ69" s="136"/>
      <c r="AK69" s="85"/>
      <c r="AL69" s="137"/>
      <c r="AM69" s="136"/>
      <c r="AN69" s="85"/>
      <c r="AO69" s="137"/>
      <c r="AP69" s="136"/>
      <c r="AQ69" s="85"/>
      <c r="AR69" s="137"/>
      <c r="AS69" s="136"/>
      <c r="AT69" s="85"/>
      <c r="AU69" s="137"/>
      <c r="AV69" s="136"/>
      <c r="AW69" s="85"/>
      <c r="AX69" s="137"/>
      <c r="AY69" s="136"/>
      <c r="AZ69" s="85"/>
      <c r="BA69" s="137"/>
      <c r="BB69" s="136"/>
      <c r="BC69" s="85"/>
      <c r="BD69" s="137"/>
      <c r="BE69" s="136"/>
      <c r="BF69" s="85"/>
      <c r="BG69" s="137"/>
    </row>
    <row r="70" spans="1:207" ht="5.25" customHeight="1" x14ac:dyDescent="0.25">
      <c r="I70" s="148"/>
      <c r="J70" s="149"/>
      <c r="K70" s="150"/>
      <c r="L70" s="148"/>
      <c r="M70" s="149"/>
      <c r="N70" s="150"/>
      <c r="O70" s="148"/>
      <c r="P70" s="149"/>
      <c r="Q70" s="150"/>
      <c r="R70" s="148"/>
      <c r="S70" s="149"/>
      <c r="T70" s="150"/>
      <c r="U70" s="148"/>
      <c r="V70" s="149"/>
      <c r="W70" s="150"/>
      <c r="X70" s="148"/>
      <c r="Y70" s="149"/>
      <c r="Z70" s="150"/>
      <c r="AA70" s="148"/>
      <c r="AB70" s="149"/>
      <c r="AC70" s="150"/>
      <c r="AD70" s="148"/>
      <c r="AE70" s="149"/>
      <c r="AF70" s="150"/>
      <c r="AG70" s="148"/>
      <c r="AH70" s="149"/>
      <c r="AI70" s="150"/>
      <c r="AJ70" s="148"/>
      <c r="AK70" s="149"/>
      <c r="AL70" s="150"/>
      <c r="AM70" s="148"/>
      <c r="AN70" s="149"/>
      <c r="AO70" s="150"/>
      <c r="AP70" s="148"/>
      <c r="AQ70" s="149"/>
      <c r="AR70" s="150"/>
      <c r="AS70" s="148"/>
      <c r="AT70" s="149"/>
      <c r="AU70" s="150"/>
      <c r="AV70" s="148"/>
      <c r="AW70" s="149"/>
      <c r="AX70" s="150"/>
      <c r="AY70" s="148"/>
      <c r="AZ70" s="149"/>
      <c r="BA70" s="150"/>
      <c r="BB70" s="148"/>
      <c r="BC70" s="149"/>
      <c r="BD70" s="150"/>
      <c r="BE70" s="148"/>
      <c r="BF70" s="149"/>
      <c r="BG70" s="150"/>
    </row>
    <row r="71" spans="1:207" x14ac:dyDescent="0.25">
      <c r="A71" s="342" t="s">
        <v>113</v>
      </c>
      <c r="B71" s="348"/>
      <c r="C71" s="62" t="s">
        <v>106</v>
      </c>
      <c r="D71" s="12"/>
      <c r="E71" s="12"/>
      <c r="F71" s="10"/>
      <c r="G71" s="11"/>
      <c r="H71" s="29"/>
      <c r="I71" s="159" t="s">
        <v>194</v>
      </c>
      <c r="J71" s="11"/>
      <c r="K71" s="160"/>
      <c r="L71" s="159" t="s">
        <v>194</v>
      </c>
      <c r="M71" s="11"/>
      <c r="N71" s="160"/>
      <c r="O71" s="159"/>
      <c r="P71" s="11"/>
      <c r="Q71" s="160"/>
      <c r="R71" s="159" t="s">
        <v>194</v>
      </c>
      <c r="S71" s="11"/>
      <c r="T71" s="160"/>
      <c r="U71" s="159">
        <v>49221</v>
      </c>
      <c r="V71" s="11"/>
      <c r="W71" s="160"/>
      <c r="X71" s="159"/>
      <c r="Y71" s="11"/>
      <c r="Z71" s="160"/>
      <c r="AA71" s="159">
        <f>40453+10824</f>
        <v>51277</v>
      </c>
      <c r="AB71" s="11"/>
      <c r="AC71" s="160"/>
      <c r="AD71" s="159"/>
      <c r="AE71" s="11"/>
      <c r="AF71" s="160"/>
      <c r="AG71" s="159">
        <f>44688+19310</f>
        <v>63998</v>
      </c>
      <c r="AH71" s="11"/>
      <c r="AI71" s="160"/>
      <c r="AJ71" s="159"/>
      <c r="AK71" s="11"/>
      <c r="AL71" s="160"/>
      <c r="AM71" s="159"/>
      <c r="AN71" s="11"/>
      <c r="AO71" s="160"/>
      <c r="AP71" s="159"/>
      <c r="AQ71" s="11"/>
      <c r="AR71" s="160"/>
      <c r="AS71" s="159"/>
      <c r="AT71" s="11"/>
      <c r="AU71" s="160"/>
      <c r="AV71" s="159"/>
      <c r="AW71" s="11"/>
      <c r="AX71" s="160"/>
      <c r="AY71" s="159"/>
      <c r="AZ71" s="11"/>
      <c r="BA71" s="160"/>
      <c r="BB71" s="159"/>
      <c r="BC71" s="11"/>
      <c r="BD71" s="160"/>
      <c r="BE71" s="159"/>
      <c r="BF71" s="11"/>
      <c r="BG71" s="160"/>
    </row>
    <row r="72" spans="1:207" ht="5.25" customHeight="1" x14ac:dyDescent="0.25">
      <c r="A72" s="342"/>
      <c r="B72" s="348"/>
      <c r="C72" s="68"/>
      <c r="D72" s="12"/>
      <c r="E72" s="12"/>
      <c r="F72" s="10"/>
      <c r="G72" s="11"/>
      <c r="H72" s="29"/>
      <c r="I72" s="159"/>
      <c r="J72" s="11"/>
      <c r="K72" s="160"/>
      <c r="L72" s="159"/>
      <c r="M72" s="11"/>
      <c r="N72" s="160"/>
      <c r="O72" s="159"/>
      <c r="P72" s="11"/>
      <c r="Q72" s="160"/>
      <c r="R72" s="159"/>
      <c r="S72" s="11"/>
      <c r="T72" s="160"/>
      <c r="U72" s="159"/>
      <c r="V72" s="11"/>
      <c r="W72" s="160"/>
      <c r="X72" s="159"/>
      <c r="Y72" s="11"/>
      <c r="Z72" s="160"/>
      <c r="AA72" s="159"/>
      <c r="AB72" s="11"/>
      <c r="AC72" s="160"/>
      <c r="AD72" s="159"/>
      <c r="AE72" s="11"/>
      <c r="AF72" s="160"/>
      <c r="AG72" s="159"/>
      <c r="AH72" s="11"/>
      <c r="AI72" s="160"/>
      <c r="AJ72" s="159"/>
      <c r="AK72" s="11"/>
      <c r="AL72" s="160"/>
      <c r="AM72" s="159"/>
      <c r="AN72" s="11"/>
      <c r="AO72" s="160"/>
      <c r="AP72" s="159"/>
      <c r="AQ72" s="11"/>
      <c r="AR72" s="160"/>
      <c r="AS72" s="159"/>
      <c r="AT72" s="11"/>
      <c r="AU72" s="160"/>
      <c r="AV72" s="159"/>
      <c r="AW72" s="11"/>
      <c r="AX72" s="160"/>
      <c r="AY72" s="159"/>
      <c r="AZ72" s="11"/>
      <c r="BA72" s="160"/>
      <c r="BB72" s="159"/>
      <c r="BC72" s="11"/>
      <c r="BD72" s="160"/>
      <c r="BE72" s="159"/>
      <c r="BF72" s="11"/>
      <c r="BG72" s="160"/>
    </row>
    <row r="73" spans="1:207" x14ac:dyDescent="0.25">
      <c r="A73" s="348"/>
      <c r="B73" s="348"/>
      <c r="C73" s="62" t="s">
        <v>107</v>
      </c>
      <c r="D73" s="12"/>
      <c r="E73" s="12"/>
      <c r="F73" s="10"/>
      <c r="G73" s="11"/>
      <c r="H73" s="29"/>
      <c r="I73" s="159" t="s">
        <v>194</v>
      </c>
      <c r="J73" s="11"/>
      <c r="K73" s="160"/>
      <c r="L73" s="159" t="s">
        <v>194</v>
      </c>
      <c r="M73" s="11"/>
      <c r="N73" s="160"/>
      <c r="O73" s="159"/>
      <c r="P73" s="11"/>
      <c r="Q73" s="160"/>
      <c r="R73" s="159" t="s">
        <v>194</v>
      </c>
      <c r="S73" s="11"/>
      <c r="T73" s="160"/>
      <c r="U73" s="159" t="s">
        <v>194</v>
      </c>
      <c r="V73" s="11"/>
      <c r="W73" s="160"/>
      <c r="X73" s="159"/>
      <c r="Y73" s="11"/>
      <c r="Z73" s="160"/>
      <c r="AA73" s="161">
        <f>AA71/AA48</f>
        <v>1.5660078237783859E-2</v>
      </c>
      <c r="AB73" s="11"/>
      <c r="AC73" s="160"/>
      <c r="AD73" s="159"/>
      <c r="AE73" s="11"/>
      <c r="AF73" s="160"/>
      <c r="AG73" s="161">
        <f>AG71/AG48</f>
        <v>1.0472924598313969E-2</v>
      </c>
      <c r="AH73" s="11"/>
      <c r="AI73" s="160"/>
      <c r="AJ73" s="159"/>
      <c r="AK73" s="11"/>
      <c r="AL73" s="160"/>
      <c r="AM73" s="159"/>
      <c r="AN73" s="11"/>
      <c r="AO73" s="160"/>
      <c r="AP73" s="159"/>
      <c r="AQ73" s="11"/>
      <c r="AR73" s="160"/>
      <c r="AS73" s="159"/>
      <c r="AT73" s="11"/>
      <c r="AU73" s="160"/>
      <c r="AV73" s="159"/>
      <c r="AW73" s="11"/>
      <c r="AX73" s="160"/>
      <c r="AY73" s="159"/>
      <c r="AZ73" s="11"/>
      <c r="BA73" s="160"/>
      <c r="BB73" s="159"/>
      <c r="BC73" s="11"/>
      <c r="BD73" s="160"/>
      <c r="BE73" s="159"/>
      <c r="BF73" s="11"/>
      <c r="BG73" s="160"/>
    </row>
    <row r="74" spans="1:207" ht="4.5" customHeight="1" x14ac:dyDescent="0.25">
      <c r="A74" s="348"/>
      <c r="B74" s="348"/>
      <c r="C74" s="68"/>
      <c r="D74" s="12"/>
      <c r="E74" s="12"/>
      <c r="F74" s="10"/>
      <c r="G74" s="11"/>
      <c r="H74" s="29"/>
      <c r="I74" s="159"/>
      <c r="J74" s="11"/>
      <c r="K74" s="160"/>
      <c r="L74" s="159"/>
      <c r="M74" s="11"/>
      <c r="N74" s="160"/>
      <c r="O74" s="159"/>
      <c r="P74" s="11"/>
      <c r="Q74" s="160"/>
      <c r="R74" s="159"/>
      <c r="S74" s="11"/>
      <c r="T74" s="160"/>
      <c r="U74" s="159"/>
      <c r="V74" s="11"/>
      <c r="W74" s="160"/>
      <c r="X74" s="159"/>
      <c r="Y74" s="11"/>
      <c r="Z74" s="160"/>
      <c r="AA74" s="159"/>
      <c r="AB74" s="11"/>
      <c r="AC74" s="160"/>
      <c r="AD74" s="159"/>
      <c r="AE74" s="11"/>
      <c r="AF74" s="160"/>
      <c r="AG74" s="159"/>
      <c r="AH74" s="11"/>
      <c r="AI74" s="160"/>
      <c r="AJ74" s="159"/>
      <c r="AK74" s="11"/>
      <c r="AL74" s="160"/>
      <c r="AM74" s="159"/>
      <c r="AN74" s="11"/>
      <c r="AO74" s="160"/>
      <c r="AP74" s="159"/>
      <c r="AQ74" s="11"/>
      <c r="AR74" s="160"/>
      <c r="AS74" s="159"/>
      <c r="AT74" s="11"/>
      <c r="AU74" s="160"/>
      <c r="AV74" s="159"/>
      <c r="AW74" s="11"/>
      <c r="AX74" s="160"/>
      <c r="AY74" s="159"/>
      <c r="AZ74" s="11"/>
      <c r="BA74" s="160"/>
      <c r="BB74" s="159"/>
      <c r="BC74" s="11"/>
      <c r="BD74" s="160"/>
      <c r="BE74" s="159"/>
      <c r="BF74" s="11"/>
      <c r="BG74" s="160"/>
    </row>
    <row r="75" spans="1:207" x14ac:dyDescent="0.25">
      <c r="A75" s="348"/>
      <c r="B75" s="348"/>
      <c r="C75" s="62" t="s">
        <v>108</v>
      </c>
      <c r="D75" s="12"/>
      <c r="E75" s="12"/>
      <c r="F75" s="10"/>
      <c r="G75" s="11"/>
      <c r="H75" s="29"/>
      <c r="I75" s="159" t="s">
        <v>194</v>
      </c>
      <c r="J75" s="11"/>
      <c r="K75" s="160"/>
      <c r="L75" s="159" t="s">
        <v>194</v>
      </c>
      <c r="M75" s="11"/>
      <c r="N75" s="160"/>
      <c r="O75" s="159"/>
      <c r="P75" s="11"/>
      <c r="Q75" s="160"/>
      <c r="R75" s="159" t="s">
        <v>194</v>
      </c>
      <c r="S75" s="11"/>
      <c r="T75" s="160"/>
      <c r="U75" s="159">
        <v>8564</v>
      </c>
      <c r="V75" s="11"/>
      <c r="W75" s="160"/>
      <c r="X75" s="159"/>
      <c r="Y75" s="11"/>
      <c r="Z75" s="160"/>
      <c r="AA75" s="159"/>
      <c r="AB75" s="11"/>
      <c r="AC75" s="160"/>
      <c r="AD75" s="159"/>
      <c r="AE75" s="11"/>
      <c r="AF75" s="160"/>
      <c r="AG75" s="159"/>
      <c r="AH75" s="11"/>
      <c r="AI75" s="160"/>
      <c r="AJ75" s="159"/>
      <c r="AK75" s="11"/>
      <c r="AL75" s="160"/>
      <c r="AM75" s="159"/>
      <c r="AN75" s="11"/>
      <c r="AO75" s="160"/>
      <c r="AP75" s="159"/>
      <c r="AQ75" s="11"/>
      <c r="AR75" s="160"/>
      <c r="AS75" s="159"/>
      <c r="AT75" s="11"/>
      <c r="AU75" s="160"/>
      <c r="AV75" s="159"/>
      <c r="AW75" s="11"/>
      <c r="AX75" s="160"/>
      <c r="AY75" s="159"/>
      <c r="AZ75" s="11"/>
      <c r="BA75" s="160"/>
      <c r="BB75" s="159"/>
      <c r="BC75" s="11"/>
      <c r="BD75" s="160"/>
      <c r="BE75" s="159"/>
      <c r="BF75" s="11"/>
      <c r="BG75" s="160"/>
    </row>
    <row r="76" spans="1:207" x14ac:dyDescent="0.25">
      <c r="A76" s="348"/>
      <c r="B76" s="348"/>
      <c r="C76" s="62" t="s">
        <v>109</v>
      </c>
      <c r="D76" s="12"/>
      <c r="E76" s="12"/>
      <c r="F76" s="10"/>
      <c r="G76" s="11"/>
      <c r="H76" s="29"/>
      <c r="I76" s="159" t="s">
        <v>194</v>
      </c>
      <c r="J76" s="11"/>
      <c r="K76" s="160"/>
      <c r="L76" s="159" t="s">
        <v>194</v>
      </c>
      <c r="M76" s="11"/>
      <c r="N76" s="160"/>
      <c r="O76" s="159"/>
      <c r="P76" s="11"/>
      <c r="Q76" s="160"/>
      <c r="R76" s="159" t="s">
        <v>194</v>
      </c>
      <c r="S76" s="11"/>
      <c r="T76" s="160"/>
      <c r="U76" s="159" t="s">
        <v>194</v>
      </c>
      <c r="V76" s="11"/>
      <c r="W76" s="160"/>
      <c r="X76" s="159"/>
      <c r="Y76" s="11"/>
      <c r="Z76" s="160"/>
      <c r="AA76" s="159"/>
      <c r="AB76" s="11"/>
      <c r="AC76" s="160"/>
      <c r="AD76" s="159"/>
      <c r="AE76" s="11"/>
      <c r="AF76" s="160"/>
      <c r="AG76" s="159"/>
      <c r="AH76" s="11"/>
      <c r="AI76" s="160"/>
      <c r="AJ76" s="159"/>
      <c r="AK76" s="11"/>
      <c r="AL76" s="160"/>
      <c r="AM76" s="159"/>
      <c r="AN76" s="11"/>
      <c r="AO76" s="160"/>
      <c r="AP76" s="159"/>
      <c r="AQ76" s="11"/>
      <c r="AR76" s="160"/>
      <c r="AS76" s="159"/>
      <c r="AT76" s="11"/>
      <c r="AU76" s="160"/>
      <c r="AV76" s="159"/>
      <c r="AW76" s="11"/>
      <c r="AX76" s="160"/>
      <c r="AY76" s="159"/>
      <c r="AZ76" s="11"/>
      <c r="BA76" s="160"/>
      <c r="BB76" s="159"/>
      <c r="BC76" s="11"/>
      <c r="BD76" s="160"/>
      <c r="BE76" s="159"/>
      <c r="BF76" s="11"/>
      <c r="BG76" s="160"/>
    </row>
    <row r="77" spans="1:207" ht="5.25" customHeight="1" x14ac:dyDescent="0.25">
      <c r="A77" s="348"/>
      <c r="B77" s="348"/>
      <c r="C77" s="68"/>
      <c r="D77" s="12"/>
      <c r="E77" s="12"/>
      <c r="F77" s="10"/>
      <c r="G77" s="11"/>
      <c r="H77" s="29"/>
      <c r="I77" s="159"/>
      <c r="J77" s="11"/>
      <c r="K77" s="160"/>
      <c r="L77" s="159"/>
      <c r="M77" s="11"/>
      <c r="N77" s="160"/>
      <c r="O77" s="159"/>
      <c r="P77" s="11"/>
      <c r="Q77" s="160"/>
      <c r="R77" s="159"/>
      <c r="S77" s="11"/>
      <c r="T77" s="160"/>
      <c r="U77" s="159"/>
      <c r="V77" s="11"/>
      <c r="W77" s="160"/>
      <c r="X77" s="159"/>
      <c r="Y77" s="11"/>
      <c r="Z77" s="160"/>
      <c r="AA77" s="159"/>
      <c r="AB77" s="11"/>
      <c r="AC77" s="160"/>
      <c r="AD77" s="159"/>
      <c r="AE77" s="11"/>
      <c r="AF77" s="160"/>
      <c r="AG77" s="159"/>
      <c r="AH77" s="11"/>
      <c r="AI77" s="160"/>
      <c r="AJ77" s="159"/>
      <c r="AK77" s="11"/>
      <c r="AL77" s="160"/>
      <c r="AM77" s="159"/>
      <c r="AN77" s="11"/>
      <c r="AO77" s="160"/>
      <c r="AP77" s="159"/>
      <c r="AQ77" s="11"/>
      <c r="AR77" s="160"/>
      <c r="AS77" s="159"/>
      <c r="AT77" s="11"/>
      <c r="AU77" s="160"/>
      <c r="AV77" s="159"/>
      <c r="AW77" s="11"/>
      <c r="AX77" s="160"/>
      <c r="AY77" s="159"/>
      <c r="AZ77" s="11"/>
      <c r="BA77" s="160"/>
      <c r="BB77" s="159"/>
      <c r="BC77" s="11"/>
      <c r="BD77" s="160"/>
      <c r="BE77" s="159"/>
      <c r="BF77" s="11"/>
      <c r="BG77" s="160"/>
    </row>
    <row r="78" spans="1:207" x14ac:dyDescent="0.25">
      <c r="A78" s="348"/>
      <c r="B78" s="348"/>
      <c r="C78" s="62" t="s">
        <v>112</v>
      </c>
      <c r="D78" s="12"/>
      <c r="E78" s="12"/>
      <c r="F78" s="10"/>
      <c r="G78" s="11"/>
      <c r="H78" s="29"/>
      <c r="I78" s="159" t="s">
        <v>194</v>
      </c>
      <c r="J78" s="11"/>
      <c r="K78" s="160"/>
      <c r="L78" s="159" t="s">
        <v>194</v>
      </c>
      <c r="M78" s="11"/>
      <c r="N78" s="160"/>
      <c r="O78" s="159"/>
      <c r="P78" s="11"/>
      <c r="Q78" s="160"/>
      <c r="R78" s="159" t="s">
        <v>194</v>
      </c>
      <c r="S78" s="11"/>
      <c r="T78" s="160"/>
      <c r="U78" s="159">
        <v>26686</v>
      </c>
      <c r="V78" s="11"/>
      <c r="W78" s="160"/>
      <c r="X78" s="159"/>
      <c r="Y78" s="11"/>
      <c r="Z78" s="160"/>
      <c r="AA78" s="159"/>
      <c r="AB78" s="11"/>
      <c r="AC78" s="160"/>
      <c r="AD78" s="159"/>
      <c r="AE78" s="11"/>
      <c r="AF78" s="160"/>
      <c r="AG78" s="159"/>
      <c r="AH78" s="11"/>
      <c r="AI78" s="160"/>
      <c r="AJ78" s="159"/>
      <c r="AK78" s="11"/>
      <c r="AL78" s="160"/>
      <c r="AM78" s="159"/>
      <c r="AN78" s="11"/>
      <c r="AO78" s="160"/>
      <c r="AP78" s="159"/>
      <c r="AQ78" s="11"/>
      <c r="AR78" s="160"/>
      <c r="AS78" s="159"/>
      <c r="AT78" s="11"/>
      <c r="AU78" s="160"/>
      <c r="AV78" s="159"/>
      <c r="AW78" s="11"/>
      <c r="AX78" s="160"/>
      <c r="AY78" s="159"/>
      <c r="AZ78" s="11"/>
      <c r="BA78" s="160"/>
      <c r="BB78" s="159"/>
      <c r="BC78" s="11"/>
      <c r="BD78" s="160"/>
      <c r="BE78" s="159"/>
      <c r="BF78" s="11"/>
      <c r="BG78" s="160"/>
    </row>
    <row r="79" spans="1:207" ht="5.25" customHeight="1" x14ac:dyDescent="0.25">
      <c r="I79" s="148"/>
      <c r="J79" s="149"/>
      <c r="K79" s="150"/>
      <c r="L79" s="148"/>
      <c r="M79" s="149"/>
      <c r="N79" s="150"/>
      <c r="O79" s="148"/>
      <c r="P79" s="149"/>
      <c r="Q79" s="150"/>
      <c r="R79" s="148"/>
      <c r="S79" s="149"/>
      <c r="T79" s="150"/>
      <c r="U79" s="148"/>
      <c r="V79" s="149"/>
      <c r="W79" s="150"/>
      <c r="X79" s="148"/>
      <c r="Y79" s="149"/>
      <c r="Z79" s="150"/>
      <c r="AA79" s="148"/>
      <c r="AB79" s="149"/>
      <c r="AC79" s="150"/>
      <c r="AD79" s="148"/>
      <c r="AE79" s="149"/>
      <c r="AF79" s="150"/>
      <c r="AG79" s="148"/>
      <c r="AH79" s="149"/>
      <c r="AI79" s="150"/>
      <c r="AJ79" s="148"/>
      <c r="AK79" s="149"/>
      <c r="AL79" s="150"/>
      <c r="AM79" s="148"/>
      <c r="AN79" s="149"/>
      <c r="AO79" s="150"/>
      <c r="AP79" s="148"/>
      <c r="AQ79" s="149"/>
      <c r="AR79" s="150"/>
      <c r="AS79" s="148"/>
      <c r="AT79" s="149"/>
      <c r="AU79" s="150"/>
      <c r="AV79" s="148"/>
      <c r="AW79" s="149"/>
      <c r="AX79" s="150"/>
      <c r="AY79" s="148"/>
      <c r="AZ79" s="149"/>
      <c r="BA79" s="150"/>
      <c r="BB79" s="148"/>
      <c r="BC79" s="149"/>
      <c r="BD79" s="150"/>
      <c r="BE79" s="148"/>
      <c r="BF79" s="149"/>
      <c r="BG79" s="150"/>
    </row>
    <row r="80" spans="1:207" ht="15" customHeight="1" x14ac:dyDescent="0.25">
      <c r="A80" s="347" t="s">
        <v>42</v>
      </c>
      <c r="B80" s="356" t="s">
        <v>28</v>
      </c>
      <c r="C80" s="62" t="s">
        <v>28</v>
      </c>
      <c r="D80" s="12"/>
      <c r="E80" s="12"/>
      <c r="F80" s="10"/>
      <c r="G80" s="11"/>
      <c r="H80" s="29"/>
      <c r="I80" s="208">
        <v>1793884</v>
      </c>
      <c r="J80" s="200"/>
      <c r="K80" s="201"/>
      <c r="L80" s="208">
        <v>1743910</v>
      </c>
      <c r="M80" s="200"/>
      <c r="N80" s="201"/>
      <c r="O80" s="208">
        <v>1673364</v>
      </c>
      <c r="P80" s="200"/>
      <c r="Q80" s="201"/>
      <c r="R80" s="208">
        <f>O80</f>
        <v>1673364</v>
      </c>
      <c r="S80" s="200"/>
      <c r="T80" s="201"/>
      <c r="U80">
        <v>769187</v>
      </c>
      <c r="V80" s="107"/>
      <c r="W80" s="298"/>
      <c r="X80" s="263">
        <v>1732202</v>
      </c>
      <c r="Y80" s="107"/>
      <c r="Z80" s="143"/>
      <c r="AA80" s="301">
        <v>1526131</v>
      </c>
      <c r="AB80" s="107"/>
      <c r="AC80" s="143"/>
      <c r="AD80" s="142"/>
      <c r="AE80" s="107"/>
      <c r="AF80" s="143"/>
      <c r="AG80" s="142">
        <v>2007079</v>
      </c>
      <c r="AH80" s="107"/>
      <c r="AI80" s="143"/>
      <c r="AJ80" s="142"/>
      <c r="AK80" s="107"/>
      <c r="AL80" s="143"/>
      <c r="AM80" s="142"/>
      <c r="AN80" s="107"/>
      <c r="AO80" s="143"/>
      <c r="AP80" s="142"/>
      <c r="AQ80" s="107"/>
      <c r="AR80" s="143"/>
      <c r="AS80" s="142"/>
      <c r="AT80" s="107"/>
      <c r="AU80" s="143"/>
      <c r="AV80" s="142"/>
      <c r="AW80" s="107"/>
      <c r="AX80" s="143"/>
      <c r="AY80" s="142"/>
      <c r="AZ80" s="107"/>
      <c r="BA80" s="143"/>
      <c r="BB80" s="142"/>
      <c r="BC80" s="107"/>
      <c r="BD80" s="143"/>
      <c r="BE80" s="142"/>
      <c r="BF80" s="107"/>
      <c r="BG80" s="143"/>
    </row>
    <row r="81" spans="1:59" x14ac:dyDescent="0.25">
      <c r="A81" s="347"/>
      <c r="B81" s="357"/>
      <c r="C81" s="62" t="s">
        <v>55</v>
      </c>
      <c r="D81" s="12"/>
      <c r="E81" s="12"/>
      <c r="F81" s="10"/>
      <c r="G81" s="11"/>
      <c r="H81" s="29"/>
      <c r="I81" s="136">
        <f>I80/I46</f>
        <v>0.15309008491491791</v>
      </c>
      <c r="J81" s="85"/>
      <c r="K81" s="137"/>
      <c r="L81" s="136">
        <f>L80/L46</f>
        <v>0.15529580485166067</v>
      </c>
      <c r="M81" s="85"/>
      <c r="N81" s="137"/>
      <c r="O81" s="136"/>
      <c r="P81" s="85"/>
      <c r="Q81" s="137"/>
      <c r="R81" s="136">
        <f>R80/O46</f>
        <v>0.18530496513664668</v>
      </c>
      <c r="S81" s="85"/>
      <c r="T81" s="137"/>
      <c r="U81" s="136">
        <f>U80/R46</f>
        <v>2.4053812021305493E-2</v>
      </c>
      <c r="V81" s="85"/>
      <c r="W81" s="137"/>
      <c r="X81" s="136"/>
      <c r="Y81" s="85"/>
      <c r="Z81" s="137"/>
      <c r="AA81" s="136"/>
      <c r="AB81" s="85"/>
      <c r="AC81" s="137"/>
      <c r="AD81" s="136"/>
      <c r="AE81" s="85"/>
      <c r="AF81" s="137"/>
      <c r="AG81" s="136">
        <f>AG80/AG46</f>
        <v>0.16003234915042722</v>
      </c>
      <c r="AH81" s="85"/>
      <c r="AI81" s="137"/>
      <c r="AJ81" s="136"/>
      <c r="AK81" s="85"/>
      <c r="AL81" s="137"/>
      <c r="AM81" s="136"/>
      <c r="AN81" s="85"/>
      <c r="AO81" s="137"/>
      <c r="AP81" s="136"/>
      <c r="AQ81" s="85"/>
      <c r="AR81" s="137"/>
      <c r="AS81" s="136"/>
      <c r="AT81" s="85"/>
      <c r="AU81" s="137"/>
      <c r="AV81" s="136"/>
      <c r="AW81" s="85"/>
      <c r="AX81" s="137"/>
      <c r="AY81" s="136"/>
      <c r="AZ81" s="85"/>
      <c r="BA81" s="137"/>
      <c r="BB81" s="136"/>
      <c r="BC81" s="85"/>
      <c r="BD81" s="137"/>
      <c r="BE81" s="136"/>
      <c r="BF81" s="85"/>
      <c r="BG81" s="137"/>
    </row>
    <row r="82" spans="1:59" ht="4.5" customHeight="1" x14ac:dyDescent="0.25">
      <c r="A82" s="347"/>
      <c r="B82" s="70"/>
      <c r="I82" s="148"/>
      <c r="J82" s="149"/>
      <c r="K82" s="150"/>
      <c r="L82" s="148"/>
      <c r="M82" s="149"/>
      <c r="N82" s="150"/>
      <c r="O82" s="148"/>
      <c r="P82" s="149"/>
      <c r="Q82" s="150"/>
      <c r="R82" s="148"/>
      <c r="S82" s="149"/>
      <c r="T82" s="150"/>
      <c r="U82" s="148"/>
      <c r="V82" s="149"/>
      <c r="W82" s="150"/>
      <c r="X82" s="148"/>
      <c r="Y82" s="149"/>
      <c r="Z82" s="150"/>
      <c r="AA82" s="148"/>
      <c r="AB82" s="149"/>
      <c r="AC82" s="150"/>
      <c r="AD82" s="148"/>
      <c r="AE82" s="149"/>
      <c r="AF82" s="150"/>
      <c r="AG82" s="148"/>
      <c r="AH82" s="149"/>
      <c r="AI82" s="150"/>
      <c r="AJ82" s="148"/>
      <c r="AK82" s="149"/>
      <c r="AL82" s="150"/>
      <c r="AM82" s="148"/>
      <c r="AN82" s="149"/>
      <c r="AO82" s="150"/>
      <c r="AP82" s="148"/>
      <c r="AQ82" s="149"/>
      <c r="AR82" s="150"/>
      <c r="AS82" s="148"/>
      <c r="AT82" s="149"/>
      <c r="AU82" s="150"/>
      <c r="AV82" s="148"/>
      <c r="AW82" s="149"/>
      <c r="AX82" s="150"/>
      <c r="AY82" s="148"/>
      <c r="AZ82" s="149"/>
      <c r="BA82" s="150"/>
      <c r="BB82" s="148"/>
      <c r="BC82" s="149"/>
      <c r="BD82" s="150"/>
      <c r="BE82" s="148"/>
      <c r="BF82" s="149"/>
      <c r="BG82" s="150"/>
    </row>
    <row r="83" spans="1:59" ht="27" hidden="1" customHeight="1" x14ac:dyDescent="0.25">
      <c r="A83" s="347"/>
      <c r="B83" s="74" t="s">
        <v>116</v>
      </c>
      <c r="C83" s="62" t="s">
        <v>114</v>
      </c>
      <c r="D83" s="12"/>
      <c r="E83" s="12"/>
      <c r="F83" s="10"/>
      <c r="G83" s="11"/>
      <c r="H83" s="29"/>
      <c r="I83" s="231">
        <f>I80/I5</f>
        <v>0.14686652612743517</v>
      </c>
      <c r="J83" s="11"/>
      <c r="K83" s="160"/>
      <c r="L83" s="231">
        <f>L80/L5</f>
        <v>0.14897843699202479</v>
      </c>
      <c r="M83" s="11"/>
      <c r="N83" s="160"/>
      <c r="O83" s="231">
        <f>O80/O5</f>
        <v>0.17773462186448416</v>
      </c>
      <c r="P83" s="11"/>
      <c r="Q83" s="160"/>
      <c r="R83" s="231">
        <f t="shared" ref="R83" si="27">(O83+L83+I83)/3</f>
        <v>0.15785986166131469</v>
      </c>
      <c r="S83" s="11"/>
      <c r="T83" s="160"/>
      <c r="U83" s="159"/>
      <c r="V83" s="11"/>
      <c r="W83" s="160"/>
      <c r="X83" s="159"/>
      <c r="Y83" s="11"/>
      <c r="Z83" s="160"/>
      <c r="AA83" s="159"/>
      <c r="AB83" s="11"/>
      <c r="AC83" s="160"/>
      <c r="AD83" s="159"/>
      <c r="AE83" s="11"/>
      <c r="AF83" s="160"/>
      <c r="AG83" s="159"/>
      <c r="AH83" s="11"/>
      <c r="AI83" s="160"/>
      <c r="AJ83" s="159"/>
      <c r="AK83" s="11"/>
      <c r="AL83" s="160"/>
      <c r="AM83" s="159"/>
      <c r="AN83" s="11"/>
      <c r="AO83" s="160"/>
      <c r="AP83" s="159"/>
      <c r="AQ83" s="11"/>
      <c r="AR83" s="160"/>
      <c r="AS83" s="159"/>
      <c r="AT83" s="11"/>
      <c r="AU83" s="160"/>
      <c r="AV83" s="159"/>
      <c r="AW83" s="11"/>
      <c r="AX83" s="160"/>
      <c r="AY83" s="159"/>
      <c r="AZ83" s="11"/>
      <c r="BA83" s="160"/>
      <c r="BB83" s="159"/>
      <c r="BC83" s="11"/>
      <c r="BD83" s="160"/>
      <c r="BE83" s="159"/>
      <c r="BF83" s="11"/>
      <c r="BG83" s="160"/>
    </row>
    <row r="84" spans="1:59" ht="4.5" hidden="1" customHeight="1" x14ac:dyDescent="0.25">
      <c r="A84" s="347"/>
      <c r="B84" s="24"/>
      <c r="C84" s="20"/>
      <c r="D84" s="20"/>
      <c r="E84" s="20"/>
      <c r="F84" s="20"/>
      <c r="G84" s="21"/>
      <c r="H84" s="29"/>
      <c r="I84" s="163"/>
      <c r="J84" s="21"/>
      <c r="K84" s="164"/>
      <c r="L84" s="163"/>
      <c r="M84" s="21"/>
      <c r="N84" s="164"/>
      <c r="O84" s="163"/>
      <c r="P84" s="21"/>
      <c r="Q84" s="164"/>
      <c r="R84" s="163"/>
      <c r="S84" s="21"/>
      <c r="T84" s="164"/>
      <c r="U84" s="163"/>
      <c r="V84" s="21"/>
      <c r="W84" s="164"/>
      <c r="X84" s="163"/>
      <c r="Y84" s="21"/>
      <c r="Z84" s="164"/>
      <c r="AA84" s="163"/>
      <c r="AB84" s="21"/>
      <c r="AC84" s="164"/>
      <c r="AD84" s="163"/>
      <c r="AE84" s="21"/>
      <c r="AF84" s="164"/>
      <c r="AG84" s="163"/>
      <c r="AH84" s="21"/>
      <c r="AI84" s="164"/>
      <c r="AJ84" s="163"/>
      <c r="AK84" s="21"/>
      <c r="AL84" s="164"/>
      <c r="AM84" s="163"/>
      <c r="AN84" s="21"/>
      <c r="AO84" s="164"/>
      <c r="AP84" s="163"/>
      <c r="AQ84" s="21"/>
      <c r="AR84" s="164"/>
      <c r="AS84" s="163"/>
      <c r="AT84" s="21"/>
      <c r="AU84" s="164"/>
      <c r="AV84" s="163"/>
      <c r="AW84" s="21"/>
      <c r="AX84" s="164"/>
      <c r="AY84" s="163"/>
      <c r="AZ84" s="21"/>
      <c r="BA84" s="164"/>
      <c r="BB84" s="163"/>
      <c r="BC84" s="21"/>
      <c r="BD84" s="164"/>
      <c r="BE84" s="163"/>
      <c r="BF84" s="21"/>
      <c r="BG84" s="164"/>
    </row>
    <row r="85" spans="1:59" x14ac:dyDescent="0.25">
      <c r="A85" s="347"/>
      <c r="B85" s="355" t="s">
        <v>34</v>
      </c>
      <c r="C85" s="71" t="s">
        <v>30</v>
      </c>
      <c r="D85" s="12"/>
      <c r="E85" s="12"/>
      <c r="F85" s="10"/>
      <c r="G85" s="11"/>
      <c r="H85" s="29"/>
      <c r="I85" s="84">
        <v>146</v>
      </c>
      <c r="J85" s="11"/>
      <c r="K85" s="160"/>
      <c r="L85" s="84">
        <v>148</v>
      </c>
      <c r="M85" s="11"/>
      <c r="N85" s="160"/>
      <c r="O85" s="84">
        <v>157</v>
      </c>
      <c r="P85" s="11"/>
      <c r="Q85" s="160"/>
      <c r="R85" s="84">
        <f>O85</f>
        <v>157</v>
      </c>
      <c r="S85" s="11"/>
      <c r="T85" s="175"/>
      <c r="U85" s="263">
        <v>58</v>
      </c>
      <c r="V85" s="11"/>
      <c r="W85" s="175"/>
      <c r="X85" s="263">
        <v>142</v>
      </c>
      <c r="Y85" s="11"/>
      <c r="Z85" s="160"/>
      <c r="AA85" s="11">
        <v>137</v>
      </c>
      <c r="AB85" s="11"/>
      <c r="AC85" s="160"/>
      <c r="AD85" s="159"/>
      <c r="AE85" s="11"/>
      <c r="AF85" s="160"/>
      <c r="AG85" s="159"/>
      <c r="AH85" s="11"/>
      <c r="AI85" s="160"/>
      <c r="AJ85" s="159"/>
      <c r="AK85" s="11"/>
      <c r="AL85" s="160"/>
      <c r="AM85" s="159"/>
      <c r="AN85" s="11"/>
      <c r="AO85" s="160"/>
      <c r="AP85" s="159"/>
      <c r="AQ85" s="11"/>
      <c r="AR85" s="160"/>
      <c r="AS85" s="159"/>
      <c r="AT85" s="11"/>
      <c r="AU85" s="160"/>
      <c r="AV85" s="159"/>
      <c r="AW85" s="11"/>
      <c r="AX85" s="160"/>
      <c r="AY85" s="159"/>
      <c r="AZ85" s="11"/>
      <c r="BA85" s="160"/>
      <c r="BB85" s="159"/>
      <c r="BC85" s="11"/>
      <c r="BD85" s="160"/>
      <c r="BE85" s="159"/>
      <c r="BF85" s="11"/>
      <c r="BG85" s="160"/>
    </row>
    <row r="86" spans="1:59" x14ac:dyDescent="0.25">
      <c r="A86" s="347"/>
      <c r="B86" s="355"/>
      <c r="C86" s="71" t="s">
        <v>31</v>
      </c>
      <c r="D86" s="12"/>
      <c r="E86" s="12"/>
      <c r="F86" s="10"/>
      <c r="G86" s="11"/>
      <c r="H86" s="29"/>
      <c r="I86" s="84">
        <v>7</v>
      </c>
      <c r="J86" s="11"/>
      <c r="K86" s="160"/>
      <c r="L86" s="84">
        <v>7</v>
      </c>
      <c r="M86" s="11"/>
      <c r="N86" s="160"/>
      <c r="O86" s="84">
        <v>7</v>
      </c>
      <c r="P86" s="11"/>
      <c r="Q86" s="160"/>
      <c r="R86" s="84">
        <f>O86</f>
        <v>7</v>
      </c>
      <c r="S86" s="11"/>
      <c r="T86" s="175"/>
      <c r="U86" s="263">
        <v>6</v>
      </c>
      <c r="V86" s="11"/>
      <c r="W86" s="175"/>
      <c r="X86" s="263">
        <v>5</v>
      </c>
      <c r="Y86" s="11"/>
      <c r="Z86" s="160"/>
      <c r="AA86" s="11">
        <v>5</v>
      </c>
      <c r="AB86" s="11"/>
      <c r="AC86" s="160"/>
      <c r="AD86" s="159"/>
      <c r="AE86" s="11"/>
      <c r="AF86" s="160"/>
      <c r="AG86" s="159">
        <v>161</v>
      </c>
      <c r="AH86" s="11"/>
      <c r="AI86" s="160"/>
      <c r="AJ86" s="159"/>
      <c r="AK86" s="11"/>
      <c r="AL86" s="160"/>
      <c r="AM86" s="159"/>
      <c r="AN86" s="11"/>
      <c r="AO86" s="160"/>
      <c r="AP86" s="159"/>
      <c r="AQ86" s="11"/>
      <c r="AR86" s="160"/>
      <c r="AS86" s="159"/>
      <c r="AT86" s="11"/>
      <c r="AU86" s="160"/>
      <c r="AV86" s="159"/>
      <c r="AW86" s="11"/>
      <c r="AX86" s="160"/>
      <c r="AY86" s="159"/>
      <c r="AZ86" s="11"/>
      <c r="BA86" s="160"/>
      <c r="BB86" s="159"/>
      <c r="BC86" s="11"/>
      <c r="BD86" s="160"/>
      <c r="BE86" s="159"/>
      <c r="BF86" s="11"/>
      <c r="BG86" s="160"/>
    </row>
    <row r="87" spans="1:59" x14ac:dyDescent="0.25">
      <c r="A87" s="347"/>
      <c r="B87" s="355"/>
      <c r="C87" s="62" t="s">
        <v>32</v>
      </c>
      <c r="D87" s="12"/>
      <c r="E87" s="12"/>
      <c r="F87" s="10"/>
      <c r="G87" s="11"/>
      <c r="H87" s="29"/>
      <c r="I87" s="159"/>
      <c r="J87" s="11"/>
      <c r="K87" s="160"/>
      <c r="L87" s="159"/>
      <c r="M87" s="11"/>
      <c r="N87" s="160"/>
      <c r="O87" s="159"/>
      <c r="P87" s="11"/>
      <c r="Q87" s="160"/>
      <c r="R87" s="159"/>
      <c r="S87" s="11"/>
      <c r="T87" s="175"/>
      <c r="U87" s="263"/>
      <c r="V87" s="11"/>
      <c r="W87" s="175"/>
      <c r="X87" s="263">
        <v>3</v>
      </c>
      <c r="Y87" s="11"/>
      <c r="Z87" s="160"/>
      <c r="AA87" s="11">
        <v>3</v>
      </c>
      <c r="AB87" s="11"/>
      <c r="AC87" s="160"/>
      <c r="AD87" s="159"/>
      <c r="AE87" s="11"/>
      <c r="AF87" s="160"/>
      <c r="AG87" s="159">
        <v>13</v>
      </c>
      <c r="AH87" s="11"/>
      <c r="AI87" s="160"/>
      <c r="AJ87" s="159"/>
      <c r="AK87" s="11"/>
      <c r="AL87" s="160"/>
      <c r="AM87" s="159"/>
      <c r="AN87" s="11"/>
      <c r="AO87" s="160"/>
      <c r="AP87" s="159"/>
      <c r="AQ87" s="11"/>
      <c r="AR87" s="160"/>
      <c r="AS87" s="159"/>
      <c r="AT87" s="11"/>
      <c r="AU87" s="160"/>
      <c r="AV87" s="159"/>
      <c r="AW87" s="11"/>
      <c r="AX87" s="160"/>
      <c r="AY87" s="159"/>
      <c r="AZ87" s="11"/>
      <c r="BA87" s="160"/>
      <c r="BB87" s="159"/>
      <c r="BC87" s="11"/>
      <c r="BD87" s="160"/>
      <c r="BE87" s="159"/>
      <c r="BF87" s="11"/>
      <c r="BG87" s="160"/>
    </row>
    <row r="88" spans="1:59" x14ac:dyDescent="0.25">
      <c r="A88" s="347"/>
      <c r="B88" s="355"/>
      <c r="C88" s="62" t="s">
        <v>33</v>
      </c>
      <c r="D88" s="12"/>
      <c r="E88" s="12"/>
      <c r="F88" s="10"/>
      <c r="G88" s="11"/>
      <c r="H88" s="29"/>
      <c r="I88" s="159"/>
      <c r="J88" s="11"/>
      <c r="K88" s="160"/>
      <c r="L88" s="159"/>
      <c r="M88" s="11"/>
      <c r="N88" s="160"/>
      <c r="O88" s="159"/>
      <c r="P88" s="11"/>
      <c r="Q88" s="160"/>
      <c r="R88" s="159"/>
      <c r="S88" s="11"/>
      <c r="T88" s="175"/>
      <c r="U88" s="263"/>
      <c r="V88" s="11"/>
      <c r="W88" s="160"/>
      <c r="X88" s="159"/>
      <c r="Y88" s="11"/>
      <c r="Z88" s="160"/>
      <c r="AA88" s="159"/>
      <c r="AB88" s="11"/>
      <c r="AC88" s="160"/>
      <c r="AD88" s="159"/>
      <c r="AE88" s="11"/>
      <c r="AF88" s="160"/>
      <c r="AG88" s="159">
        <v>5</v>
      </c>
      <c r="AH88" s="11"/>
      <c r="AI88" s="160"/>
      <c r="AJ88" s="159"/>
      <c r="AK88" s="11"/>
      <c r="AL88" s="160"/>
      <c r="AM88" s="159"/>
      <c r="AN88" s="11"/>
      <c r="AO88" s="160"/>
      <c r="AP88" s="159"/>
      <c r="AQ88" s="11"/>
      <c r="AR88" s="160"/>
      <c r="AS88" s="159"/>
      <c r="AT88" s="11"/>
      <c r="AU88" s="160"/>
      <c r="AV88" s="159"/>
      <c r="AW88" s="11"/>
      <c r="AX88" s="160"/>
      <c r="AY88" s="159"/>
      <c r="AZ88" s="11"/>
      <c r="BA88" s="160"/>
      <c r="BB88" s="159"/>
      <c r="BC88" s="11"/>
      <c r="BD88" s="160"/>
      <c r="BE88" s="159"/>
      <c r="BF88" s="11"/>
      <c r="BG88" s="160"/>
    </row>
    <row r="89" spans="1:59" ht="4.5" customHeight="1" x14ac:dyDescent="0.25">
      <c r="A89" s="347"/>
      <c r="I89" s="148"/>
      <c r="J89" s="149"/>
      <c r="K89" s="150"/>
      <c r="L89" s="148"/>
      <c r="M89" s="149"/>
      <c r="N89" s="150"/>
      <c r="O89" s="148"/>
      <c r="P89" s="149"/>
      <c r="Q89" s="150"/>
      <c r="R89" s="148"/>
      <c r="S89" s="149"/>
      <c r="T89" s="150"/>
      <c r="U89" s="148"/>
      <c r="V89" s="149"/>
      <c r="W89" s="150"/>
      <c r="X89" s="148"/>
      <c r="Y89" s="149"/>
      <c r="Z89" s="150"/>
      <c r="AA89" s="148"/>
      <c r="AB89" s="149"/>
      <c r="AC89" s="150"/>
      <c r="AD89" s="148"/>
      <c r="AE89" s="149"/>
      <c r="AF89" s="150"/>
      <c r="AG89" s="148"/>
      <c r="AH89" s="149"/>
      <c r="AI89" s="150"/>
      <c r="AJ89" s="148"/>
      <c r="AK89" s="149"/>
      <c r="AL89" s="150"/>
      <c r="AM89" s="148"/>
      <c r="AN89" s="149"/>
      <c r="AO89" s="150"/>
      <c r="AP89" s="148"/>
      <c r="AQ89" s="149"/>
      <c r="AR89" s="150"/>
      <c r="AS89" s="148"/>
      <c r="AT89" s="149"/>
      <c r="AU89" s="150"/>
      <c r="AV89" s="148"/>
      <c r="AW89" s="149"/>
      <c r="AX89" s="150"/>
      <c r="AY89" s="148"/>
      <c r="AZ89" s="149"/>
      <c r="BA89" s="150"/>
      <c r="BB89" s="148"/>
      <c r="BC89" s="149"/>
      <c r="BD89" s="150"/>
      <c r="BE89" s="148"/>
      <c r="BF89" s="149"/>
      <c r="BG89" s="150"/>
    </row>
    <row r="90" spans="1:59" x14ac:dyDescent="0.25">
      <c r="A90" s="347"/>
      <c r="B90" s="355" t="s">
        <v>29</v>
      </c>
      <c r="C90" s="62" t="s">
        <v>35</v>
      </c>
      <c r="D90" s="12"/>
      <c r="E90" s="12"/>
      <c r="F90" s="10"/>
      <c r="G90" s="11"/>
      <c r="H90" s="29"/>
      <c r="I90" s="84">
        <v>1592285</v>
      </c>
      <c r="J90" s="11"/>
      <c r="K90" s="160"/>
      <c r="L90" s="84">
        <v>1568788</v>
      </c>
      <c r="M90" s="11"/>
      <c r="N90" s="160"/>
      <c r="O90" s="84">
        <v>1493909</v>
      </c>
      <c r="P90" s="11"/>
      <c r="Q90" s="160"/>
      <c r="R90" s="84">
        <f>O90</f>
        <v>1493909</v>
      </c>
      <c r="S90" s="11"/>
      <c r="T90" s="160"/>
      <c r="U90">
        <v>619995</v>
      </c>
      <c r="V90" s="11"/>
      <c r="W90" s="160"/>
      <c r="X90">
        <v>1576688</v>
      </c>
      <c r="Y90" s="11"/>
      <c r="Z90" s="160"/>
      <c r="AA90" s="11">
        <v>13419673</v>
      </c>
      <c r="AB90" s="11"/>
      <c r="AC90" s="160"/>
      <c r="AD90" s="159"/>
      <c r="AE90" s="11"/>
      <c r="AF90" s="160"/>
      <c r="AG90" s="159">
        <v>1592935</v>
      </c>
      <c r="AH90" s="11"/>
      <c r="AI90" s="160"/>
      <c r="AJ90" s="159"/>
      <c r="AK90" s="11"/>
      <c r="AL90" s="160"/>
      <c r="AM90" s="159"/>
      <c r="AN90" s="11"/>
      <c r="AO90" s="160"/>
      <c r="AP90" s="159"/>
      <c r="AQ90" s="11"/>
      <c r="AR90" s="160"/>
      <c r="AS90" s="159"/>
      <c r="AT90" s="11"/>
      <c r="AU90" s="160"/>
      <c r="AV90" s="159"/>
      <c r="AW90" s="11"/>
      <c r="AX90" s="160"/>
      <c r="AY90" s="159"/>
      <c r="AZ90" s="11"/>
      <c r="BA90" s="160"/>
      <c r="BB90" s="159"/>
      <c r="BC90" s="11"/>
      <c r="BD90" s="160"/>
      <c r="BE90" s="159"/>
      <c r="BF90" s="11"/>
      <c r="BG90" s="160"/>
    </row>
    <row r="91" spans="1:59" x14ac:dyDescent="0.25">
      <c r="A91" s="347"/>
      <c r="B91" s="355"/>
      <c r="C91" s="62" t="s">
        <v>36</v>
      </c>
      <c r="D91" s="12"/>
      <c r="E91" s="12"/>
      <c r="F91" s="10"/>
      <c r="G91" s="11"/>
      <c r="H91" s="29"/>
      <c r="I91" s="159"/>
      <c r="J91" s="11"/>
      <c r="K91" s="160"/>
      <c r="L91" s="159"/>
      <c r="M91" s="11"/>
      <c r="N91" s="160"/>
      <c r="O91" s="159"/>
      <c r="P91" s="11"/>
      <c r="Q91" s="160"/>
      <c r="R91" s="159"/>
      <c r="S91" s="11"/>
      <c r="T91" s="160"/>
      <c r="U91" s="159"/>
      <c r="V91" s="11"/>
      <c r="W91" s="160"/>
      <c r="X91" s="159"/>
      <c r="Y91" s="11"/>
      <c r="Z91" s="160"/>
      <c r="AA91" s="11">
        <v>118100</v>
      </c>
      <c r="AB91" s="11"/>
      <c r="AC91" s="160"/>
      <c r="AD91" s="159"/>
      <c r="AE91" s="11"/>
      <c r="AF91" s="160"/>
      <c r="AG91" s="159">
        <v>354983</v>
      </c>
      <c r="AH91" s="11"/>
      <c r="AI91" s="160"/>
      <c r="AJ91" s="159"/>
      <c r="AK91" s="11"/>
      <c r="AL91" s="160"/>
      <c r="AM91" s="159"/>
      <c r="AN91" s="11"/>
      <c r="AO91" s="160"/>
      <c r="AP91" s="159"/>
      <c r="AQ91" s="11"/>
      <c r="AR91" s="160"/>
      <c r="AS91" s="159"/>
      <c r="AT91" s="11"/>
      <c r="AU91" s="160"/>
      <c r="AV91" s="159"/>
      <c r="AW91" s="11"/>
      <c r="AX91" s="160"/>
      <c r="AY91" s="159"/>
      <c r="AZ91" s="11"/>
      <c r="BA91" s="160"/>
      <c r="BB91" s="159"/>
      <c r="BC91" s="11"/>
      <c r="BD91" s="160"/>
      <c r="BE91" s="159"/>
      <c r="BF91" s="11"/>
      <c r="BG91" s="160"/>
    </row>
    <row r="92" spans="1:59" x14ac:dyDescent="0.25">
      <c r="A92" s="347"/>
      <c r="B92" s="355"/>
      <c r="C92" s="62" t="s">
        <v>37</v>
      </c>
      <c r="D92" s="12"/>
      <c r="E92" s="12"/>
      <c r="F92" s="10"/>
      <c r="G92" s="11"/>
      <c r="H92" s="29"/>
      <c r="I92" s="159"/>
      <c r="J92" s="11"/>
      <c r="K92" s="160"/>
      <c r="L92" s="159"/>
      <c r="M92" s="11"/>
      <c r="N92" s="160"/>
      <c r="O92" s="159"/>
      <c r="P92" s="11"/>
      <c r="Q92" s="160"/>
      <c r="R92" s="159"/>
      <c r="S92" s="11"/>
      <c r="T92" s="160"/>
      <c r="U92" s="159"/>
      <c r="V92" s="11"/>
      <c r="W92" s="175"/>
      <c r="X92" s="263">
        <v>33076</v>
      </c>
      <c r="Y92" s="11"/>
      <c r="Z92" s="160"/>
      <c r="AA92" s="11">
        <v>37221</v>
      </c>
      <c r="AB92" s="11"/>
      <c r="AC92" s="160"/>
      <c r="AD92" s="159"/>
      <c r="AE92" s="11"/>
      <c r="AF92" s="160"/>
      <c r="AG92" s="159">
        <v>59161</v>
      </c>
      <c r="AH92" s="11"/>
      <c r="AI92" s="160"/>
      <c r="AJ92" s="159"/>
      <c r="AK92" s="11"/>
      <c r="AL92" s="160"/>
      <c r="AM92" s="159"/>
      <c r="AN92" s="11"/>
      <c r="AO92" s="160"/>
      <c r="AP92" s="159"/>
      <c r="AQ92" s="11"/>
      <c r="AR92" s="160"/>
      <c r="AS92" s="159"/>
      <c r="AT92" s="11"/>
      <c r="AU92" s="160"/>
      <c r="AV92" s="159"/>
      <c r="AW92" s="11"/>
      <c r="AX92" s="160"/>
      <c r="AY92" s="159"/>
      <c r="AZ92" s="11"/>
      <c r="BA92" s="160"/>
      <c r="BB92" s="159"/>
      <c r="BC92" s="11"/>
      <c r="BD92" s="160"/>
      <c r="BE92" s="159"/>
      <c r="BF92" s="11"/>
      <c r="BG92" s="160"/>
    </row>
    <row r="93" spans="1:59" x14ac:dyDescent="0.25">
      <c r="A93" s="347"/>
      <c r="B93" s="355"/>
      <c r="C93" s="62" t="s">
        <v>38</v>
      </c>
      <c r="D93" s="12"/>
      <c r="E93" s="12"/>
      <c r="F93" s="10"/>
      <c r="G93" s="11"/>
      <c r="H93" s="29"/>
      <c r="I93" s="159"/>
      <c r="J93" s="11"/>
      <c r="K93" s="160"/>
      <c r="L93" s="159"/>
      <c r="M93" s="11"/>
      <c r="N93" s="160"/>
      <c r="O93" s="159"/>
      <c r="P93" s="11"/>
      <c r="Q93" s="160"/>
      <c r="R93" s="159"/>
      <c r="S93" s="11"/>
      <c r="T93" s="160"/>
      <c r="U93" s="159"/>
      <c r="V93" s="11"/>
      <c r="W93" s="175"/>
      <c r="X93" s="263">
        <v>122438</v>
      </c>
      <c r="Y93" s="11"/>
      <c r="Z93" s="160"/>
      <c r="AA93" s="11"/>
      <c r="AB93" s="11"/>
      <c r="AC93" s="160"/>
      <c r="AD93" s="159"/>
      <c r="AE93" s="11"/>
      <c r="AF93" s="160"/>
      <c r="AG93" s="159"/>
      <c r="AH93" s="11"/>
      <c r="AI93" s="160"/>
      <c r="AJ93" s="159"/>
      <c r="AK93" s="11"/>
      <c r="AL93" s="160"/>
      <c r="AM93" s="159"/>
      <c r="AN93" s="11"/>
      <c r="AO93" s="160"/>
      <c r="AP93" s="159"/>
      <c r="AQ93" s="11"/>
      <c r="AR93" s="160"/>
      <c r="AS93" s="159"/>
      <c r="AT93" s="11"/>
      <c r="AU93" s="160"/>
      <c r="AV93" s="159"/>
      <c r="AW93" s="11"/>
      <c r="AX93" s="160"/>
      <c r="AY93" s="159"/>
      <c r="AZ93" s="11"/>
      <c r="BA93" s="160"/>
      <c r="BB93" s="159"/>
      <c r="BC93" s="11"/>
      <c r="BD93" s="160"/>
      <c r="BE93" s="159"/>
      <c r="BF93" s="11"/>
      <c r="BG93" s="160"/>
    </row>
    <row r="94" spans="1:59" ht="3.75" customHeight="1" x14ac:dyDescent="0.25">
      <c r="A94" s="347"/>
      <c r="I94" s="148"/>
      <c r="J94" s="149"/>
      <c r="K94" s="150"/>
      <c r="L94" s="148"/>
      <c r="M94" s="149"/>
      <c r="N94" s="150"/>
      <c r="O94" s="148"/>
      <c r="P94" s="149"/>
      <c r="Q94" s="150"/>
      <c r="R94" s="148"/>
      <c r="S94" s="149"/>
      <c r="T94" s="150"/>
      <c r="U94" s="148"/>
      <c r="V94" s="149"/>
      <c r="W94" s="150"/>
      <c r="X94" s="148"/>
      <c r="Y94" s="149"/>
      <c r="Z94" s="150"/>
      <c r="AA94" s="149"/>
      <c r="AB94" s="149"/>
      <c r="AC94" s="150"/>
      <c r="AD94" s="148"/>
      <c r="AE94" s="149"/>
      <c r="AF94" s="150"/>
      <c r="AG94" s="148"/>
      <c r="AH94" s="149"/>
      <c r="AI94" s="150"/>
      <c r="AJ94" s="148"/>
      <c r="AK94" s="149"/>
      <c r="AL94" s="150"/>
      <c r="AM94" s="148"/>
      <c r="AN94" s="149"/>
      <c r="AO94" s="150"/>
      <c r="AP94" s="148"/>
      <c r="AQ94" s="149"/>
      <c r="AR94" s="150"/>
      <c r="AS94" s="148"/>
      <c r="AT94" s="149"/>
      <c r="AU94" s="150"/>
      <c r="AV94" s="148"/>
      <c r="AW94" s="149"/>
      <c r="AX94" s="150"/>
      <c r="AY94" s="148"/>
      <c r="AZ94" s="149"/>
      <c r="BA94" s="150"/>
      <c r="BB94" s="148"/>
      <c r="BC94" s="149"/>
      <c r="BD94" s="150"/>
      <c r="BE94" s="148"/>
      <c r="BF94" s="149"/>
      <c r="BG94" s="150"/>
    </row>
    <row r="95" spans="1:59" x14ac:dyDescent="0.25">
      <c r="A95" s="347"/>
      <c r="B95" s="355" t="s">
        <v>39</v>
      </c>
      <c r="C95" s="62" t="s">
        <v>40</v>
      </c>
      <c r="D95" s="12"/>
      <c r="E95" s="12"/>
      <c r="F95" s="10"/>
      <c r="G95" s="11"/>
      <c r="H95" s="29"/>
      <c r="I95" s="107">
        <v>3171.5</v>
      </c>
      <c r="J95" s="11"/>
      <c r="K95" s="160"/>
      <c r="L95" s="107">
        <v>2318</v>
      </c>
      <c r="M95" s="11"/>
      <c r="N95" s="160"/>
      <c r="O95" s="107">
        <v>724</v>
      </c>
      <c r="P95" s="11"/>
      <c r="Q95" s="160"/>
      <c r="R95" s="107">
        <f t="shared" ref="R95:R96" si="28">(O95+L95+I95)/3</f>
        <v>2071.1666666666665</v>
      </c>
      <c r="S95" s="11"/>
      <c r="T95" s="175"/>
      <c r="U95" s="263">
        <v>80</v>
      </c>
      <c r="V95" s="265"/>
      <c r="W95" s="160"/>
      <c r="X95" s="159">
        <v>2248</v>
      </c>
      <c r="Y95" s="11"/>
      <c r="Z95" s="160"/>
      <c r="AA95" s="160">
        <v>792</v>
      </c>
      <c r="AB95" s="11"/>
      <c r="AC95" s="160"/>
      <c r="AD95" s="159"/>
      <c r="AE95" s="11"/>
      <c r="AF95" s="160"/>
      <c r="AG95" s="159">
        <v>812</v>
      </c>
      <c r="AH95" s="11"/>
      <c r="AI95" s="160"/>
      <c r="AJ95" s="159"/>
      <c r="AK95" s="11"/>
      <c r="AL95" s="160"/>
      <c r="AM95" s="159"/>
      <c r="AN95" s="11"/>
      <c r="AO95" s="160"/>
      <c r="AP95" s="159"/>
      <c r="AQ95" s="11"/>
      <c r="AR95" s="160"/>
      <c r="AS95" s="159"/>
      <c r="AT95" s="11"/>
      <c r="AU95" s="160"/>
      <c r="AV95" s="159"/>
      <c r="AW95" s="11"/>
      <c r="AX95" s="160"/>
      <c r="AY95" s="159"/>
      <c r="AZ95" s="11"/>
      <c r="BA95" s="160"/>
      <c r="BB95" s="159"/>
      <c r="BC95" s="11"/>
      <c r="BD95" s="160"/>
      <c r="BE95" s="159"/>
      <c r="BF95" s="11"/>
      <c r="BG95" s="160"/>
    </row>
    <row r="96" spans="1:59" x14ac:dyDescent="0.25">
      <c r="A96" s="347"/>
      <c r="B96" s="355"/>
      <c r="C96" s="62" t="s">
        <v>41</v>
      </c>
      <c r="D96" s="12"/>
      <c r="E96" s="12"/>
      <c r="F96" s="10"/>
      <c r="G96" s="11"/>
      <c r="H96" s="29"/>
      <c r="I96" s="113">
        <v>222380</v>
      </c>
      <c r="J96" s="11"/>
      <c r="K96" s="160"/>
      <c r="L96" s="113">
        <v>156591</v>
      </c>
      <c r="M96" s="11"/>
      <c r="N96" s="160"/>
      <c r="O96" s="113">
        <v>52130</v>
      </c>
      <c r="P96" s="11"/>
      <c r="Q96" s="160"/>
      <c r="R96" s="113">
        <f t="shared" si="28"/>
        <v>143700.33333333334</v>
      </c>
      <c r="S96" s="11"/>
      <c r="T96" s="175"/>
      <c r="U96" s="263">
        <v>5051</v>
      </c>
      <c r="V96" s="265"/>
      <c r="W96" s="175"/>
      <c r="X96" s="263">
        <v>143762</v>
      </c>
      <c r="Y96" s="11"/>
      <c r="Z96" s="160"/>
      <c r="AA96" s="160">
        <v>52251</v>
      </c>
      <c r="AB96" s="11"/>
      <c r="AC96" s="160"/>
      <c r="AD96" s="159"/>
      <c r="AE96" s="11"/>
      <c r="AF96" s="160"/>
      <c r="AG96" s="159">
        <v>56496</v>
      </c>
      <c r="AH96" s="11"/>
      <c r="AI96" s="160"/>
      <c r="AJ96" s="159"/>
      <c r="AK96" s="11"/>
      <c r="AL96" s="160"/>
      <c r="AM96" s="159"/>
      <c r="AN96" s="11"/>
      <c r="AO96" s="160"/>
      <c r="AP96" s="159"/>
      <c r="AQ96" s="11"/>
      <c r="AR96" s="160"/>
      <c r="AS96" s="159"/>
      <c r="AT96" s="11"/>
      <c r="AU96" s="160"/>
      <c r="AV96" s="159"/>
      <c r="AW96" s="11"/>
      <c r="AX96" s="160"/>
      <c r="AY96" s="159"/>
      <c r="AZ96" s="11"/>
      <c r="BA96" s="160"/>
      <c r="BB96" s="159"/>
      <c r="BC96" s="11"/>
      <c r="BD96" s="160"/>
      <c r="BE96" s="159"/>
      <c r="BF96" s="11"/>
      <c r="BG96" s="160"/>
    </row>
    <row r="97" spans="1:59" ht="24" x14ac:dyDescent="0.25">
      <c r="A97" s="347"/>
      <c r="B97" s="355"/>
      <c r="C97" s="62" t="s">
        <v>56</v>
      </c>
      <c r="D97" s="12"/>
      <c r="E97" s="12"/>
      <c r="F97" s="10"/>
      <c r="G97" s="11"/>
      <c r="H97" s="29"/>
      <c r="I97" s="159"/>
      <c r="J97" s="11"/>
      <c r="K97" s="160"/>
      <c r="L97" s="159"/>
      <c r="M97" s="11"/>
      <c r="N97" s="160"/>
      <c r="O97" s="159"/>
      <c r="P97" s="11"/>
      <c r="Q97" s="160"/>
      <c r="R97" s="159"/>
      <c r="S97" s="11"/>
      <c r="T97" s="175"/>
      <c r="U97" s="263" t="s">
        <v>659</v>
      </c>
      <c r="V97" s="265"/>
      <c r="W97" s="175"/>
      <c r="X97" s="263" t="s">
        <v>659</v>
      </c>
      <c r="Y97" s="11"/>
      <c r="Z97" s="160"/>
      <c r="AA97" s="160" t="s">
        <v>738</v>
      </c>
      <c r="AB97" s="11"/>
      <c r="AC97" s="160"/>
      <c r="AD97" s="159"/>
      <c r="AE97" s="11"/>
      <c r="AF97" s="160"/>
      <c r="AG97" s="11" t="s">
        <v>659</v>
      </c>
      <c r="AH97" s="11"/>
      <c r="AI97" s="160"/>
      <c r="AJ97" s="159"/>
      <c r="AK97" s="11"/>
      <c r="AL97" s="160"/>
      <c r="AM97" s="159"/>
      <c r="AN97" s="11"/>
      <c r="AO97" s="160"/>
      <c r="AP97" s="159"/>
      <c r="AQ97" s="11"/>
      <c r="AR97" s="160"/>
      <c r="AS97" s="159"/>
      <c r="AT97" s="11"/>
      <c r="AU97" s="160"/>
      <c r="AV97" s="159"/>
      <c r="AW97" s="11"/>
      <c r="AX97" s="160"/>
      <c r="AY97" s="159"/>
      <c r="AZ97" s="11"/>
      <c r="BA97" s="160"/>
      <c r="BB97" s="159"/>
      <c r="BC97" s="11"/>
      <c r="BD97" s="160"/>
      <c r="BE97" s="159"/>
      <c r="BF97" s="11"/>
      <c r="BG97" s="160"/>
    </row>
    <row r="98" spans="1:59" ht="5.25" customHeight="1" x14ac:dyDescent="0.25">
      <c r="A98" s="347"/>
      <c r="I98" s="148"/>
      <c r="J98" s="149"/>
      <c r="K98" s="150"/>
      <c r="L98" s="148"/>
      <c r="M98" s="149"/>
      <c r="N98" s="150"/>
      <c r="O98" s="148"/>
      <c r="P98" s="149"/>
      <c r="Q98" s="150"/>
      <c r="R98" s="148"/>
      <c r="S98" s="149"/>
      <c r="T98" s="149"/>
      <c r="U98" s="80"/>
      <c r="V98" s="149"/>
      <c r="W98" s="150"/>
      <c r="X98" s="148"/>
      <c r="Y98" s="149"/>
      <c r="Z98" s="150"/>
      <c r="AA98" s="150"/>
      <c r="AB98" s="149"/>
      <c r="AC98" s="150"/>
      <c r="AD98" s="148"/>
      <c r="AE98" s="149"/>
      <c r="AF98" s="150"/>
      <c r="AG98" s="148"/>
      <c r="AH98" s="149"/>
      <c r="AI98" s="150"/>
      <c r="AJ98" s="148"/>
      <c r="AK98" s="149"/>
      <c r="AL98" s="150"/>
      <c r="AM98" s="148"/>
      <c r="AN98" s="149"/>
      <c r="AO98" s="150"/>
      <c r="AP98" s="148"/>
      <c r="AQ98" s="149"/>
      <c r="AR98" s="150"/>
      <c r="AS98" s="148"/>
      <c r="AT98" s="149"/>
      <c r="AU98" s="150"/>
      <c r="AV98" s="148"/>
      <c r="AW98" s="149"/>
      <c r="AX98" s="150"/>
      <c r="AY98" s="148"/>
      <c r="AZ98" s="149"/>
      <c r="BA98" s="150"/>
      <c r="BB98" s="148"/>
      <c r="BC98" s="149"/>
      <c r="BD98" s="150"/>
      <c r="BE98" s="148"/>
      <c r="BF98" s="149"/>
      <c r="BG98" s="150"/>
    </row>
    <row r="99" spans="1:59" x14ac:dyDescent="0.25">
      <c r="A99" s="347"/>
      <c r="B99" s="57" t="s">
        <v>117</v>
      </c>
      <c r="C99" s="62" t="s">
        <v>118</v>
      </c>
      <c r="D99" s="12"/>
      <c r="E99" s="12"/>
      <c r="F99" s="10"/>
      <c r="G99" s="11"/>
      <c r="H99" s="29"/>
      <c r="I99" s="159"/>
      <c r="J99" s="11"/>
      <c r="K99" s="160"/>
      <c r="L99" s="159"/>
      <c r="M99" s="11"/>
      <c r="N99" s="160"/>
      <c r="O99" s="159"/>
      <c r="P99" s="11"/>
      <c r="Q99" s="160"/>
      <c r="R99" s="159" t="s">
        <v>194</v>
      </c>
      <c r="S99" s="11"/>
      <c r="T99" s="160"/>
      <c r="U99" s="159" t="s">
        <v>194</v>
      </c>
      <c r="V99" s="11"/>
      <c r="W99" s="160"/>
      <c r="X99" s="159"/>
      <c r="Y99" s="11"/>
      <c r="Z99" s="160"/>
      <c r="AA99" s="160"/>
      <c r="AB99" s="11"/>
      <c r="AC99" s="160"/>
      <c r="AD99" s="159"/>
      <c r="AE99" s="11"/>
      <c r="AF99" s="160"/>
      <c r="AG99" s="159">
        <v>0</v>
      </c>
      <c r="AH99" s="11"/>
      <c r="AI99" s="160"/>
      <c r="AJ99" s="159"/>
      <c r="AK99" s="11"/>
      <c r="AL99" s="160"/>
      <c r="AM99" s="159"/>
      <c r="AN99" s="11"/>
      <c r="AO99" s="160"/>
      <c r="AP99" s="159"/>
      <c r="AQ99" s="11"/>
      <c r="AR99" s="160"/>
      <c r="AS99" s="159"/>
      <c r="AT99" s="11"/>
      <c r="AU99" s="160"/>
      <c r="AV99" s="159"/>
      <c r="AW99" s="11"/>
      <c r="AX99" s="160"/>
      <c r="AY99" s="159"/>
      <c r="AZ99" s="11"/>
      <c r="BA99" s="160"/>
      <c r="BB99" s="159"/>
      <c r="BC99" s="11"/>
      <c r="BD99" s="160"/>
      <c r="BE99" s="159"/>
      <c r="BF99" s="11"/>
      <c r="BG99" s="160"/>
    </row>
    <row r="100" spans="1:59" ht="4.5" customHeight="1" x14ac:dyDescent="0.25">
      <c r="A100" s="347"/>
      <c r="D100" s="31"/>
      <c r="E100" s="31"/>
      <c r="F100" s="32"/>
      <c r="G100" s="30"/>
      <c r="H100" s="29"/>
      <c r="I100" s="165"/>
      <c r="J100" s="30"/>
      <c r="K100" s="166"/>
      <c r="L100" s="165"/>
      <c r="M100" s="30"/>
      <c r="N100" s="166"/>
      <c r="O100" s="165"/>
      <c r="P100" s="30"/>
      <c r="Q100" s="166"/>
      <c r="R100" s="165"/>
      <c r="S100" s="30"/>
      <c r="T100" s="166"/>
      <c r="U100" s="165"/>
      <c r="V100" s="30"/>
      <c r="W100" s="166"/>
      <c r="X100" s="165"/>
      <c r="Y100" s="30"/>
      <c r="Z100" s="166"/>
      <c r="AA100" s="160"/>
      <c r="AB100" s="30"/>
      <c r="AC100" s="166"/>
      <c r="AD100" s="165"/>
      <c r="AE100" s="30"/>
      <c r="AF100" s="166"/>
      <c r="AG100" s="165"/>
      <c r="AH100" s="30"/>
      <c r="AI100" s="166"/>
      <c r="AJ100" s="165"/>
      <c r="AK100" s="30"/>
      <c r="AL100" s="166"/>
      <c r="AM100" s="165"/>
      <c r="AN100" s="30"/>
      <c r="AO100" s="166"/>
      <c r="AP100" s="165"/>
      <c r="AQ100" s="30"/>
      <c r="AR100" s="166"/>
      <c r="AS100" s="165"/>
      <c r="AT100" s="30"/>
      <c r="AU100" s="166"/>
      <c r="AV100" s="165"/>
      <c r="AW100" s="30"/>
      <c r="AX100" s="166"/>
      <c r="AY100" s="165"/>
      <c r="AZ100" s="30"/>
      <c r="BA100" s="166"/>
      <c r="BB100" s="165"/>
      <c r="BC100" s="30"/>
      <c r="BD100" s="166"/>
      <c r="BE100" s="165"/>
      <c r="BF100" s="30"/>
      <c r="BG100" s="166"/>
    </row>
    <row r="101" spans="1:59" x14ac:dyDescent="0.25">
      <c r="A101" s="347"/>
      <c r="B101" s="356" t="s">
        <v>119</v>
      </c>
      <c r="C101" s="62" t="s">
        <v>120</v>
      </c>
      <c r="D101" s="12"/>
      <c r="E101" s="12"/>
      <c r="F101" s="10"/>
      <c r="G101" s="11"/>
      <c r="H101" s="29"/>
      <c r="I101" s="114">
        <v>86590</v>
      </c>
      <c r="J101" s="11"/>
      <c r="K101" s="160"/>
      <c r="L101" s="114">
        <v>105610</v>
      </c>
      <c r="M101" s="11"/>
      <c r="N101" s="160"/>
      <c r="O101" s="114">
        <v>97450</v>
      </c>
      <c r="P101" s="11"/>
      <c r="Q101" s="160"/>
      <c r="R101" s="114">
        <f t="shared" ref="R101:R102" si="29">(O101+L101+I101)/3</f>
        <v>96550</v>
      </c>
      <c r="S101" s="11"/>
      <c r="T101" s="175"/>
      <c r="U101" s="263">
        <v>51029</v>
      </c>
      <c r="V101" s="11"/>
      <c r="W101" s="175"/>
      <c r="X101" s="263">
        <v>183160</v>
      </c>
      <c r="Y101" s="11"/>
      <c r="Z101" s="160"/>
      <c r="AA101" s="11">
        <v>86512</v>
      </c>
      <c r="AB101" s="11"/>
      <c r="AC101" s="160"/>
      <c r="AD101" s="159"/>
      <c r="AE101" s="11"/>
      <c r="AF101" s="160"/>
      <c r="AG101" s="159">
        <v>123496</v>
      </c>
      <c r="AH101" s="11"/>
      <c r="AI101" s="160"/>
      <c r="AJ101" s="159"/>
      <c r="AK101" s="11"/>
      <c r="AL101" s="160"/>
      <c r="AM101" s="159"/>
      <c r="AN101" s="11"/>
      <c r="AO101" s="160"/>
      <c r="AP101" s="159"/>
      <c r="AQ101" s="11"/>
      <c r="AR101" s="160"/>
      <c r="AS101" s="159"/>
      <c r="AT101" s="11"/>
      <c r="AU101" s="160"/>
      <c r="AV101" s="159"/>
      <c r="AW101" s="11"/>
      <c r="AX101" s="160"/>
      <c r="AY101" s="159"/>
      <c r="AZ101" s="11"/>
      <c r="BA101" s="160"/>
      <c r="BB101" s="159"/>
      <c r="BC101" s="11"/>
      <c r="BD101" s="160"/>
      <c r="BE101" s="159"/>
      <c r="BF101" s="11"/>
      <c r="BG101" s="160"/>
    </row>
    <row r="102" spans="1:59" x14ac:dyDescent="0.25">
      <c r="A102" s="347"/>
      <c r="B102" s="357"/>
      <c r="C102" s="62" t="s">
        <v>121</v>
      </c>
      <c r="D102" s="12"/>
      <c r="E102" s="12"/>
      <c r="F102" s="10"/>
      <c r="G102" s="11"/>
      <c r="H102" s="29"/>
      <c r="I102" s="117">
        <v>36</v>
      </c>
      <c r="J102" s="11"/>
      <c r="K102" s="160"/>
      <c r="L102" s="117">
        <v>68</v>
      </c>
      <c r="M102" s="11"/>
      <c r="N102" s="160"/>
      <c r="O102" s="117">
        <v>85</v>
      </c>
      <c r="P102" s="11"/>
      <c r="Q102" s="160"/>
      <c r="R102" s="117">
        <f t="shared" si="29"/>
        <v>63</v>
      </c>
      <c r="S102" s="11"/>
      <c r="T102" s="175"/>
      <c r="U102" s="263">
        <v>22</v>
      </c>
      <c r="V102" s="11"/>
      <c r="W102" s="175"/>
      <c r="X102" s="263">
        <v>111</v>
      </c>
      <c r="Y102" s="11"/>
      <c r="Z102" s="160"/>
      <c r="AA102" s="11">
        <v>72</v>
      </c>
      <c r="AB102" s="11"/>
      <c r="AC102" s="160"/>
      <c r="AD102" s="159"/>
      <c r="AE102" s="11"/>
      <c r="AF102" s="160"/>
      <c r="AG102" s="159">
        <v>118</v>
      </c>
      <c r="AH102" s="11"/>
      <c r="AI102" s="160"/>
      <c r="AJ102" s="159"/>
      <c r="AK102" s="11"/>
      <c r="AL102" s="160"/>
      <c r="AM102" s="159"/>
      <c r="AN102" s="11"/>
      <c r="AO102" s="160"/>
      <c r="AP102" s="159"/>
      <c r="AQ102" s="11"/>
      <c r="AR102" s="160"/>
      <c r="AS102" s="159"/>
      <c r="AT102" s="11"/>
      <c r="AU102" s="160"/>
      <c r="AV102" s="159"/>
      <c r="AW102" s="11"/>
      <c r="AX102" s="160"/>
      <c r="AY102" s="159"/>
      <c r="AZ102" s="11"/>
      <c r="BA102" s="160"/>
      <c r="BB102" s="159"/>
      <c r="BC102" s="11"/>
      <c r="BD102" s="160"/>
      <c r="BE102" s="159"/>
      <c r="BF102" s="11"/>
      <c r="BG102" s="160"/>
    </row>
    <row r="103" spans="1:59" ht="4.5" customHeight="1" x14ac:dyDescent="0.25">
      <c r="A103" s="347"/>
      <c r="D103" s="31"/>
      <c r="E103" s="31"/>
      <c r="F103" s="32"/>
      <c r="G103" s="30"/>
      <c r="H103" s="29"/>
      <c r="I103" s="165"/>
      <c r="J103" s="30"/>
      <c r="K103" s="166"/>
      <c r="L103" s="165"/>
      <c r="M103" s="30"/>
      <c r="N103" s="166"/>
      <c r="O103" s="165"/>
      <c r="P103" s="30"/>
      <c r="Q103" s="166"/>
      <c r="R103" s="165"/>
      <c r="S103" s="30"/>
      <c r="T103" s="166"/>
      <c r="U103" s="165"/>
      <c r="V103" s="30"/>
      <c r="W103" s="166"/>
      <c r="X103" s="165"/>
      <c r="Y103" s="30"/>
      <c r="Z103" s="166"/>
      <c r="AA103" s="30"/>
      <c r="AB103" s="30"/>
      <c r="AC103" s="166"/>
      <c r="AD103" s="165"/>
      <c r="AE103" s="30"/>
      <c r="AF103" s="166"/>
      <c r="AG103" s="165"/>
      <c r="AH103" s="30"/>
      <c r="AI103" s="166"/>
      <c r="AJ103" s="165"/>
      <c r="AK103" s="30"/>
      <c r="AL103" s="166"/>
      <c r="AM103" s="165"/>
      <c r="AN103" s="30"/>
      <c r="AO103" s="166"/>
      <c r="AP103" s="165"/>
      <c r="AQ103" s="30"/>
      <c r="AR103" s="166"/>
      <c r="AS103" s="165"/>
      <c r="AT103" s="30"/>
      <c r="AU103" s="166"/>
      <c r="AV103" s="165"/>
      <c r="AW103" s="30"/>
      <c r="AX103" s="166"/>
      <c r="AY103" s="165"/>
      <c r="AZ103" s="30"/>
      <c r="BA103" s="166"/>
      <c r="BB103" s="165"/>
      <c r="BC103" s="30"/>
      <c r="BD103" s="166"/>
      <c r="BE103" s="165"/>
      <c r="BF103" s="30"/>
      <c r="BG103" s="166"/>
    </row>
    <row r="104" spans="1:59" x14ac:dyDescent="0.25">
      <c r="A104" s="347"/>
      <c r="B104" s="355" t="s">
        <v>122</v>
      </c>
      <c r="C104" s="62" t="s">
        <v>123</v>
      </c>
      <c r="D104" s="12"/>
      <c r="E104" s="12"/>
      <c r="F104" s="10"/>
      <c r="G104" s="11"/>
      <c r="H104" s="29"/>
      <c r="I104" s="159"/>
      <c r="J104" s="11"/>
      <c r="K104" s="160"/>
      <c r="L104" s="159"/>
      <c r="M104" s="11"/>
      <c r="N104" s="160"/>
      <c r="O104" s="159"/>
      <c r="P104" s="11"/>
      <c r="Q104" s="160"/>
      <c r="R104" s="159" t="s">
        <v>194</v>
      </c>
      <c r="S104" s="11"/>
      <c r="T104" s="160"/>
      <c r="U104" s="159" t="s">
        <v>194</v>
      </c>
      <c r="V104" s="11"/>
      <c r="W104" s="160"/>
      <c r="X104" s="159"/>
      <c r="Y104" s="11"/>
      <c r="Z104" s="160"/>
      <c r="AA104" s="11"/>
      <c r="AB104" s="11"/>
      <c r="AC104" s="160"/>
      <c r="AD104" s="159"/>
      <c r="AE104" s="11"/>
      <c r="AF104" s="160"/>
      <c r="AG104" s="159"/>
      <c r="AH104" s="11"/>
      <c r="AI104" s="160"/>
      <c r="AJ104" s="159"/>
      <c r="AK104" s="11"/>
      <c r="AL104" s="160"/>
      <c r="AM104" s="159"/>
      <c r="AN104" s="11"/>
      <c r="AO104" s="160"/>
      <c r="AP104" s="159"/>
      <c r="AQ104" s="11"/>
      <c r="AR104" s="160"/>
      <c r="AS104" s="159"/>
      <c r="AT104" s="11"/>
      <c r="AU104" s="160"/>
      <c r="AV104" s="159"/>
      <c r="AW104" s="11"/>
      <c r="AX104" s="160"/>
      <c r="AY104" s="159"/>
      <c r="AZ104" s="11"/>
      <c r="BA104" s="160"/>
      <c r="BB104" s="159"/>
      <c r="BC104" s="11"/>
      <c r="BD104" s="160"/>
      <c r="BE104" s="159"/>
      <c r="BF104" s="11"/>
      <c r="BG104" s="160"/>
    </row>
    <row r="105" spans="1:59" x14ac:dyDescent="0.25">
      <c r="A105" s="347"/>
      <c r="B105" s="355"/>
      <c r="C105" s="62" t="s">
        <v>124</v>
      </c>
      <c r="D105" s="12"/>
      <c r="E105" s="12"/>
      <c r="F105" s="10"/>
      <c r="G105" s="11"/>
      <c r="H105" s="29"/>
      <c r="I105" s="159"/>
      <c r="J105" s="11"/>
      <c r="K105" s="160"/>
      <c r="L105" s="159"/>
      <c r="M105" s="11"/>
      <c r="N105" s="160"/>
      <c r="O105" s="159"/>
      <c r="P105" s="11"/>
      <c r="Q105" s="160"/>
      <c r="R105" s="159" t="s">
        <v>194</v>
      </c>
      <c r="S105" s="11"/>
      <c r="T105" s="160"/>
      <c r="U105" s="159" t="s">
        <v>194</v>
      </c>
      <c r="V105" s="11"/>
      <c r="W105" s="160"/>
      <c r="X105" s="159"/>
      <c r="Y105" s="11"/>
      <c r="Z105" s="160"/>
      <c r="AA105" s="11"/>
      <c r="AB105" s="11"/>
      <c r="AC105" s="160"/>
      <c r="AD105" s="159"/>
      <c r="AE105" s="11"/>
      <c r="AF105" s="160"/>
      <c r="AG105" s="159"/>
      <c r="AH105" s="11"/>
      <c r="AI105" s="160"/>
      <c r="AJ105" s="159"/>
      <c r="AK105" s="11"/>
      <c r="AL105" s="160"/>
      <c r="AM105" s="159"/>
      <c r="AN105" s="11"/>
      <c r="AO105" s="160"/>
      <c r="AP105" s="159"/>
      <c r="AQ105" s="11"/>
      <c r="AR105" s="160"/>
      <c r="AS105" s="159"/>
      <c r="AT105" s="11"/>
      <c r="AU105" s="160"/>
      <c r="AV105" s="159"/>
      <c r="AW105" s="11"/>
      <c r="AX105" s="160"/>
      <c r="AY105" s="159"/>
      <c r="AZ105" s="11"/>
      <c r="BA105" s="160"/>
      <c r="BB105" s="159"/>
      <c r="BC105" s="11"/>
      <c r="BD105" s="160"/>
      <c r="BE105" s="159"/>
      <c r="BF105" s="11"/>
      <c r="BG105" s="160"/>
    </row>
    <row r="106" spans="1:59" ht="5.25" customHeight="1" x14ac:dyDescent="0.25">
      <c r="D106" s="72"/>
      <c r="E106" s="72"/>
      <c r="F106" s="72"/>
      <c r="I106" s="148"/>
      <c r="J106" s="149"/>
      <c r="K106" s="150"/>
      <c r="L106" s="148"/>
      <c r="M106" s="149"/>
      <c r="N106" s="150"/>
      <c r="O106" s="148"/>
      <c r="P106" s="149"/>
      <c r="Q106" s="150"/>
      <c r="R106" s="148"/>
      <c r="S106" s="149"/>
      <c r="T106" s="150"/>
      <c r="U106" s="148"/>
      <c r="V106" s="149"/>
      <c r="W106" s="150"/>
      <c r="X106" s="148"/>
      <c r="Y106" s="149"/>
      <c r="Z106" s="150"/>
      <c r="AA106" s="148"/>
      <c r="AB106" s="149"/>
      <c r="AC106" s="150"/>
      <c r="AD106" s="148"/>
      <c r="AE106" s="149"/>
      <c r="AF106" s="150"/>
      <c r="AG106" s="148"/>
      <c r="AH106" s="149"/>
      <c r="AI106" s="150"/>
      <c r="AJ106" s="148"/>
      <c r="AK106" s="149"/>
      <c r="AL106" s="150"/>
      <c r="AM106" s="148"/>
      <c r="AN106" s="149"/>
      <c r="AO106" s="150"/>
      <c r="AP106" s="148"/>
      <c r="AQ106" s="149"/>
      <c r="AR106" s="150"/>
      <c r="AS106" s="148"/>
      <c r="AT106" s="149"/>
      <c r="AU106" s="150"/>
      <c r="AV106" s="148"/>
      <c r="AW106" s="149"/>
      <c r="AX106" s="150"/>
      <c r="AY106" s="148"/>
      <c r="AZ106" s="149"/>
      <c r="BA106" s="150"/>
      <c r="BB106" s="148"/>
      <c r="BC106" s="149"/>
      <c r="BD106" s="150"/>
      <c r="BE106" s="148"/>
      <c r="BF106" s="149"/>
      <c r="BG106" s="150"/>
    </row>
    <row r="107" spans="1:59" x14ac:dyDescent="0.25">
      <c r="A107" s="14" t="s">
        <v>11</v>
      </c>
      <c r="B107" s="14"/>
      <c r="C107" s="14"/>
      <c r="D107" s="9"/>
      <c r="E107" s="9"/>
      <c r="F107" s="9"/>
      <c r="G107" s="38"/>
      <c r="H107" s="34"/>
      <c r="I107" s="169"/>
      <c r="J107" s="9"/>
      <c r="K107" s="156"/>
      <c r="L107" s="169"/>
      <c r="M107" s="9"/>
      <c r="N107" s="156"/>
      <c r="O107" s="169"/>
      <c r="P107" s="9"/>
      <c r="Q107" s="156"/>
      <c r="R107" s="169"/>
      <c r="S107" s="9"/>
      <c r="T107" s="156"/>
      <c r="U107" s="169"/>
      <c r="V107" s="9"/>
      <c r="W107" s="156"/>
      <c r="X107" s="169"/>
      <c r="Y107" s="9"/>
      <c r="Z107" s="156"/>
      <c r="AA107" s="169"/>
      <c r="AB107" s="9"/>
      <c r="AC107" s="156"/>
      <c r="AD107" s="169"/>
      <c r="AE107" s="9"/>
      <c r="AF107" s="156"/>
      <c r="AG107" s="169"/>
      <c r="AH107" s="9"/>
      <c r="AI107" s="156"/>
      <c r="AJ107" s="169"/>
      <c r="AK107" s="9"/>
      <c r="AL107" s="156"/>
      <c r="AM107" s="169"/>
      <c r="AN107" s="9"/>
      <c r="AO107" s="156"/>
      <c r="AP107" s="169"/>
      <c r="AQ107" s="9"/>
      <c r="AR107" s="156"/>
      <c r="AS107" s="169"/>
      <c r="AT107" s="9"/>
      <c r="AU107" s="156"/>
      <c r="AV107" s="169"/>
      <c r="AW107" s="9"/>
      <c r="AX107" s="156"/>
      <c r="AY107" s="169"/>
      <c r="AZ107" s="9"/>
      <c r="BA107" s="156"/>
      <c r="BB107" s="169"/>
      <c r="BC107" s="9"/>
      <c r="BD107" s="156"/>
      <c r="BE107" s="169"/>
      <c r="BF107" s="9"/>
      <c r="BG107" s="156"/>
    </row>
    <row r="108" spans="1:59" ht="4.5" customHeight="1" x14ac:dyDescent="0.25">
      <c r="A108" s="18"/>
      <c r="B108" s="24"/>
      <c r="C108" s="20"/>
      <c r="D108" s="20"/>
      <c r="E108" s="20"/>
      <c r="F108" s="20"/>
      <c r="G108" s="21"/>
      <c r="H108" s="29"/>
      <c r="I108" s="163"/>
      <c r="J108" s="21"/>
      <c r="K108" s="164"/>
      <c r="L108" s="163"/>
      <c r="M108" s="21"/>
      <c r="N108" s="164"/>
      <c r="O108" s="163"/>
      <c r="P108" s="21"/>
      <c r="Q108" s="164"/>
      <c r="R108" s="163"/>
      <c r="S108" s="21"/>
      <c r="T108" s="164"/>
      <c r="U108" s="163"/>
      <c r="V108" s="21"/>
      <c r="W108" s="164"/>
      <c r="X108" s="163"/>
      <c r="Y108" s="21"/>
      <c r="Z108" s="164"/>
      <c r="AA108" s="163"/>
      <c r="AB108" s="21"/>
      <c r="AC108" s="164"/>
      <c r="AD108" s="163"/>
      <c r="AE108" s="21"/>
      <c r="AF108" s="164"/>
      <c r="AG108" s="163"/>
      <c r="AH108" s="21"/>
      <c r="AI108" s="164"/>
      <c r="AJ108" s="163"/>
      <c r="AK108" s="21"/>
      <c r="AL108" s="164"/>
      <c r="AM108" s="163"/>
      <c r="AN108" s="21"/>
      <c r="AO108" s="164"/>
      <c r="AP108" s="163"/>
      <c r="AQ108" s="21"/>
      <c r="AR108" s="164"/>
      <c r="AS108" s="163"/>
      <c r="AT108" s="21"/>
      <c r="AU108" s="164"/>
      <c r="AV108" s="163"/>
      <c r="AW108" s="21"/>
      <c r="AX108" s="164"/>
      <c r="AY108" s="163"/>
      <c r="AZ108" s="21"/>
      <c r="BA108" s="164"/>
      <c r="BB108" s="163"/>
      <c r="BC108" s="21"/>
      <c r="BD108" s="164"/>
      <c r="BE108" s="163"/>
      <c r="BF108" s="21"/>
      <c r="BG108" s="164"/>
    </row>
    <row r="109" spans="1:59" x14ac:dyDescent="0.25">
      <c r="A109" s="325" t="s">
        <v>57</v>
      </c>
      <c r="B109" s="325"/>
      <c r="C109" s="62" t="s">
        <v>44</v>
      </c>
      <c r="D109" s="10"/>
      <c r="E109" s="10"/>
      <c r="F109" s="10"/>
      <c r="G109" s="11"/>
      <c r="H109" s="29"/>
      <c r="I109" s="159"/>
      <c r="J109" s="11"/>
      <c r="K109" s="160"/>
      <c r="L109" s="159"/>
      <c r="M109" s="11"/>
      <c r="N109" s="160"/>
      <c r="O109" s="159"/>
      <c r="P109" s="11"/>
      <c r="Q109" s="160"/>
      <c r="R109" s="159" t="s">
        <v>194</v>
      </c>
      <c r="S109" s="11"/>
      <c r="T109" s="160"/>
      <c r="U109" s="159">
        <v>8</v>
      </c>
      <c r="V109" s="11"/>
      <c r="W109" s="160"/>
      <c r="X109" s="159">
        <v>8</v>
      </c>
      <c r="Y109" s="11"/>
      <c r="Z109" s="160"/>
      <c r="AA109" s="159">
        <v>7</v>
      </c>
      <c r="AB109" s="11"/>
      <c r="AC109" s="160"/>
      <c r="AD109" s="159"/>
      <c r="AE109" s="11"/>
      <c r="AF109" s="160"/>
      <c r="AG109" s="159">
        <v>2</v>
      </c>
      <c r="AH109" s="11"/>
      <c r="AI109" s="160"/>
      <c r="AJ109" s="159"/>
      <c r="AK109" s="11"/>
      <c r="AL109" s="160"/>
      <c r="AM109" s="159"/>
      <c r="AN109" s="11"/>
      <c r="AO109" s="160"/>
      <c r="AP109" s="159"/>
      <c r="AQ109" s="11"/>
      <c r="AR109" s="160"/>
      <c r="AS109" s="159"/>
      <c r="AT109" s="11"/>
      <c r="AU109" s="160"/>
      <c r="AV109" s="159"/>
      <c r="AW109" s="11"/>
      <c r="AX109" s="160"/>
      <c r="AY109" s="159"/>
      <c r="AZ109" s="11"/>
      <c r="BA109" s="160"/>
      <c r="BB109" s="159"/>
      <c r="BC109" s="11"/>
      <c r="BD109" s="160"/>
      <c r="BE109" s="159"/>
      <c r="BF109" s="11"/>
      <c r="BG109" s="160"/>
    </row>
    <row r="110" spans="1:59" ht="24" x14ac:dyDescent="0.25">
      <c r="A110" s="325"/>
      <c r="B110" s="325"/>
      <c r="C110" s="62" t="s">
        <v>43</v>
      </c>
      <c r="D110" s="10"/>
      <c r="E110" s="10"/>
      <c r="F110" s="10"/>
      <c r="G110" s="11"/>
      <c r="H110" s="29"/>
      <c r="I110" s="159"/>
      <c r="J110" s="11"/>
      <c r="K110" s="160"/>
      <c r="L110" s="159"/>
      <c r="M110" s="11"/>
      <c r="N110" s="160"/>
      <c r="O110" s="159"/>
      <c r="P110" s="11"/>
      <c r="Q110" s="160"/>
      <c r="R110" s="159" t="s">
        <v>194</v>
      </c>
      <c r="S110" s="11"/>
      <c r="T110" s="160"/>
      <c r="U110" s="159">
        <v>0</v>
      </c>
      <c r="V110" s="11"/>
      <c r="W110" s="160"/>
      <c r="X110" s="159">
        <v>0</v>
      </c>
      <c r="Y110" s="11"/>
      <c r="Z110" s="160"/>
      <c r="AA110" s="159"/>
      <c r="AB110" s="11"/>
      <c r="AC110" s="160"/>
      <c r="AD110" s="159"/>
      <c r="AE110" s="11"/>
      <c r="AF110" s="160"/>
      <c r="AG110" s="159"/>
      <c r="AH110" s="11"/>
      <c r="AI110" s="160"/>
      <c r="AJ110" s="159"/>
      <c r="AK110" s="11"/>
      <c r="AL110" s="160"/>
      <c r="AM110" s="159"/>
      <c r="AN110" s="11"/>
      <c r="AO110" s="160"/>
      <c r="AP110" s="159"/>
      <c r="AQ110" s="11"/>
      <c r="AR110" s="160"/>
      <c r="AS110" s="159"/>
      <c r="AT110" s="11"/>
      <c r="AU110" s="160"/>
      <c r="AV110" s="159"/>
      <c r="AW110" s="11"/>
      <c r="AX110" s="160"/>
      <c r="AY110" s="159"/>
      <c r="AZ110" s="11"/>
      <c r="BA110" s="160"/>
      <c r="BB110" s="159"/>
      <c r="BC110" s="11"/>
      <c r="BD110" s="160"/>
      <c r="BE110" s="159"/>
      <c r="BF110" s="11"/>
      <c r="BG110" s="160"/>
    </row>
    <row r="111" spans="1:59" ht="4.5" customHeight="1" x14ac:dyDescent="0.25">
      <c r="D111" s="72"/>
      <c r="E111" s="72"/>
      <c r="F111" s="72"/>
      <c r="I111" s="148"/>
      <c r="J111" s="149"/>
      <c r="K111" s="150"/>
      <c r="L111" s="148"/>
      <c r="M111" s="149"/>
      <c r="N111" s="150"/>
      <c r="O111" s="148"/>
      <c r="P111" s="149"/>
      <c r="Q111" s="150"/>
      <c r="R111" s="148"/>
      <c r="S111" s="149"/>
      <c r="T111" s="150"/>
      <c r="U111" s="148"/>
      <c r="V111" s="149"/>
      <c r="W111" s="150"/>
      <c r="X111" s="148"/>
      <c r="Y111" s="149"/>
      <c r="Z111" s="150"/>
      <c r="AA111" s="148"/>
      <c r="AB111" s="149"/>
      <c r="AC111" s="150"/>
      <c r="AD111" s="148"/>
      <c r="AE111" s="149"/>
      <c r="AF111" s="150"/>
      <c r="AG111" s="148"/>
      <c r="AH111" s="149"/>
      <c r="AI111" s="150"/>
      <c r="AJ111" s="148"/>
      <c r="AK111" s="149"/>
      <c r="AL111" s="150"/>
      <c r="AM111" s="148"/>
      <c r="AN111" s="149"/>
      <c r="AO111" s="150"/>
      <c r="AP111" s="148"/>
      <c r="AQ111" s="149"/>
      <c r="AR111" s="150"/>
      <c r="AS111" s="148"/>
      <c r="AT111" s="149"/>
      <c r="AU111" s="150"/>
      <c r="AV111" s="148"/>
      <c r="AW111" s="149"/>
      <c r="AX111" s="150"/>
      <c r="AY111" s="148"/>
      <c r="AZ111" s="149"/>
      <c r="BA111" s="150"/>
      <c r="BB111" s="148"/>
      <c r="BC111" s="149"/>
      <c r="BD111" s="150"/>
      <c r="BE111" s="148"/>
      <c r="BF111" s="149"/>
      <c r="BG111" s="150"/>
    </row>
    <row r="112" spans="1:59" x14ac:dyDescent="0.25">
      <c r="A112" s="14" t="s">
        <v>20</v>
      </c>
      <c r="B112" s="14"/>
      <c r="C112" s="14"/>
      <c r="D112" s="9"/>
      <c r="E112" s="9"/>
      <c r="F112" s="9"/>
      <c r="G112" s="38"/>
      <c r="H112" s="34"/>
      <c r="I112" s="169"/>
      <c r="J112" s="9"/>
      <c r="K112" s="156"/>
      <c r="L112" s="169"/>
      <c r="M112" s="9"/>
      <c r="N112" s="156"/>
      <c r="O112" s="169"/>
      <c r="P112" s="9"/>
      <c r="Q112" s="156"/>
      <c r="R112" s="169"/>
      <c r="S112" s="9"/>
      <c r="T112" s="156"/>
      <c r="U112" s="169"/>
      <c r="V112" s="9"/>
      <c r="W112" s="156"/>
      <c r="X112" s="169"/>
      <c r="Y112" s="9"/>
      <c r="Z112" s="156"/>
      <c r="AA112" s="169"/>
      <c r="AB112" s="9"/>
      <c r="AC112" s="156"/>
      <c r="AD112" s="169"/>
      <c r="AE112" s="9"/>
      <c r="AF112" s="156"/>
      <c r="AG112" s="169"/>
      <c r="AH112" s="9"/>
      <c r="AI112" s="156"/>
      <c r="AJ112" s="169"/>
      <c r="AK112" s="9"/>
      <c r="AL112" s="156"/>
      <c r="AM112" s="169"/>
      <c r="AN112" s="9"/>
      <c r="AO112" s="156"/>
      <c r="AP112" s="169"/>
      <c r="AQ112" s="9"/>
      <c r="AR112" s="156"/>
      <c r="AS112" s="169"/>
      <c r="AT112" s="9"/>
      <c r="AU112" s="156"/>
      <c r="AV112" s="169"/>
      <c r="AW112" s="9"/>
      <c r="AX112" s="156"/>
      <c r="AY112" s="169"/>
      <c r="AZ112" s="9"/>
      <c r="BA112" s="156"/>
      <c r="BB112" s="169"/>
      <c r="BC112" s="9"/>
      <c r="BD112" s="156"/>
      <c r="BE112" s="169"/>
      <c r="BF112" s="9"/>
      <c r="BG112" s="156"/>
    </row>
    <row r="113" spans="1:59" ht="4.5" customHeight="1" x14ac:dyDescent="0.25">
      <c r="A113" s="31"/>
      <c r="B113" s="31"/>
      <c r="C113" s="32"/>
      <c r="D113" s="73"/>
      <c r="E113" s="73"/>
      <c r="F113" s="73"/>
      <c r="I113" s="148"/>
      <c r="J113" s="149"/>
      <c r="K113" s="150"/>
      <c r="L113" s="148"/>
      <c r="M113" s="149"/>
      <c r="N113" s="150"/>
      <c r="O113" s="148"/>
      <c r="P113" s="149"/>
      <c r="Q113" s="150"/>
      <c r="R113" s="148"/>
      <c r="S113" s="149"/>
      <c r="T113" s="150"/>
      <c r="U113" s="148"/>
      <c r="V113" s="149"/>
      <c r="W113" s="150"/>
      <c r="X113" s="148"/>
      <c r="Y113" s="149"/>
      <c r="Z113" s="150"/>
      <c r="AA113" s="148"/>
      <c r="AB113" s="149"/>
      <c r="AC113" s="150"/>
      <c r="AD113" s="148"/>
      <c r="AE113" s="149"/>
      <c r="AF113" s="150"/>
      <c r="AG113" s="148"/>
      <c r="AH113" s="149"/>
      <c r="AI113" s="150"/>
      <c r="AJ113" s="148"/>
      <c r="AK113" s="149"/>
      <c r="AL113" s="150"/>
      <c r="AM113" s="148"/>
      <c r="AN113" s="149"/>
      <c r="AO113" s="150"/>
      <c r="AP113" s="148"/>
      <c r="AQ113" s="149"/>
      <c r="AR113" s="150"/>
      <c r="AS113" s="148"/>
      <c r="AT113" s="149"/>
      <c r="AU113" s="150"/>
      <c r="AV113" s="148"/>
      <c r="AW113" s="149"/>
      <c r="AX113" s="150"/>
      <c r="AY113" s="148"/>
      <c r="AZ113" s="149"/>
      <c r="BA113" s="150"/>
      <c r="BB113" s="148"/>
      <c r="BC113" s="149"/>
      <c r="BD113" s="150"/>
      <c r="BE113" s="148"/>
      <c r="BF113" s="149"/>
      <c r="BG113" s="150"/>
    </row>
    <row r="114" spans="1:59" x14ac:dyDescent="0.25">
      <c r="A114" s="327" t="s">
        <v>161</v>
      </c>
      <c r="B114" s="328"/>
      <c r="C114" s="62" t="s">
        <v>157</v>
      </c>
      <c r="D114" s="10"/>
      <c r="E114" s="10"/>
      <c r="F114" s="10"/>
      <c r="G114" s="11"/>
      <c r="H114" s="29"/>
      <c r="I114" s="159" t="s">
        <v>194</v>
      </c>
      <c r="J114" s="11"/>
      <c r="K114" s="160"/>
      <c r="L114" s="159" t="s">
        <v>194</v>
      </c>
      <c r="M114" s="11"/>
      <c r="N114" s="160"/>
      <c r="O114" s="159"/>
      <c r="P114" s="11"/>
      <c r="Q114" s="160"/>
      <c r="R114" s="159" t="s">
        <v>194</v>
      </c>
      <c r="S114" s="11"/>
      <c r="T114" s="160"/>
      <c r="U114" s="159" t="s">
        <v>194</v>
      </c>
      <c r="V114" s="11"/>
      <c r="W114" s="160"/>
      <c r="X114" s="159"/>
      <c r="Y114" s="11"/>
      <c r="Z114" s="160"/>
      <c r="AA114" s="159"/>
      <c r="AB114" s="11"/>
      <c r="AC114" s="160"/>
      <c r="AD114" s="159"/>
      <c r="AE114" s="11"/>
      <c r="AF114" s="160"/>
      <c r="AG114" s="159"/>
      <c r="AH114" s="11"/>
      <c r="AI114" s="160"/>
      <c r="AJ114" s="159"/>
      <c r="AK114" s="11"/>
      <c r="AL114" s="160"/>
      <c r="AM114" s="159"/>
      <c r="AN114" s="11"/>
      <c r="AO114" s="160"/>
      <c r="AP114" s="159"/>
      <c r="AQ114" s="11"/>
      <c r="AR114" s="160"/>
      <c r="AS114" s="159"/>
      <c r="AT114" s="11"/>
      <c r="AU114" s="160"/>
      <c r="AV114" s="159"/>
      <c r="AW114" s="11"/>
      <c r="AX114" s="160"/>
      <c r="AY114" s="159"/>
      <c r="AZ114" s="11"/>
      <c r="BA114" s="160"/>
      <c r="BB114" s="159"/>
      <c r="BC114" s="11"/>
      <c r="BD114" s="160"/>
      <c r="BE114" s="159"/>
      <c r="BF114" s="11"/>
      <c r="BG114" s="160"/>
    </row>
    <row r="115" spans="1:59" x14ac:dyDescent="0.25">
      <c r="A115" s="329"/>
      <c r="B115" s="330"/>
      <c r="C115" s="62" t="s">
        <v>130</v>
      </c>
      <c r="D115" s="10"/>
      <c r="E115" s="10"/>
      <c r="F115" s="10"/>
      <c r="G115" s="11"/>
      <c r="H115" s="29"/>
      <c r="I115" s="159" t="s">
        <v>194</v>
      </c>
      <c r="J115" s="11"/>
      <c r="K115" s="160"/>
      <c r="L115" s="159" t="s">
        <v>194</v>
      </c>
      <c r="M115" s="11"/>
      <c r="N115" s="160"/>
      <c r="O115" s="159"/>
      <c r="P115" s="11"/>
      <c r="Q115" s="160"/>
      <c r="R115" s="159" t="s">
        <v>194</v>
      </c>
      <c r="S115" s="11"/>
      <c r="T115" s="160"/>
      <c r="U115" s="159" t="s">
        <v>194</v>
      </c>
      <c r="V115" s="11"/>
      <c r="W115" s="160"/>
      <c r="X115" s="159"/>
      <c r="Y115" s="11"/>
      <c r="Z115" s="160"/>
      <c r="AA115" s="159"/>
      <c r="AB115" s="11"/>
      <c r="AC115" s="160"/>
      <c r="AD115" s="159"/>
      <c r="AE115" s="11"/>
      <c r="AF115" s="160"/>
      <c r="AG115" s="159"/>
      <c r="AH115" s="11"/>
      <c r="AI115" s="160"/>
      <c r="AJ115" s="159"/>
      <c r="AK115" s="11"/>
      <c r="AL115" s="160"/>
      <c r="AM115" s="159"/>
      <c r="AN115" s="11"/>
      <c r="AO115" s="160"/>
      <c r="AP115" s="159"/>
      <c r="AQ115" s="11"/>
      <c r="AR115" s="160"/>
      <c r="AS115" s="159"/>
      <c r="AT115" s="11"/>
      <c r="AU115" s="160"/>
      <c r="AV115" s="159"/>
      <c r="AW115" s="11"/>
      <c r="AX115" s="160"/>
      <c r="AY115" s="159"/>
      <c r="AZ115" s="11"/>
      <c r="BA115" s="160"/>
      <c r="BB115" s="159"/>
      <c r="BC115" s="11"/>
      <c r="BD115" s="160"/>
      <c r="BE115" s="159"/>
      <c r="BF115" s="11"/>
      <c r="BG115" s="160"/>
    </row>
    <row r="116" spans="1:59" x14ac:dyDescent="0.25">
      <c r="A116" s="331"/>
      <c r="B116" s="332"/>
      <c r="C116" s="62" t="s">
        <v>131</v>
      </c>
      <c r="D116" s="10"/>
      <c r="E116" s="10"/>
      <c r="F116" s="10"/>
      <c r="G116" s="11"/>
      <c r="H116" s="29"/>
      <c r="I116" s="159" t="s">
        <v>194</v>
      </c>
      <c r="J116" s="11"/>
      <c r="K116" s="160"/>
      <c r="L116" s="159" t="s">
        <v>194</v>
      </c>
      <c r="M116" s="11"/>
      <c r="N116" s="160"/>
      <c r="O116" s="159"/>
      <c r="P116" s="11"/>
      <c r="Q116" s="160"/>
      <c r="R116" s="159" t="s">
        <v>194</v>
      </c>
      <c r="S116" s="11"/>
      <c r="T116" s="160"/>
      <c r="U116" s="159" t="s">
        <v>194</v>
      </c>
      <c r="V116" s="11"/>
      <c r="W116" s="160"/>
      <c r="X116" s="159"/>
      <c r="Y116" s="11"/>
      <c r="Z116" s="160"/>
      <c r="AA116" s="159"/>
      <c r="AB116" s="11"/>
      <c r="AC116" s="160"/>
      <c r="AD116" s="159"/>
      <c r="AE116" s="11"/>
      <c r="AF116" s="160"/>
      <c r="AG116" s="159"/>
      <c r="AH116" s="11"/>
      <c r="AI116" s="160"/>
      <c r="AJ116" s="159"/>
      <c r="AK116" s="11"/>
      <c r="AL116" s="160"/>
      <c r="AM116" s="159"/>
      <c r="AN116" s="11"/>
      <c r="AO116" s="160"/>
      <c r="AP116" s="159"/>
      <c r="AQ116" s="11"/>
      <c r="AR116" s="160"/>
      <c r="AS116" s="159"/>
      <c r="AT116" s="11"/>
      <c r="AU116" s="160"/>
      <c r="AV116" s="159"/>
      <c r="AW116" s="11"/>
      <c r="AX116" s="160"/>
      <c r="AY116" s="159"/>
      <c r="AZ116" s="11"/>
      <c r="BA116" s="160"/>
      <c r="BB116" s="159"/>
      <c r="BC116" s="11"/>
      <c r="BD116" s="160"/>
      <c r="BE116" s="159"/>
      <c r="BF116" s="11"/>
      <c r="BG116" s="160"/>
    </row>
    <row r="117" spans="1:59" ht="3.75" customHeight="1" x14ac:dyDescent="0.25">
      <c r="D117" s="73"/>
      <c r="E117" s="73"/>
      <c r="F117" s="73"/>
      <c r="I117" s="148"/>
      <c r="J117" s="149"/>
      <c r="K117" s="150"/>
      <c r="L117" s="148"/>
      <c r="M117" s="149"/>
      <c r="N117" s="150"/>
      <c r="O117" s="148"/>
      <c r="P117" s="149"/>
      <c r="Q117" s="150"/>
      <c r="R117" s="148"/>
      <c r="S117" s="149"/>
      <c r="T117" s="150"/>
      <c r="U117" s="148"/>
      <c r="V117" s="149"/>
      <c r="W117" s="150"/>
      <c r="X117" s="148"/>
      <c r="Y117" s="149"/>
      <c r="Z117" s="150"/>
      <c r="AA117" s="148"/>
      <c r="AB117" s="149"/>
      <c r="AC117" s="150"/>
      <c r="AD117" s="148"/>
      <c r="AE117" s="149"/>
      <c r="AF117" s="150"/>
      <c r="AG117" s="148"/>
      <c r="AH117" s="149"/>
      <c r="AI117" s="150"/>
      <c r="AJ117" s="148"/>
      <c r="AK117" s="149"/>
      <c r="AL117" s="150"/>
      <c r="AM117" s="148"/>
      <c r="AN117" s="149"/>
      <c r="AO117" s="150"/>
      <c r="AP117" s="148"/>
      <c r="AQ117" s="149"/>
      <c r="AR117" s="150"/>
      <c r="AS117" s="148"/>
      <c r="AT117" s="149"/>
      <c r="AU117" s="150"/>
      <c r="AV117" s="148"/>
      <c r="AW117" s="149"/>
      <c r="AX117" s="150"/>
      <c r="AY117" s="148"/>
      <c r="AZ117" s="149"/>
      <c r="BA117" s="150"/>
      <c r="BB117" s="148"/>
      <c r="BC117" s="149"/>
      <c r="BD117" s="150"/>
      <c r="BE117" s="148"/>
      <c r="BF117" s="149"/>
      <c r="BG117" s="150"/>
    </row>
    <row r="118" spans="1:59" x14ac:dyDescent="0.25">
      <c r="A118" s="360" t="s">
        <v>132</v>
      </c>
      <c r="B118" s="360"/>
      <c r="C118" s="62" t="s">
        <v>133</v>
      </c>
      <c r="D118" s="10"/>
      <c r="E118" s="10"/>
      <c r="F118" s="10"/>
      <c r="G118" s="11"/>
      <c r="H118" s="29"/>
      <c r="I118" s="159">
        <v>5</v>
      </c>
      <c r="J118" s="11"/>
      <c r="K118" s="160"/>
      <c r="L118" s="159">
        <v>0</v>
      </c>
      <c r="M118" s="11"/>
      <c r="N118" s="160"/>
      <c r="O118" s="159">
        <v>0</v>
      </c>
      <c r="P118" s="11"/>
      <c r="Q118" s="160"/>
      <c r="R118" s="159" t="s">
        <v>194</v>
      </c>
      <c r="S118" s="11"/>
      <c r="T118" s="160"/>
      <c r="U118" s="159" t="s">
        <v>194</v>
      </c>
      <c r="V118" s="11"/>
      <c r="W118" s="160"/>
      <c r="X118" s="159"/>
      <c r="Y118" s="11"/>
      <c r="Z118" s="160"/>
      <c r="AA118" s="159"/>
      <c r="AB118" s="11"/>
      <c r="AC118" s="160"/>
      <c r="AD118" s="159"/>
      <c r="AE118" s="11"/>
      <c r="AF118" s="160"/>
      <c r="AG118" s="159"/>
      <c r="AH118" s="11"/>
      <c r="AI118" s="160"/>
      <c r="AJ118" s="159"/>
      <c r="AK118" s="11"/>
      <c r="AL118" s="160"/>
      <c r="AM118" s="159"/>
      <c r="AN118" s="11"/>
      <c r="AO118" s="160"/>
      <c r="AP118" s="159"/>
      <c r="AQ118" s="11"/>
      <c r="AR118" s="160"/>
      <c r="AS118" s="159"/>
      <c r="AT118" s="11"/>
      <c r="AU118" s="160"/>
      <c r="AV118" s="159"/>
      <c r="AW118" s="11"/>
      <c r="AX118" s="160"/>
      <c r="AY118" s="159"/>
      <c r="AZ118" s="11"/>
      <c r="BA118" s="160"/>
      <c r="BB118" s="159"/>
      <c r="BC118" s="11"/>
      <c r="BD118" s="160"/>
      <c r="BE118" s="159"/>
      <c r="BF118" s="11"/>
      <c r="BG118" s="160"/>
    </row>
    <row r="119" spans="1:59" x14ac:dyDescent="0.25">
      <c r="A119" s="360"/>
      <c r="B119" s="360"/>
      <c r="C119" s="62" t="s">
        <v>134</v>
      </c>
      <c r="D119" s="10"/>
      <c r="E119" s="10"/>
      <c r="F119" s="10"/>
      <c r="G119" s="11"/>
      <c r="H119" s="29"/>
      <c r="I119" s="159">
        <v>0</v>
      </c>
      <c r="J119" s="11"/>
      <c r="K119" s="160"/>
      <c r="L119" s="159">
        <v>0</v>
      </c>
      <c r="M119" s="11"/>
      <c r="N119" s="160"/>
      <c r="O119" s="159">
        <v>0</v>
      </c>
      <c r="P119" s="11"/>
      <c r="Q119" s="160"/>
      <c r="R119" s="159" t="s">
        <v>194</v>
      </c>
      <c r="S119" s="11"/>
      <c r="T119" s="160"/>
      <c r="U119" s="159" t="s">
        <v>194</v>
      </c>
      <c r="V119" s="11"/>
      <c r="W119" s="160"/>
      <c r="X119" s="159"/>
      <c r="Y119" s="11"/>
      <c r="Z119" s="160"/>
      <c r="AA119" s="159"/>
      <c r="AB119" s="11"/>
      <c r="AC119" s="160"/>
      <c r="AD119" s="159"/>
      <c r="AE119" s="11"/>
      <c r="AF119" s="160"/>
      <c r="AG119" s="159"/>
      <c r="AH119" s="11"/>
      <c r="AI119" s="160"/>
      <c r="AJ119" s="159"/>
      <c r="AK119" s="11"/>
      <c r="AL119" s="160"/>
      <c r="AM119" s="159"/>
      <c r="AN119" s="11"/>
      <c r="AO119" s="160"/>
      <c r="AP119" s="159"/>
      <c r="AQ119" s="11"/>
      <c r="AR119" s="160"/>
      <c r="AS119" s="159"/>
      <c r="AT119" s="11"/>
      <c r="AU119" s="160"/>
      <c r="AV119" s="159"/>
      <c r="AW119" s="11"/>
      <c r="AX119" s="160"/>
      <c r="AY119" s="159"/>
      <c r="AZ119" s="11"/>
      <c r="BA119" s="160"/>
      <c r="BB119" s="159"/>
      <c r="BC119" s="11"/>
      <c r="BD119" s="160"/>
      <c r="BE119" s="159"/>
      <c r="BF119" s="11"/>
      <c r="BG119" s="160"/>
    </row>
    <row r="120" spans="1:59" x14ac:dyDescent="0.25">
      <c r="A120" s="360"/>
      <c r="B120" s="360"/>
      <c r="C120" s="62" t="s">
        <v>135</v>
      </c>
      <c r="D120" s="10"/>
      <c r="E120" s="10"/>
      <c r="F120" s="10"/>
      <c r="G120" s="11"/>
      <c r="H120" s="29"/>
      <c r="I120" s="159">
        <v>5</v>
      </c>
      <c r="J120" s="11"/>
      <c r="K120" s="160"/>
      <c r="L120" s="159">
        <v>0</v>
      </c>
      <c r="M120" s="11"/>
      <c r="N120" s="160"/>
      <c r="O120" s="159">
        <v>0</v>
      </c>
      <c r="P120" s="11"/>
      <c r="Q120" s="160"/>
      <c r="R120" s="159" t="s">
        <v>194</v>
      </c>
      <c r="S120" s="11"/>
      <c r="T120" s="160"/>
      <c r="U120" s="159" t="s">
        <v>194</v>
      </c>
      <c r="V120" s="11"/>
      <c r="W120" s="160"/>
      <c r="X120" s="159"/>
      <c r="Y120" s="11"/>
      <c r="Z120" s="160"/>
      <c r="AA120" s="159"/>
      <c r="AB120" s="11"/>
      <c r="AC120" s="160"/>
      <c r="AD120" s="159"/>
      <c r="AE120" s="11"/>
      <c r="AF120" s="160"/>
      <c r="AG120" s="159"/>
      <c r="AH120" s="11"/>
      <c r="AI120" s="160"/>
      <c r="AJ120" s="159"/>
      <c r="AK120" s="11"/>
      <c r="AL120" s="160"/>
      <c r="AM120" s="159"/>
      <c r="AN120" s="11"/>
      <c r="AO120" s="160"/>
      <c r="AP120" s="159"/>
      <c r="AQ120" s="11"/>
      <c r="AR120" s="160"/>
      <c r="AS120" s="159"/>
      <c r="AT120" s="11"/>
      <c r="AU120" s="160"/>
      <c r="AV120" s="159"/>
      <c r="AW120" s="11"/>
      <c r="AX120" s="160"/>
      <c r="AY120" s="159"/>
      <c r="AZ120" s="11"/>
      <c r="BA120" s="160"/>
      <c r="BB120" s="159"/>
      <c r="BC120" s="11"/>
      <c r="BD120" s="160"/>
      <c r="BE120" s="159"/>
      <c r="BF120" s="11"/>
      <c r="BG120" s="160"/>
    </row>
    <row r="121" spans="1:59" ht="3.75" customHeight="1" x14ac:dyDescent="0.25">
      <c r="D121" s="73"/>
      <c r="E121" s="73"/>
      <c r="F121" s="73"/>
      <c r="I121" s="148"/>
      <c r="J121" s="149"/>
      <c r="K121" s="150"/>
      <c r="L121" s="148"/>
      <c r="M121" s="149"/>
      <c r="N121" s="150"/>
      <c r="O121" s="148"/>
      <c r="P121" s="149"/>
      <c r="Q121" s="150"/>
      <c r="R121" s="148"/>
      <c r="S121" s="149"/>
      <c r="T121" s="150"/>
      <c r="U121" s="148"/>
      <c r="V121" s="149"/>
      <c r="W121" s="150"/>
      <c r="X121" s="148"/>
      <c r="Y121" s="149"/>
      <c r="Z121" s="150"/>
      <c r="AA121" s="148"/>
      <c r="AB121" s="149"/>
      <c r="AC121" s="150"/>
      <c r="AD121" s="148"/>
      <c r="AE121" s="149"/>
      <c r="AF121" s="150"/>
      <c r="AG121" s="148"/>
      <c r="AH121" s="149"/>
      <c r="AI121" s="150"/>
      <c r="AJ121" s="148"/>
      <c r="AK121" s="149"/>
      <c r="AL121" s="150"/>
      <c r="AM121" s="148"/>
      <c r="AN121" s="149"/>
      <c r="AO121" s="150"/>
      <c r="AP121" s="148"/>
      <c r="AQ121" s="149"/>
      <c r="AR121" s="150"/>
      <c r="AS121" s="148"/>
      <c r="AT121" s="149"/>
      <c r="AU121" s="150"/>
      <c r="AV121" s="148"/>
      <c r="AW121" s="149"/>
      <c r="AX121" s="150"/>
      <c r="AY121" s="148"/>
      <c r="AZ121" s="149"/>
      <c r="BA121" s="150"/>
      <c r="BB121" s="148"/>
      <c r="BC121" s="149"/>
      <c r="BD121" s="150"/>
      <c r="BE121" s="148"/>
      <c r="BF121" s="149"/>
      <c r="BG121" s="150"/>
    </row>
    <row r="122" spans="1:59" ht="15.75" thickBot="1" x14ac:dyDescent="0.3">
      <c r="A122" s="367" t="s">
        <v>158</v>
      </c>
      <c r="B122" s="367"/>
      <c r="C122" s="28" t="s">
        <v>159</v>
      </c>
      <c r="D122" s="10"/>
      <c r="E122" s="10"/>
      <c r="F122" s="10"/>
      <c r="G122" s="11"/>
      <c r="H122" s="29"/>
      <c r="I122" s="209"/>
      <c r="J122" s="210"/>
      <c r="K122" s="211"/>
      <c r="L122" s="209"/>
      <c r="M122" s="210"/>
      <c r="N122" s="211"/>
      <c r="O122" s="209"/>
      <c r="P122" s="210"/>
      <c r="Q122" s="211"/>
      <c r="R122" s="209"/>
      <c r="S122" s="210"/>
      <c r="T122" s="211"/>
      <c r="U122" s="172"/>
      <c r="V122" s="173"/>
      <c r="W122" s="174"/>
      <c r="X122" s="172"/>
      <c r="Y122" s="173"/>
      <c r="Z122" s="174"/>
      <c r="AA122" s="172"/>
      <c r="AB122" s="173"/>
      <c r="AC122" s="174"/>
      <c r="AD122" s="172"/>
      <c r="AE122" s="173"/>
      <c r="AF122" s="174"/>
      <c r="AG122" s="172"/>
      <c r="AH122" s="173"/>
      <c r="AI122" s="174"/>
      <c r="AJ122" s="172"/>
      <c r="AK122" s="173"/>
      <c r="AL122" s="174"/>
      <c r="AM122" s="172"/>
      <c r="AN122" s="173"/>
      <c r="AO122" s="174"/>
      <c r="AP122" s="172"/>
      <c r="AQ122" s="173"/>
      <c r="AR122" s="174"/>
      <c r="AS122" s="172"/>
      <c r="AT122" s="173"/>
      <c r="AU122" s="174"/>
      <c r="AV122" s="172"/>
      <c r="AW122" s="173"/>
      <c r="AX122" s="174"/>
      <c r="AY122" s="172"/>
      <c r="AZ122" s="173"/>
      <c r="BA122" s="174"/>
      <c r="BB122" s="172"/>
      <c r="BC122" s="173"/>
      <c r="BD122" s="174"/>
      <c r="BE122" s="172"/>
      <c r="BF122" s="173"/>
      <c r="BG122" s="174"/>
    </row>
  </sheetData>
  <autoFilter ref="A1:Q3">
    <filterColumn colId="0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</autoFilter>
  <customSheetViews>
    <customSheetView guid="{40DAEB26-20D3-4AB4-B94D-0ED6F1AA8B5C}" scale="130" showGridLines="0" showAutoFilter="1" hiddenRows="1" hiddenColumns="1" state="hidden">
      <pane xSplit="6" ySplit="2" topLeftCell="H57" activePane="bottomRight" state="frozen"/>
      <selection pane="bottomRight" activeCell="V69" sqref="V69"/>
      <pageMargins left="0.7" right="0.7" top="0.75" bottom="0.75" header="0.3" footer="0.3"/>
      <pageSetup orientation="portrait" r:id="rId1"/>
      <autoFilter ref="A1:Q3">
        <filterColumn colId="0" showButton="0"/>
        <filterColumn colId="8" showButton="0"/>
        <filterColumn colId="9" showButton="0"/>
        <filterColumn colId="11" showButton="0"/>
        <filterColumn colId="12" showButton="0"/>
        <filterColumn colId="14" showButton="0"/>
        <filterColumn colId="15" showButton="0"/>
      </autoFilter>
    </customSheetView>
    <customSheetView guid="{DD1F7198-8B36-4512-8BBD-8050BD05AADA}" showGridLines="0" showAutoFilter="1" hiddenRows="1" hiddenColumns="1">
      <pane xSplit="6" ySplit="2" topLeftCell="Z86" activePane="bottomRight" state="frozen"/>
      <selection pane="bottomRight" activeCell="AA109" sqref="AA109"/>
      <pageMargins left="0.7" right="0.7" top="0.75" bottom="0.75" header="0.3" footer="0.3"/>
      <pageSetup orientation="portrait" r:id="rId2"/>
      <autoFilter ref="A1:Q3">
        <filterColumn colId="0" showButton="0"/>
        <filterColumn colId="8" showButton="0"/>
        <filterColumn colId="9" showButton="0"/>
        <filterColumn colId="11" showButton="0"/>
        <filterColumn colId="12" showButton="0"/>
        <filterColumn colId="14" showButton="0"/>
        <filterColumn colId="15" showButton="0"/>
      </autoFilter>
    </customSheetView>
  </customSheetViews>
  <mergeCells count="44">
    <mergeCell ref="BB1:BD1"/>
    <mergeCell ref="BE1:BG1"/>
    <mergeCell ref="AM1:AO1"/>
    <mergeCell ref="AP1:AR1"/>
    <mergeCell ref="AS1:AU1"/>
    <mergeCell ref="AV1:AX1"/>
    <mergeCell ref="AY1:BA1"/>
    <mergeCell ref="X1:Z1"/>
    <mergeCell ref="AA1:AC1"/>
    <mergeCell ref="AD1:AF1"/>
    <mergeCell ref="AG1:AI1"/>
    <mergeCell ref="AJ1:AL1"/>
    <mergeCell ref="I1:K1"/>
    <mergeCell ref="L1:N1"/>
    <mergeCell ref="O1:Q1"/>
    <mergeCell ref="R1:T1"/>
    <mergeCell ref="U1:W1"/>
    <mergeCell ref="A42:B42"/>
    <mergeCell ref="B5:B7"/>
    <mergeCell ref="B9:B11"/>
    <mergeCell ref="B13:B15"/>
    <mergeCell ref="B17:B19"/>
    <mergeCell ref="B21:B23"/>
    <mergeCell ref="A122:B122"/>
    <mergeCell ref="A114:B116"/>
    <mergeCell ref="A118:B120"/>
    <mergeCell ref="B65:B67"/>
    <mergeCell ref="A65:A67"/>
    <mergeCell ref="A1:B1"/>
    <mergeCell ref="A5:A23"/>
    <mergeCell ref="B95:B97"/>
    <mergeCell ref="A109:B110"/>
    <mergeCell ref="B101:B102"/>
    <mergeCell ref="B104:B105"/>
    <mergeCell ref="A80:A105"/>
    <mergeCell ref="A69:B69"/>
    <mergeCell ref="A71:B78"/>
    <mergeCell ref="B80:B81"/>
    <mergeCell ref="B85:B88"/>
    <mergeCell ref="B90:B93"/>
    <mergeCell ref="A3:B3"/>
    <mergeCell ref="A45:B63"/>
    <mergeCell ref="A25:B37"/>
    <mergeCell ref="A39:B40"/>
  </mergeCells>
  <pageMargins left="0.7" right="0.7" top="0.75" bottom="0.75" header="0.3" footer="0.3"/>
  <pageSetup orientation="portrait"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H102"/>
  <sheetViews>
    <sheetView showGridLines="0" zoomScale="130" zoomScaleNormal="85" workbookViewId="0">
      <pane xSplit="7" ySplit="2" topLeftCell="AE22" activePane="bottomRight" state="frozen"/>
      <selection pane="topRight" activeCell="H1" sqref="H1"/>
      <selection pane="bottomLeft" activeCell="A3" sqref="A3"/>
      <selection pane="bottomRight" activeCell="AI31" sqref="AI31"/>
    </sheetView>
  </sheetViews>
  <sheetFormatPr defaultRowHeight="15" x14ac:dyDescent="0.25"/>
  <cols>
    <col min="1" max="1" width="11.42578125" style="63" customWidth="1"/>
    <col min="2" max="2" width="15.28515625" style="63" customWidth="1"/>
    <col min="3" max="3" width="37.42578125" style="63" customWidth="1"/>
    <col min="4" max="5" width="11" style="63" hidden="1" customWidth="1"/>
    <col min="6" max="6" width="11.5703125" style="63" hidden="1" customWidth="1"/>
    <col min="7" max="7" width="9.5703125" style="63" hidden="1" customWidth="1"/>
    <col min="8" max="8" width="0.85546875" style="65" customWidth="1"/>
    <col min="9" max="9" width="11.7109375" style="63" bestFit="1" customWidth="1"/>
    <col min="10" max="12" width="14" style="63" hidden="1" customWidth="1"/>
    <col min="13" max="13" width="11.28515625" style="63" hidden="1" customWidth="1"/>
    <col min="14" max="17" width="14" style="63" hidden="1" customWidth="1"/>
    <col min="18" max="18" width="12.140625" style="63" hidden="1" customWidth="1"/>
    <col min="19" max="19" width="9.85546875" style="63" hidden="1" customWidth="1"/>
    <col min="20" max="20" width="9.42578125" style="63" hidden="1" customWidth="1"/>
    <col min="21" max="21" width="12.7109375" style="63" bestFit="1" customWidth="1"/>
    <col min="22" max="22" width="10.5703125" style="63" customWidth="1"/>
    <col min="23" max="23" width="9.42578125" style="63" bestFit="1" customWidth="1"/>
    <col min="24" max="30" width="14" style="63" customWidth="1"/>
    <col min="31" max="31" width="8.7109375" style="63" bestFit="1" customWidth="1"/>
    <col min="32" max="32" width="9.42578125" style="63" bestFit="1" customWidth="1"/>
    <col min="33" max="33" width="12" style="63" bestFit="1" customWidth="1"/>
    <col min="34" max="34" width="11.7109375" style="63" bestFit="1" customWidth="1"/>
    <col min="35" max="59" width="14" style="63" customWidth="1"/>
    <col min="60" max="16384" width="9.140625" style="63"/>
  </cols>
  <sheetData>
    <row r="1" spans="1:60" ht="36" x14ac:dyDescent="0.25">
      <c r="A1" s="321" t="s">
        <v>1</v>
      </c>
      <c r="B1" s="321"/>
      <c r="C1" s="45" t="s">
        <v>2</v>
      </c>
      <c r="D1" s="45" t="s">
        <v>139</v>
      </c>
      <c r="E1" s="45" t="s">
        <v>140</v>
      </c>
      <c r="F1" s="45" t="s">
        <v>141</v>
      </c>
      <c r="G1" s="36" t="s">
        <v>142</v>
      </c>
      <c r="H1" s="33"/>
      <c r="I1" s="311" t="s">
        <v>7</v>
      </c>
      <c r="J1" s="312"/>
      <c r="K1" s="313"/>
      <c r="L1" s="311" t="s">
        <v>8</v>
      </c>
      <c r="M1" s="312"/>
      <c r="N1" s="313"/>
      <c r="O1" s="311" t="s">
        <v>21</v>
      </c>
      <c r="P1" s="312"/>
      <c r="Q1" s="313"/>
      <c r="R1" s="311" t="s">
        <v>199</v>
      </c>
      <c r="S1" s="312"/>
      <c r="T1" s="313"/>
      <c r="U1" s="311" t="s">
        <v>22</v>
      </c>
      <c r="V1" s="312"/>
      <c r="W1" s="313"/>
      <c r="X1" s="311" t="s">
        <v>23</v>
      </c>
      <c r="Y1" s="312"/>
      <c r="Z1" s="313"/>
      <c r="AA1" s="311" t="s">
        <v>24</v>
      </c>
      <c r="AB1" s="312"/>
      <c r="AC1" s="313"/>
      <c r="AD1" s="311" t="s">
        <v>200</v>
      </c>
      <c r="AE1" s="312"/>
      <c r="AF1" s="313"/>
      <c r="AG1" s="311" t="s">
        <v>25</v>
      </c>
      <c r="AH1" s="312"/>
      <c r="AI1" s="313"/>
      <c r="AJ1" s="311" t="s">
        <v>186</v>
      </c>
      <c r="AK1" s="312"/>
      <c r="AL1" s="313"/>
      <c r="AM1" s="311" t="s">
        <v>187</v>
      </c>
      <c r="AN1" s="312"/>
      <c r="AO1" s="313"/>
      <c r="AP1" s="311" t="s">
        <v>201</v>
      </c>
      <c r="AQ1" s="312"/>
      <c r="AR1" s="313"/>
      <c r="AS1" s="311" t="s">
        <v>188</v>
      </c>
      <c r="AT1" s="312"/>
      <c r="AU1" s="313"/>
      <c r="AV1" s="311" t="s">
        <v>189</v>
      </c>
      <c r="AW1" s="312"/>
      <c r="AX1" s="313"/>
      <c r="AY1" s="311" t="s">
        <v>190</v>
      </c>
      <c r="AZ1" s="312"/>
      <c r="BA1" s="313"/>
      <c r="BB1" s="311" t="s">
        <v>198</v>
      </c>
      <c r="BC1" s="312"/>
      <c r="BD1" s="313"/>
      <c r="BE1" s="311" t="s">
        <v>617</v>
      </c>
      <c r="BF1" s="312"/>
      <c r="BG1" s="313"/>
    </row>
    <row r="2" spans="1:60" ht="15" customHeight="1" thickBot="1" x14ac:dyDescent="0.3">
      <c r="A2" s="15" t="s">
        <v>9</v>
      </c>
      <c r="B2" s="15"/>
      <c r="C2" s="15"/>
      <c r="D2" s="9"/>
      <c r="E2" s="9"/>
      <c r="F2" s="9"/>
      <c r="G2" s="37"/>
      <c r="H2" s="34"/>
      <c r="I2" s="132" t="s">
        <v>195</v>
      </c>
      <c r="J2" s="133" t="s">
        <v>196</v>
      </c>
      <c r="K2" s="134" t="s">
        <v>197</v>
      </c>
      <c r="L2" s="132" t="s">
        <v>195</v>
      </c>
      <c r="M2" s="133" t="s">
        <v>196</v>
      </c>
      <c r="N2" s="134" t="s">
        <v>197</v>
      </c>
      <c r="O2" s="132" t="s">
        <v>195</v>
      </c>
      <c r="P2" s="133" t="s">
        <v>196</v>
      </c>
      <c r="Q2" s="134" t="s">
        <v>197</v>
      </c>
      <c r="R2" s="132" t="s">
        <v>195</v>
      </c>
      <c r="S2" s="133" t="s">
        <v>196</v>
      </c>
      <c r="T2" s="134" t="s">
        <v>197</v>
      </c>
      <c r="U2" s="132" t="s">
        <v>195</v>
      </c>
      <c r="V2" s="133" t="s">
        <v>196</v>
      </c>
      <c r="W2" s="134" t="s">
        <v>197</v>
      </c>
      <c r="X2" s="132" t="s">
        <v>195</v>
      </c>
      <c r="Y2" s="133" t="s">
        <v>196</v>
      </c>
      <c r="Z2" s="134" t="s">
        <v>197</v>
      </c>
      <c r="AA2" s="132" t="s">
        <v>195</v>
      </c>
      <c r="AB2" s="133" t="s">
        <v>196</v>
      </c>
      <c r="AC2" s="134" t="s">
        <v>197</v>
      </c>
      <c r="AD2" s="132" t="s">
        <v>195</v>
      </c>
      <c r="AE2" s="133" t="s">
        <v>196</v>
      </c>
      <c r="AF2" s="134" t="s">
        <v>197</v>
      </c>
      <c r="AG2" s="132" t="s">
        <v>195</v>
      </c>
      <c r="AH2" s="133" t="s">
        <v>196</v>
      </c>
      <c r="AI2" s="134" t="s">
        <v>197</v>
      </c>
      <c r="AJ2" s="132" t="s">
        <v>195</v>
      </c>
      <c r="AK2" s="133" t="s">
        <v>196</v>
      </c>
      <c r="AL2" s="134" t="s">
        <v>197</v>
      </c>
      <c r="AM2" s="132" t="s">
        <v>195</v>
      </c>
      <c r="AN2" s="133" t="s">
        <v>196</v>
      </c>
      <c r="AO2" s="134" t="s">
        <v>197</v>
      </c>
      <c r="AP2" s="132" t="s">
        <v>195</v>
      </c>
      <c r="AQ2" s="133" t="s">
        <v>196</v>
      </c>
      <c r="AR2" s="134" t="s">
        <v>197</v>
      </c>
      <c r="AS2" s="132" t="s">
        <v>195</v>
      </c>
      <c r="AT2" s="133" t="s">
        <v>196</v>
      </c>
      <c r="AU2" s="134" t="s">
        <v>197</v>
      </c>
      <c r="AV2" s="132" t="s">
        <v>195</v>
      </c>
      <c r="AW2" s="133" t="s">
        <v>196</v>
      </c>
      <c r="AX2" s="134" t="s">
        <v>197</v>
      </c>
      <c r="AY2" s="132" t="s">
        <v>195</v>
      </c>
      <c r="AZ2" s="133" t="s">
        <v>196</v>
      </c>
      <c r="BA2" s="134" t="s">
        <v>197</v>
      </c>
      <c r="BB2" s="132" t="s">
        <v>195</v>
      </c>
      <c r="BC2" s="133" t="s">
        <v>196</v>
      </c>
      <c r="BD2" s="134" t="s">
        <v>197</v>
      </c>
      <c r="BE2" s="132" t="s">
        <v>195</v>
      </c>
      <c r="BF2" s="133" t="s">
        <v>196</v>
      </c>
      <c r="BG2" s="134" t="s">
        <v>197</v>
      </c>
    </row>
    <row r="3" spans="1:60" ht="37.5" customHeight="1" x14ac:dyDescent="0.25">
      <c r="A3" s="361" t="s">
        <v>162</v>
      </c>
      <c r="B3" s="362"/>
      <c r="C3" s="62" t="s">
        <v>146</v>
      </c>
      <c r="D3" s="10"/>
      <c r="E3" s="10"/>
      <c r="F3" s="10"/>
      <c r="G3" s="11"/>
      <c r="H3" s="81"/>
      <c r="I3" s="136">
        <f>I5/'TSF Prasadam Overall'!I4</f>
        <v>105013.65</v>
      </c>
      <c r="J3" s="85">
        <f>J5/'TSF Prasadam Overall'!J4</f>
        <v>82638.955882352937</v>
      </c>
      <c r="K3" s="137"/>
      <c r="L3" s="136">
        <f>L5/'TSF Prasadam Overall'!M4</f>
        <v>150970.41176470587</v>
      </c>
      <c r="M3" s="85">
        <f>M5/'TSF Prasadam Overall'!M4</f>
        <v>111023.5018382353</v>
      </c>
      <c r="N3" s="137"/>
      <c r="O3" s="136">
        <f>O5/'TSF Prasadam Overall'!O4</f>
        <v>134241.04999999999</v>
      </c>
      <c r="P3" s="85">
        <f>P5/'TSF Prasadam Overall'!P4</f>
        <v>104772.54764705883</v>
      </c>
      <c r="Q3" s="137"/>
      <c r="R3" s="136">
        <f>R5/'TSF Prasadam Overall'!BE4</f>
        <v>52511.364285714284</v>
      </c>
      <c r="S3" s="85">
        <f>S5/'TSF Prasadam Overall'!BF4</f>
        <v>42633.572195378154</v>
      </c>
      <c r="T3" s="137"/>
      <c r="U3" s="85">
        <f>U5/'TSF Prasadam Overall'!U4</f>
        <v>117943.65</v>
      </c>
      <c r="V3" s="85"/>
      <c r="W3" s="137"/>
      <c r="X3" s="136">
        <f>X5/'TSF Prasadam Overall'!X4</f>
        <v>114541.20450000002</v>
      </c>
      <c r="Y3" s="85"/>
      <c r="Z3" s="137"/>
      <c r="AA3" s="136">
        <f>AA5/'TSF Prasadam Overall'!AA4</f>
        <v>74276.324999999997</v>
      </c>
      <c r="AB3" s="143"/>
      <c r="AC3" s="137"/>
      <c r="AD3" s="136">
        <f>AD5/'TSF Prasadam Overall'!AD4</f>
        <v>102253.7265</v>
      </c>
      <c r="AE3" s="85"/>
      <c r="AF3" s="137"/>
      <c r="AG3" s="136">
        <f>AG5/'TSF Prasadam Overall'!AG4</f>
        <v>111588.5</v>
      </c>
      <c r="AH3" s="85"/>
      <c r="AI3" s="137"/>
      <c r="AJ3" s="136"/>
      <c r="AK3" s="85"/>
      <c r="AL3" s="137"/>
      <c r="AM3" s="136"/>
      <c r="AN3" s="85"/>
      <c r="AO3" s="137"/>
      <c r="AP3" s="136"/>
      <c r="AQ3" s="85"/>
      <c r="AR3" s="137"/>
      <c r="AS3" s="136"/>
      <c r="AT3" s="85"/>
      <c r="AU3" s="137"/>
      <c r="AV3" s="136"/>
      <c r="AW3" s="85"/>
      <c r="AX3" s="137"/>
      <c r="AY3" s="136"/>
      <c r="AZ3" s="85"/>
      <c r="BA3" s="137"/>
      <c r="BB3" s="136"/>
      <c r="BC3" s="85"/>
      <c r="BD3" s="137"/>
      <c r="BE3" s="85">
        <f>BE5/'TSF Prasadam Overall'!BE4</f>
        <v>112275.60421428572</v>
      </c>
      <c r="BF3" s="85"/>
      <c r="BG3" s="137"/>
    </row>
    <row r="4" spans="1:60" ht="5.25" customHeight="1" x14ac:dyDescent="0.25">
      <c r="C4" s="40"/>
      <c r="D4" s="40"/>
      <c r="E4" s="40"/>
      <c r="F4" s="40"/>
      <c r="G4" s="41"/>
      <c r="H4" s="29"/>
      <c r="I4" s="180"/>
      <c r="J4" s="43"/>
      <c r="K4" s="181"/>
      <c r="L4" s="180"/>
      <c r="M4" s="43"/>
      <c r="N4" s="181"/>
      <c r="O4" s="180"/>
      <c r="P4" s="43"/>
      <c r="Q4" s="181"/>
      <c r="R4" s="180"/>
      <c r="S4" s="43"/>
      <c r="T4" s="181"/>
      <c r="U4" s="180"/>
      <c r="V4" s="43"/>
      <c r="W4" s="181"/>
      <c r="X4" s="180"/>
      <c r="Y4" s="43"/>
      <c r="Z4" s="181"/>
      <c r="AA4" s="180"/>
      <c r="AB4" s="143"/>
      <c r="AC4" s="181"/>
      <c r="AD4" s="180"/>
      <c r="AE4" s="43"/>
      <c r="AF4" s="181"/>
      <c r="AG4" s="180"/>
      <c r="AH4" s="43"/>
      <c r="AI4" s="181"/>
      <c r="AJ4" s="180"/>
      <c r="AK4" s="43"/>
      <c r="AL4" s="181"/>
      <c r="AM4" s="180"/>
      <c r="AN4" s="43"/>
      <c r="AO4" s="181"/>
      <c r="AP4" s="180"/>
      <c r="AQ4" s="43"/>
      <c r="AR4" s="181"/>
      <c r="AS4" s="180"/>
      <c r="AT4" s="43"/>
      <c r="AU4" s="181"/>
      <c r="AV4" s="180"/>
      <c r="AW4" s="43"/>
      <c r="AX4" s="181"/>
      <c r="AY4" s="180"/>
      <c r="AZ4" s="43"/>
      <c r="BA4" s="181"/>
      <c r="BB4" s="180"/>
      <c r="BC4" s="43"/>
      <c r="BD4" s="181"/>
      <c r="BE4" s="180"/>
      <c r="BF4" s="43"/>
      <c r="BG4" s="181"/>
    </row>
    <row r="5" spans="1:60" ht="15" customHeight="1" x14ac:dyDescent="0.2">
      <c r="A5" s="325" t="s">
        <v>77</v>
      </c>
      <c r="B5" s="325"/>
      <c r="C5" s="48" t="s">
        <v>202</v>
      </c>
      <c r="D5" s="10"/>
      <c r="E5" s="10"/>
      <c r="F5" s="10"/>
      <c r="G5" s="11"/>
      <c r="H5" s="81"/>
      <c r="I5" s="142">
        <v>2100273</v>
      </c>
      <c r="J5" s="107">
        <v>1404862.25</v>
      </c>
      <c r="K5" s="137">
        <f>(I5-J5)/J5</f>
        <v>0.495002801876127</v>
      </c>
      <c r="L5" s="142">
        <f>2175489+391008</f>
        <v>2566497</v>
      </c>
      <c r="M5" s="107">
        <v>1887399.53125</v>
      </c>
      <c r="N5" s="137">
        <f>(L5-M5)/M5</f>
        <v>0.35980589033008958</v>
      </c>
      <c r="O5" s="142">
        <v>2684821</v>
      </c>
      <c r="P5" s="84">
        <f>1709887.9776/96*100</f>
        <v>1781133.31</v>
      </c>
      <c r="Q5" s="143"/>
      <c r="R5" s="142">
        <f>O5+L5+I5</f>
        <v>7351591</v>
      </c>
      <c r="S5" s="107">
        <f>P5+M5+J5</f>
        <v>5073395.0912500005</v>
      </c>
      <c r="T5" s="137">
        <f>(R5-S5)/S5</f>
        <v>0.44904760377900899</v>
      </c>
      <c r="U5" s="142">
        <v>2358873</v>
      </c>
      <c r="V5" s="264">
        <f>SUM(V9:V12)</f>
        <v>1643254</v>
      </c>
      <c r="W5" s="137">
        <f>(U5-V5)/V5</f>
        <v>0.4354889749241444</v>
      </c>
      <c r="X5" s="142">
        <f>SUM(X9:X11)</f>
        <v>2290824.0900000003</v>
      </c>
      <c r="Y5" s="107">
        <v>1751170</v>
      </c>
      <c r="Z5" s="137">
        <f>(X5-Y5)/Y5</f>
        <v>0.30816773357241178</v>
      </c>
      <c r="AA5" s="142">
        <f>SUM(AA9:AA11)</f>
        <v>1485526.5</v>
      </c>
      <c r="AB5" s="143">
        <v>1498792</v>
      </c>
      <c r="AC5" s="137">
        <f>(AA5-AB5)/AB5</f>
        <v>-8.8507945065092429E-3</v>
      </c>
      <c r="AD5" s="142">
        <f>AA5+X5+U5</f>
        <v>6135223.5899999999</v>
      </c>
      <c r="AE5" s="107">
        <f>AB5+Y5+V5</f>
        <v>4893216</v>
      </c>
      <c r="AF5" s="137">
        <f>(AD5-AE5)/AE5</f>
        <v>0.25382235118989227</v>
      </c>
      <c r="AG5" s="142">
        <f>SUM(AG9:AG11)</f>
        <v>2231770</v>
      </c>
      <c r="AH5" s="107">
        <f>1424587.59+21</f>
        <v>1424608.59</v>
      </c>
      <c r="AI5" s="143"/>
      <c r="AJ5" s="142"/>
      <c r="AK5" s="107"/>
      <c r="AL5" s="143"/>
      <c r="AM5" s="142"/>
      <c r="AN5" s="107"/>
      <c r="AO5" s="143"/>
      <c r="AP5" s="142"/>
      <c r="AQ5" s="107"/>
      <c r="AR5" s="143"/>
      <c r="AS5" s="142"/>
      <c r="AT5" s="107"/>
      <c r="AU5" s="143"/>
      <c r="AV5" s="142"/>
      <c r="AW5" s="107"/>
      <c r="AX5" s="143"/>
      <c r="AY5" s="142"/>
      <c r="AZ5" s="107"/>
      <c r="BA5" s="143"/>
      <c r="BB5" s="142"/>
      <c r="BC5" s="107"/>
      <c r="BD5" s="143"/>
      <c r="BE5" s="107">
        <f>I5+L5+O5+U5+X5+AA5+AG5+AJ5+AM5+AS5+AV5+AY5</f>
        <v>15718584.59</v>
      </c>
      <c r="BF5" s="107">
        <f t="shared" ref="BF5" si="0">J5+M5+P5+V5+Y5+AB5+AH5+AK5+AN5+AT5+AW5+AZ5</f>
        <v>11391219.68125</v>
      </c>
      <c r="BG5" s="137">
        <f>(BE5-BF5)/BF5</f>
        <v>0.37988600253868005</v>
      </c>
    </row>
    <row r="6" spans="1:60" ht="15" customHeight="1" x14ac:dyDescent="0.2">
      <c r="A6" s="325"/>
      <c r="B6" s="325"/>
      <c r="C6" s="48" t="s">
        <v>203</v>
      </c>
      <c r="D6" s="10"/>
      <c r="E6" s="10"/>
      <c r="F6" s="10"/>
      <c r="G6" s="11"/>
      <c r="H6" s="81"/>
      <c r="I6" s="182">
        <v>1410000</v>
      </c>
      <c r="J6" s="213" t="s">
        <v>194</v>
      </c>
      <c r="K6" s="183"/>
      <c r="L6" s="182">
        <v>1890000</v>
      </c>
      <c r="M6" s="213" t="s">
        <v>194</v>
      </c>
      <c r="N6" s="183"/>
      <c r="O6" s="182">
        <v>1960000</v>
      </c>
      <c r="P6" s="213" t="s">
        <v>194</v>
      </c>
      <c r="Q6" s="183"/>
      <c r="R6" s="142">
        <f>O6+L6+I6</f>
        <v>5260000</v>
      </c>
      <c r="S6" s="213" t="s">
        <v>194</v>
      </c>
      <c r="T6" s="183"/>
      <c r="U6" s="87">
        <v>2050000</v>
      </c>
      <c r="V6" s="87"/>
      <c r="W6" s="183"/>
      <c r="X6" s="182">
        <v>1920000</v>
      </c>
      <c r="Y6" s="87"/>
      <c r="Z6" s="183"/>
      <c r="AA6" s="182">
        <v>1650000</v>
      </c>
      <c r="AB6" s="143"/>
      <c r="AC6" s="183"/>
      <c r="AD6" s="142">
        <f>AA6+X6+U6</f>
        <v>5620000</v>
      </c>
      <c r="AE6" s="87"/>
      <c r="AF6" s="183"/>
      <c r="AG6" s="182">
        <v>1570000</v>
      </c>
      <c r="AH6" s="87"/>
      <c r="AI6" s="183"/>
      <c r="AJ6" s="182"/>
      <c r="AK6" s="87"/>
      <c r="AL6" s="183"/>
      <c r="AM6" s="182"/>
      <c r="AN6" s="87"/>
      <c r="AO6" s="183"/>
      <c r="AP6" s="182"/>
      <c r="AQ6" s="87"/>
      <c r="AR6" s="183"/>
      <c r="AS6" s="182"/>
      <c r="AT6" s="87"/>
      <c r="AU6" s="183"/>
      <c r="AV6" s="182"/>
      <c r="AW6" s="87"/>
      <c r="AX6" s="183"/>
      <c r="AY6" s="182"/>
      <c r="AZ6" s="87"/>
      <c r="BA6" s="183"/>
      <c r="BB6" s="182"/>
      <c r="BC6" s="87"/>
      <c r="BD6" s="183"/>
      <c r="BE6" s="107">
        <f>I6+L6+O6+U6+X6+AA6+AG6+AJ6+AM6+AS6+AV6+AY6</f>
        <v>12450000</v>
      </c>
      <c r="BF6" s="89"/>
      <c r="BG6" s="137"/>
      <c r="BH6" s="214" t="s">
        <v>645</v>
      </c>
    </row>
    <row r="7" spans="1:60" ht="27" customHeight="1" x14ac:dyDescent="0.2">
      <c r="A7" s="325"/>
      <c r="B7" s="325"/>
      <c r="C7" s="48" t="s">
        <v>635</v>
      </c>
      <c r="D7" s="10"/>
      <c r="E7" s="10"/>
      <c r="F7" s="10"/>
      <c r="G7" s="11"/>
      <c r="H7" s="81"/>
      <c r="I7" s="202">
        <f>I5/I6</f>
        <v>1.4895553191489361</v>
      </c>
      <c r="J7" s="213" t="s">
        <v>194</v>
      </c>
      <c r="K7" s="196"/>
      <c r="L7" s="202">
        <f t="shared" ref="L7" si="1">L5/L6</f>
        <v>1.3579349206349207</v>
      </c>
      <c r="M7" s="213" t="s">
        <v>194</v>
      </c>
      <c r="N7" s="137"/>
      <c r="O7" s="136">
        <f t="shared" ref="O7" si="2">O5/O6</f>
        <v>1.3698066326530611</v>
      </c>
      <c r="P7" s="213" t="s">
        <v>194</v>
      </c>
      <c r="Q7" s="137"/>
      <c r="R7" s="136">
        <f t="shared" ref="R7" si="3">R5/R6</f>
        <v>1.3976408745247149</v>
      </c>
      <c r="S7" s="213" t="s">
        <v>194</v>
      </c>
      <c r="T7" s="137"/>
      <c r="U7" s="136">
        <f t="shared" ref="U7" si="4">U5/U6</f>
        <v>1.1506697560975609</v>
      </c>
      <c r="V7" s="85"/>
      <c r="W7" s="137"/>
      <c r="X7" s="136">
        <f t="shared" ref="X7" si="5">X5/X6</f>
        <v>1.1931375468750001</v>
      </c>
      <c r="Y7" s="85"/>
      <c r="Z7" s="137"/>
      <c r="AA7" s="136">
        <f t="shared" ref="AA7" si="6">AA5/AA6</f>
        <v>0.9003190909090909</v>
      </c>
      <c r="AB7" s="143"/>
      <c r="AC7" s="137"/>
      <c r="AD7" s="136">
        <f t="shared" ref="AD7" si="7">AD5/AD6</f>
        <v>1.0916767953736655</v>
      </c>
      <c r="AE7" s="85"/>
      <c r="AF7" s="137"/>
      <c r="AG7" s="136">
        <f t="shared" ref="AG7" si="8">AG5/AG6</f>
        <v>1.4215095541401275</v>
      </c>
      <c r="AH7" s="85"/>
      <c r="AI7" s="137"/>
      <c r="AJ7" s="136"/>
      <c r="AK7" s="85"/>
      <c r="AL7" s="137"/>
      <c r="AM7" s="136"/>
      <c r="AN7" s="85"/>
      <c r="AO7" s="137"/>
      <c r="AP7" s="136"/>
      <c r="AQ7" s="85"/>
      <c r="AR7" s="137"/>
      <c r="AS7" s="136"/>
      <c r="AT7" s="85"/>
      <c r="AU7" s="137"/>
      <c r="AV7" s="136"/>
      <c r="AW7" s="85"/>
      <c r="AX7" s="137"/>
      <c r="AY7" s="136"/>
      <c r="AZ7" s="85"/>
      <c r="BA7" s="137"/>
      <c r="BB7" s="136"/>
      <c r="BC7" s="85"/>
      <c r="BD7" s="137"/>
      <c r="BE7" s="136">
        <f>BE5/BE6</f>
        <v>1.2625369148594376</v>
      </c>
      <c r="BF7" s="85"/>
      <c r="BG7" s="137"/>
    </row>
    <row r="8" spans="1:60" ht="5.25" customHeight="1" x14ac:dyDescent="0.25">
      <c r="C8" s="40"/>
      <c r="D8" s="40"/>
      <c r="E8" s="40"/>
      <c r="F8" s="40"/>
      <c r="G8" s="41"/>
      <c r="H8" s="29"/>
      <c r="I8" s="180"/>
      <c r="J8" s="43"/>
      <c r="K8" s="181"/>
      <c r="L8" s="180"/>
      <c r="M8" s="43"/>
      <c r="N8" s="181"/>
      <c r="O8" s="180"/>
      <c r="P8" s="43"/>
      <c r="Q8" s="181"/>
      <c r="R8" s="180"/>
      <c r="S8" s="43"/>
      <c r="T8" s="181"/>
      <c r="U8" s="180"/>
      <c r="V8" s="43"/>
      <c r="W8" s="181"/>
      <c r="X8" s="180"/>
      <c r="Y8" s="43"/>
      <c r="Z8" s="181"/>
      <c r="AA8" s="180"/>
      <c r="AB8" s="143"/>
      <c r="AC8" s="181"/>
      <c r="AD8" s="180"/>
      <c r="AE8" s="43"/>
      <c r="AF8" s="181"/>
      <c r="AG8" s="180"/>
      <c r="AH8" s="43"/>
      <c r="AI8" s="181"/>
      <c r="AJ8" s="180"/>
      <c r="AK8" s="43"/>
      <c r="AL8" s="181"/>
      <c r="AM8" s="180"/>
      <c r="AN8" s="43"/>
      <c r="AO8" s="181"/>
      <c r="AP8" s="180"/>
      <c r="AQ8" s="43"/>
      <c r="AR8" s="181"/>
      <c r="AS8" s="180"/>
      <c r="AT8" s="43"/>
      <c r="AU8" s="181"/>
      <c r="AV8" s="180"/>
      <c r="AW8" s="43"/>
      <c r="AX8" s="181"/>
      <c r="AY8" s="180"/>
      <c r="AZ8" s="43"/>
      <c r="BA8" s="181"/>
      <c r="BB8" s="180"/>
      <c r="BC8" s="43"/>
      <c r="BD8" s="181"/>
      <c r="BE8" s="180"/>
      <c r="BF8" s="43"/>
      <c r="BG8" s="181"/>
    </row>
    <row r="9" spans="1:60" ht="15" customHeight="1" x14ac:dyDescent="0.25">
      <c r="A9" s="326" t="s">
        <v>167</v>
      </c>
      <c r="B9" s="326"/>
      <c r="C9" s="64" t="s">
        <v>163</v>
      </c>
      <c r="D9" s="10"/>
      <c r="E9" s="10"/>
      <c r="F9" s="10"/>
      <c r="G9" s="11"/>
      <c r="H9" s="81"/>
      <c r="I9" s="142">
        <f>1769911.0368/96*100</f>
        <v>1843657.33</v>
      </c>
      <c r="J9" s="213" t="s">
        <v>194</v>
      </c>
      <c r="K9" s="143"/>
      <c r="L9" s="142">
        <f>1909309.7952/96*100</f>
        <v>1988864.37</v>
      </c>
      <c r="M9" s="213" t="s">
        <v>194</v>
      </c>
      <c r="N9" s="143"/>
      <c r="O9" s="142">
        <f>122626+1835083-122626</f>
        <v>1835083</v>
      </c>
      <c r="P9" s="213" t="s">
        <v>194</v>
      </c>
      <c r="Q9" s="143"/>
      <c r="R9" s="142">
        <f t="shared" ref="R9:R11" si="9">O9+L9+I9</f>
        <v>5667604.7000000002</v>
      </c>
      <c r="S9" s="213" t="s">
        <v>194</v>
      </c>
      <c r="T9" s="143"/>
      <c r="U9" s="213">
        <v>1527811</v>
      </c>
      <c r="V9" s="107">
        <v>1532672</v>
      </c>
      <c r="W9" s="143"/>
      <c r="X9" s="142">
        <v>1976259.86</v>
      </c>
      <c r="Y9" s="107"/>
      <c r="Z9" s="143"/>
      <c r="AA9" s="142">
        <v>1415021</v>
      </c>
      <c r="AB9" s="143"/>
      <c r="AC9" s="143"/>
      <c r="AD9" s="142">
        <f t="shared" ref="AD9:AD11" si="10">AA9+X9+U9</f>
        <v>4919091.8600000003</v>
      </c>
      <c r="AE9" s="107"/>
      <c r="AF9" s="143"/>
      <c r="AG9" s="142">
        <f>2219854+474</f>
        <v>2220328</v>
      </c>
      <c r="AH9" s="107"/>
      <c r="AI9" s="143"/>
      <c r="AJ9" s="142"/>
      <c r="AK9" s="107"/>
      <c r="AL9" s="143"/>
      <c r="AM9" s="142"/>
      <c r="AN9" s="107"/>
      <c r="AO9" s="143"/>
      <c r="AP9" s="142"/>
      <c r="AQ9" s="107"/>
      <c r="AR9" s="143"/>
      <c r="AS9" s="142"/>
      <c r="AT9" s="107"/>
      <c r="AU9" s="143"/>
      <c r="AV9" s="142"/>
      <c r="AW9" s="107"/>
      <c r="AX9" s="143"/>
      <c r="AY9" s="142"/>
      <c r="AZ9" s="107"/>
      <c r="BA9" s="143"/>
      <c r="BB9" s="142"/>
      <c r="BC9" s="107"/>
      <c r="BD9" s="143"/>
      <c r="BE9" s="107">
        <f t="shared" ref="BE9:BE11" si="11">I9+L9+O9+U9+X9+AA9+AG9+AJ9+AM9+AS9+AV9+AY9</f>
        <v>12807024.560000001</v>
      </c>
      <c r="BF9" s="107"/>
      <c r="BG9" s="143"/>
    </row>
    <row r="10" spans="1:60" x14ac:dyDescent="0.25">
      <c r="A10" s="326"/>
      <c r="B10" s="326"/>
      <c r="C10" s="64" t="s">
        <v>164</v>
      </c>
      <c r="D10" s="10"/>
      <c r="E10" s="10"/>
      <c r="F10" s="10"/>
      <c r="G10" s="11"/>
      <c r="H10" s="81"/>
      <c r="I10" s="142">
        <f>186005.76/96*100</f>
        <v>193756.00000000003</v>
      </c>
      <c r="J10" s="213" t="s">
        <v>194</v>
      </c>
      <c r="K10" s="143"/>
      <c r="L10" s="142">
        <f>179160/96*100</f>
        <v>186625</v>
      </c>
      <c r="M10" s="213" t="s">
        <v>194</v>
      </c>
      <c r="N10" s="143"/>
      <c r="O10" s="142">
        <f>49271</f>
        <v>49271</v>
      </c>
      <c r="P10" s="213" t="s">
        <v>194</v>
      </c>
      <c r="Q10" s="143"/>
      <c r="R10" s="142">
        <f>O10+L10+I10</f>
        <v>429652</v>
      </c>
      <c r="S10" s="213" t="s">
        <v>194</v>
      </c>
      <c r="T10" s="143"/>
      <c r="U10" s="213">
        <v>428562</v>
      </c>
      <c r="W10" s="143"/>
      <c r="X10" s="142">
        <v>198314.23</v>
      </c>
      <c r="Y10" s="107"/>
      <c r="Z10" s="143"/>
      <c r="AA10" s="142">
        <f>70265.5+240</f>
        <v>70505.5</v>
      </c>
      <c r="AB10" s="143"/>
      <c r="AC10" s="143"/>
      <c r="AD10" s="142">
        <f>AA10+X10+U10</f>
        <v>697381.73</v>
      </c>
      <c r="AE10" s="107"/>
      <c r="AF10" s="143"/>
      <c r="AG10" s="142">
        <v>0</v>
      </c>
      <c r="AH10" s="107"/>
      <c r="AI10" s="143"/>
      <c r="AJ10" s="142"/>
      <c r="AK10" s="107"/>
      <c r="AL10" s="143"/>
      <c r="AM10" s="142"/>
      <c r="AN10" s="107"/>
      <c r="AO10" s="143"/>
      <c r="AP10" s="142"/>
      <c r="AQ10" s="107"/>
      <c r="AR10" s="143"/>
      <c r="AS10" s="142"/>
      <c r="AT10" s="107"/>
      <c r="AU10" s="143"/>
      <c r="AV10" s="142"/>
      <c r="AW10" s="107"/>
      <c r="AX10" s="143"/>
      <c r="AY10" s="142"/>
      <c r="AZ10" s="107"/>
      <c r="BA10" s="143"/>
      <c r="BB10" s="142"/>
      <c r="BC10" s="107"/>
      <c r="BD10" s="143"/>
      <c r="BE10" s="107">
        <f t="shared" si="11"/>
        <v>1127033.73</v>
      </c>
      <c r="BF10" s="107"/>
      <c r="BG10" s="143"/>
    </row>
    <row r="11" spans="1:60" x14ac:dyDescent="0.25">
      <c r="A11" s="326"/>
      <c r="B11" s="326"/>
      <c r="C11" s="64" t="s">
        <v>165</v>
      </c>
      <c r="D11" s="10"/>
      <c r="E11" s="10"/>
      <c r="F11" s="10"/>
      <c r="G11" s="11"/>
      <c r="H11" s="81"/>
      <c r="I11" s="142">
        <f>60345.6/96*100</f>
        <v>62860</v>
      </c>
      <c r="J11" s="213" t="s">
        <v>194</v>
      </c>
      <c r="K11" s="143"/>
      <c r="L11" s="142">
        <v>0</v>
      </c>
      <c r="M11" s="213" t="s">
        <v>194</v>
      </c>
      <c r="N11" s="143"/>
      <c r="O11" s="142">
        <f>482520+317947</f>
        <v>800467</v>
      </c>
      <c r="P11" s="213" t="s">
        <v>194</v>
      </c>
      <c r="Q11" s="143"/>
      <c r="R11" s="142">
        <f t="shared" si="9"/>
        <v>863327</v>
      </c>
      <c r="S11" s="213" t="s">
        <v>194</v>
      </c>
      <c r="T11" s="143"/>
      <c r="U11" s="213">
        <v>402500</v>
      </c>
      <c r="V11" s="107">
        <v>35500</v>
      </c>
      <c r="W11" s="143"/>
      <c r="X11" s="142">
        <v>116250</v>
      </c>
      <c r="Y11" s="107"/>
      <c r="Z11" s="143"/>
      <c r="AA11" s="142">
        <v>0</v>
      </c>
      <c r="AB11" s="143"/>
      <c r="AC11" s="143"/>
      <c r="AD11" s="142">
        <f t="shared" si="10"/>
        <v>518750</v>
      </c>
      <c r="AE11" s="107"/>
      <c r="AF11" s="143"/>
      <c r="AG11" s="142">
        <v>11442</v>
      </c>
      <c r="AH11" s="107"/>
      <c r="AI11" s="143"/>
      <c r="AJ11" s="142"/>
      <c r="AK11" s="107"/>
      <c r="AL11" s="143"/>
      <c r="AM11" s="142"/>
      <c r="AN11" s="107"/>
      <c r="AO11" s="143"/>
      <c r="AP11" s="142"/>
      <c r="AQ11" s="107"/>
      <c r="AR11" s="143"/>
      <c r="AS11" s="142"/>
      <c r="AT11" s="107"/>
      <c r="AU11" s="143"/>
      <c r="AV11" s="142"/>
      <c r="AW11" s="107"/>
      <c r="AX11" s="143"/>
      <c r="AY11" s="142"/>
      <c r="AZ11" s="107"/>
      <c r="BA11" s="143"/>
      <c r="BB11" s="142"/>
      <c r="BC11" s="107"/>
      <c r="BD11" s="143"/>
      <c r="BE11" s="107">
        <f t="shared" si="11"/>
        <v>1393519</v>
      </c>
      <c r="BF11" s="107"/>
      <c r="BG11" s="143"/>
    </row>
    <row r="12" spans="1:60" x14ac:dyDescent="0.25">
      <c r="A12" s="326"/>
      <c r="B12" s="326"/>
      <c r="C12" s="62" t="s">
        <v>166</v>
      </c>
      <c r="D12" s="10"/>
      <c r="E12" s="10"/>
      <c r="F12" s="10"/>
      <c r="G12" s="11"/>
      <c r="H12" s="81"/>
      <c r="I12" s="142">
        <v>0</v>
      </c>
      <c r="J12" s="213" t="s">
        <v>194</v>
      </c>
      <c r="K12" s="143"/>
      <c r="L12" s="142">
        <v>0</v>
      </c>
      <c r="M12" s="213" t="s">
        <v>194</v>
      </c>
      <c r="N12" s="143"/>
      <c r="O12" s="142"/>
      <c r="P12" s="213" t="s">
        <v>194</v>
      </c>
      <c r="Q12" s="143"/>
      <c r="R12" s="142"/>
      <c r="S12" s="107"/>
      <c r="T12" s="143"/>
      <c r="U12" s="142"/>
      <c r="V12" s="107">
        <v>75082</v>
      </c>
      <c r="W12" s="143"/>
      <c r="X12" s="142">
        <v>0</v>
      </c>
      <c r="Y12" s="107"/>
      <c r="Z12" s="143"/>
      <c r="AA12" s="142"/>
      <c r="AB12" s="143"/>
      <c r="AC12" s="143"/>
      <c r="AD12" s="142"/>
      <c r="AE12" s="107"/>
      <c r="AF12" s="143"/>
      <c r="AG12" s="142"/>
      <c r="AH12" s="107"/>
      <c r="AI12" s="143"/>
      <c r="AJ12" s="142"/>
      <c r="AK12" s="107"/>
      <c r="AL12" s="143"/>
      <c r="AM12" s="142"/>
      <c r="AN12" s="107"/>
      <c r="AO12" s="143"/>
      <c r="AP12" s="142"/>
      <c r="AQ12" s="107"/>
      <c r="AR12" s="143"/>
      <c r="AS12" s="142"/>
      <c r="AT12" s="107"/>
      <c r="AU12" s="143"/>
      <c r="AV12" s="142"/>
      <c r="AW12" s="107"/>
      <c r="AX12" s="143"/>
      <c r="AY12" s="142"/>
      <c r="AZ12" s="107"/>
      <c r="BA12" s="143"/>
      <c r="BB12" s="142"/>
      <c r="BC12" s="107"/>
      <c r="BD12" s="143"/>
      <c r="BE12" s="142"/>
      <c r="BF12" s="107"/>
      <c r="BG12" s="143"/>
    </row>
    <row r="13" spans="1:60" ht="3.75" customHeight="1" x14ac:dyDescent="0.25">
      <c r="I13" s="184"/>
      <c r="J13" s="80"/>
      <c r="K13" s="185"/>
      <c r="L13" s="184"/>
      <c r="M13" s="80"/>
      <c r="N13" s="185"/>
      <c r="O13" s="184"/>
      <c r="P13" s="80"/>
      <c r="Q13" s="185"/>
      <c r="R13" s="184"/>
      <c r="S13" s="80"/>
      <c r="T13" s="185"/>
      <c r="U13" s="184"/>
      <c r="V13" s="80"/>
      <c r="W13" s="185"/>
      <c r="X13" s="184"/>
      <c r="Y13" s="80"/>
      <c r="Z13" s="185"/>
      <c r="AA13" s="184"/>
      <c r="AB13" s="143"/>
      <c r="AC13" s="185"/>
      <c r="AD13" s="184"/>
      <c r="AE13" s="80"/>
      <c r="AF13" s="185"/>
      <c r="AG13" s="184"/>
      <c r="AH13" s="80"/>
      <c r="AI13" s="185"/>
      <c r="AJ13" s="184"/>
      <c r="AK13" s="80"/>
      <c r="AL13" s="185"/>
      <c r="AM13" s="184"/>
      <c r="AN13" s="80"/>
      <c r="AO13" s="185"/>
      <c r="AP13" s="184"/>
      <c r="AQ13" s="80"/>
      <c r="AR13" s="185"/>
      <c r="AS13" s="184"/>
      <c r="AT13" s="80"/>
      <c r="AU13" s="185"/>
      <c r="AV13" s="184"/>
      <c r="AW13" s="80"/>
      <c r="AX13" s="185"/>
      <c r="AY13" s="184"/>
      <c r="AZ13" s="80"/>
      <c r="BA13" s="185"/>
      <c r="BB13" s="184"/>
      <c r="BC13" s="80"/>
      <c r="BD13" s="185"/>
      <c r="BE13" s="184"/>
      <c r="BF13" s="80"/>
      <c r="BG13" s="185"/>
    </row>
    <row r="14" spans="1:60" ht="15" customHeight="1" x14ac:dyDescent="0.25">
      <c r="A14" s="327" t="s">
        <v>152</v>
      </c>
      <c r="B14" s="328"/>
      <c r="C14" s="62" t="s">
        <v>26</v>
      </c>
      <c r="D14" s="10"/>
      <c r="E14" s="10"/>
      <c r="F14" s="10"/>
      <c r="G14" s="11"/>
      <c r="H14" s="81"/>
      <c r="I14" s="186">
        <f>'TSF Prasadam Overall'!I75</f>
        <v>316042.09999999998</v>
      </c>
      <c r="J14" s="116">
        <v>318851</v>
      </c>
      <c r="K14" s="187"/>
      <c r="L14" s="186">
        <f>'TSF Prasadam Overall'!L75</f>
        <v>316042.09999999998</v>
      </c>
      <c r="M14" s="116">
        <v>417014</v>
      </c>
      <c r="N14" s="187"/>
      <c r="O14" s="186">
        <v>338078</v>
      </c>
      <c r="P14" s="116">
        <v>315959</v>
      </c>
      <c r="Q14" s="187"/>
      <c r="R14" s="142">
        <f>(O14+L14+I14)/3</f>
        <v>323387.39999999997</v>
      </c>
      <c r="S14" s="107"/>
      <c r="T14" s="187"/>
      <c r="U14" s="186">
        <v>275461</v>
      </c>
      <c r="V14" s="116"/>
      <c r="W14" s="187"/>
      <c r="X14" s="186">
        <v>360842</v>
      </c>
      <c r="Y14" s="116"/>
      <c r="Z14" s="187"/>
      <c r="AA14" s="186">
        <v>261765</v>
      </c>
      <c r="AB14" s="143"/>
      <c r="AC14" s="187"/>
      <c r="AD14" s="142">
        <f>(AA14+X14+U14)</f>
        <v>898068</v>
      </c>
      <c r="AE14" s="116"/>
      <c r="AF14" s="187"/>
      <c r="AG14" s="186">
        <v>343045</v>
      </c>
      <c r="AH14" s="116"/>
      <c r="AI14" s="187"/>
      <c r="AJ14" s="186"/>
      <c r="AK14" s="116"/>
      <c r="AL14" s="187"/>
      <c r="AM14" s="186"/>
      <c r="AN14" s="116"/>
      <c r="AO14" s="187"/>
      <c r="AP14" s="186"/>
      <c r="AQ14" s="116"/>
      <c r="AR14" s="187"/>
      <c r="AS14" s="186"/>
      <c r="AT14" s="116"/>
      <c r="AU14" s="187"/>
      <c r="AV14" s="186"/>
      <c r="AW14" s="116"/>
      <c r="AX14" s="187"/>
      <c r="AY14" s="186"/>
      <c r="AZ14" s="116"/>
      <c r="BA14" s="187"/>
      <c r="BB14" s="186"/>
      <c r="BC14" s="116"/>
      <c r="BD14" s="187"/>
      <c r="BE14" s="107">
        <f>I14+L14+O14+U14+X14+AA14+AG14+AJ14+AM14+AS14+AV14+AY14</f>
        <v>2211275.2000000002</v>
      </c>
      <c r="BF14" s="116"/>
      <c r="BG14" s="187"/>
    </row>
    <row r="15" spans="1:60" ht="15" customHeight="1" x14ac:dyDescent="0.25">
      <c r="A15" s="329"/>
      <c r="B15" s="330"/>
      <c r="C15" s="62" t="s">
        <v>646</v>
      </c>
      <c r="D15" s="10"/>
      <c r="E15" s="10"/>
      <c r="F15" s="10"/>
      <c r="G15" s="11"/>
      <c r="H15" s="81"/>
      <c r="I15" s="186">
        <f>I9/I20</f>
        <v>3300</v>
      </c>
      <c r="J15" s="213" t="s">
        <v>194</v>
      </c>
      <c r="K15" s="187"/>
      <c r="L15" s="186">
        <f>L9/L20</f>
        <v>3409.9999999999995</v>
      </c>
      <c r="M15" s="213" t="s">
        <v>194</v>
      </c>
      <c r="N15" s="187"/>
      <c r="O15" s="186">
        <f>O9/O20</f>
        <v>3300</v>
      </c>
      <c r="P15" s="213" t="s">
        <v>194</v>
      </c>
      <c r="Q15" s="187"/>
      <c r="R15" s="142">
        <f>(O15+L15+I15)/3</f>
        <v>3336.6666666666665</v>
      </c>
      <c r="S15" s="213" t="s">
        <v>194</v>
      </c>
      <c r="T15" s="187"/>
      <c r="U15" s="213" t="s">
        <v>194</v>
      </c>
      <c r="V15" s="116"/>
      <c r="W15" s="187"/>
      <c r="X15" s="186"/>
      <c r="Y15" s="297"/>
      <c r="Z15" s="187"/>
      <c r="AA15" s="186"/>
      <c r="AB15" s="143"/>
      <c r="AC15" s="187"/>
      <c r="AD15" s="142"/>
      <c r="AE15" s="116"/>
      <c r="AF15" s="187"/>
      <c r="AG15" s="186"/>
      <c r="AH15" s="116"/>
      <c r="AI15" s="187"/>
      <c r="AJ15" s="186"/>
      <c r="AK15" s="116"/>
      <c r="AL15" s="187"/>
      <c r="AM15" s="186"/>
      <c r="AN15" s="116"/>
      <c r="AO15" s="187"/>
      <c r="AP15" s="186"/>
      <c r="AQ15" s="116"/>
      <c r="AR15" s="187"/>
      <c r="AS15" s="186"/>
      <c r="AT15" s="116"/>
      <c r="AU15" s="187"/>
      <c r="AV15" s="186"/>
      <c r="AW15" s="116"/>
      <c r="AX15" s="187"/>
      <c r="AY15" s="186"/>
      <c r="AZ15" s="116"/>
      <c r="BA15" s="187"/>
      <c r="BB15" s="186"/>
      <c r="BC15" s="116"/>
      <c r="BD15" s="187"/>
      <c r="BE15" s="186"/>
      <c r="BF15" s="116"/>
      <c r="BG15" s="187"/>
    </row>
    <row r="16" spans="1:60" x14ac:dyDescent="0.25">
      <c r="A16" s="331"/>
      <c r="B16" s="332"/>
      <c r="C16" s="62" t="s">
        <v>647</v>
      </c>
      <c r="D16" s="10"/>
      <c r="E16" s="10"/>
      <c r="F16" s="10"/>
      <c r="G16" s="11"/>
      <c r="H16" s="81"/>
      <c r="I16" s="136">
        <f>I15/(I14/3)</f>
        <v>3.1324940569626647E-2</v>
      </c>
      <c r="J16" s="213" t="s">
        <v>194</v>
      </c>
      <c r="K16" s="189"/>
      <c r="L16" s="136">
        <f>L15/(L14/3)</f>
        <v>3.2369105255280861E-2</v>
      </c>
      <c r="M16" s="213" t="s">
        <v>194</v>
      </c>
      <c r="N16" s="189"/>
      <c r="O16" s="215">
        <f>O15/(O14/3)</f>
        <v>2.9283183170747577E-2</v>
      </c>
      <c r="P16" s="213" t="s">
        <v>194</v>
      </c>
      <c r="Q16" s="189"/>
      <c r="R16" s="136">
        <f>R15/(R14/3)</f>
        <v>3.0953586936287563E-2</v>
      </c>
      <c r="S16" s="213" t="s">
        <v>194</v>
      </c>
      <c r="T16" s="189"/>
      <c r="U16" s="215" t="e">
        <f>U15/(U14/3)</f>
        <v>#VALUE!</v>
      </c>
      <c r="V16" s="83"/>
      <c r="W16" s="189"/>
      <c r="X16" s="188"/>
      <c r="Y16" s="83"/>
      <c r="Z16" s="189"/>
      <c r="AA16" s="188"/>
      <c r="AB16" s="143"/>
      <c r="AC16" s="189"/>
      <c r="AD16" s="188"/>
      <c r="AE16" s="83"/>
      <c r="AF16" s="189"/>
      <c r="AG16" s="188"/>
      <c r="AH16" s="83"/>
      <c r="AI16" s="189"/>
      <c r="AJ16" s="188"/>
      <c r="AK16" s="83"/>
      <c r="AL16" s="189"/>
      <c r="AM16" s="188"/>
      <c r="AN16" s="83"/>
      <c r="AO16" s="189"/>
      <c r="AP16" s="188"/>
      <c r="AQ16" s="83"/>
      <c r="AR16" s="189"/>
      <c r="AS16" s="188"/>
      <c r="AT16" s="83"/>
      <c r="AU16" s="189"/>
      <c r="AV16" s="188"/>
      <c r="AW16" s="83"/>
      <c r="AX16" s="189"/>
      <c r="AY16" s="188"/>
      <c r="AZ16" s="83"/>
      <c r="BA16" s="189"/>
      <c r="BB16" s="188"/>
      <c r="BC16" s="83"/>
      <c r="BD16" s="189"/>
      <c r="BE16" s="188"/>
      <c r="BF16" s="83"/>
      <c r="BG16" s="189"/>
    </row>
    <row r="17" spans="1:60" ht="3.75" customHeight="1" x14ac:dyDescent="0.25">
      <c r="I17" s="184"/>
      <c r="J17" s="80"/>
      <c r="K17" s="185"/>
      <c r="L17" s="184"/>
      <c r="M17" s="80"/>
      <c r="N17" s="185"/>
      <c r="O17" s="184"/>
      <c r="P17" s="80"/>
      <c r="Q17" s="185"/>
      <c r="R17" s="184"/>
      <c r="S17" s="80"/>
      <c r="T17" s="185"/>
      <c r="U17" s="184"/>
      <c r="V17" s="80"/>
      <c r="W17" s="185"/>
      <c r="X17" s="184"/>
      <c r="Y17" s="80"/>
      <c r="Z17" s="185"/>
      <c r="AA17" s="184"/>
      <c r="AB17" s="143"/>
      <c r="AC17" s="185"/>
      <c r="AD17" s="184"/>
      <c r="AE17" s="80"/>
      <c r="AF17" s="185"/>
      <c r="AG17" s="184"/>
      <c r="AH17" s="80"/>
      <c r="AI17" s="185"/>
      <c r="AJ17" s="184"/>
      <c r="AK17" s="80"/>
      <c r="AL17" s="185"/>
      <c r="AM17" s="184"/>
      <c r="AN17" s="80"/>
      <c r="AO17" s="185"/>
      <c r="AP17" s="184"/>
      <c r="AQ17" s="80"/>
      <c r="AR17" s="185"/>
      <c r="AS17" s="184"/>
      <c r="AT17" s="80"/>
      <c r="AU17" s="185"/>
      <c r="AV17" s="184"/>
      <c r="AW17" s="80"/>
      <c r="AX17" s="185"/>
      <c r="AY17" s="184"/>
      <c r="AZ17" s="80"/>
      <c r="BA17" s="185"/>
      <c r="BB17" s="184"/>
      <c r="BC17" s="80"/>
      <c r="BD17" s="185"/>
      <c r="BE17" s="184"/>
      <c r="BF17" s="80"/>
      <c r="BG17" s="185"/>
    </row>
    <row r="18" spans="1:60" ht="28.5" customHeight="1" x14ac:dyDescent="0.25">
      <c r="A18" s="326" t="s">
        <v>170</v>
      </c>
      <c r="B18" s="326"/>
      <c r="C18" s="61" t="s">
        <v>168</v>
      </c>
      <c r="D18" s="10"/>
      <c r="E18" s="10"/>
      <c r="F18" s="10"/>
      <c r="G18" s="11"/>
      <c r="H18" s="81"/>
      <c r="I18" s="186">
        <f>I9</f>
        <v>1843657.33</v>
      </c>
      <c r="J18" s="213" t="s">
        <v>194</v>
      </c>
      <c r="K18" s="187"/>
      <c r="L18" s="186">
        <f>L9</f>
        <v>1988864.37</v>
      </c>
      <c r="M18" s="213" t="s">
        <v>194</v>
      </c>
      <c r="N18" s="187"/>
      <c r="O18" s="186">
        <f>O9</f>
        <v>1835083</v>
      </c>
      <c r="P18" s="213" t="s">
        <v>194</v>
      </c>
      <c r="Q18" s="187"/>
      <c r="R18" s="142">
        <f>(O18+L18+I18)/3</f>
        <v>1889201.5666666667</v>
      </c>
      <c r="S18" s="213" t="s">
        <v>194</v>
      </c>
      <c r="T18" s="187"/>
      <c r="U18" s="213" t="s">
        <v>194</v>
      </c>
      <c r="V18" s="116"/>
      <c r="W18" s="187"/>
      <c r="X18" s="186"/>
      <c r="Y18" s="116"/>
      <c r="Z18" s="187"/>
      <c r="AA18" s="186"/>
      <c r="AB18" s="143"/>
      <c r="AC18" s="187"/>
      <c r="AD18" s="186"/>
      <c r="AE18" s="116"/>
      <c r="AF18" s="187"/>
      <c r="AG18" s="186"/>
      <c r="AH18" s="116"/>
      <c r="AI18" s="187"/>
      <c r="AJ18" s="186"/>
      <c r="AK18" s="116"/>
      <c r="AL18" s="187"/>
      <c r="AM18" s="186"/>
      <c r="AN18" s="116"/>
      <c r="AO18" s="187"/>
      <c r="AP18" s="186"/>
      <c r="AQ18" s="116"/>
      <c r="AR18" s="187"/>
      <c r="AS18" s="186"/>
      <c r="AT18" s="116"/>
      <c r="AU18" s="187"/>
      <c r="AV18" s="186"/>
      <c r="AW18" s="116"/>
      <c r="AX18" s="187"/>
      <c r="AY18" s="186"/>
      <c r="AZ18" s="116"/>
      <c r="BA18" s="187"/>
      <c r="BB18" s="186"/>
      <c r="BC18" s="116"/>
      <c r="BD18" s="187"/>
      <c r="BE18" s="186"/>
      <c r="BF18" s="116"/>
      <c r="BG18" s="187"/>
    </row>
    <row r="19" spans="1:60" ht="15" customHeight="1" x14ac:dyDescent="0.25">
      <c r="A19" s="326"/>
      <c r="B19" s="326"/>
      <c r="C19" s="61" t="s">
        <v>169</v>
      </c>
      <c r="D19" s="10"/>
      <c r="E19" s="10"/>
      <c r="F19" s="10"/>
      <c r="G19" s="11"/>
      <c r="H19" s="81"/>
      <c r="I19" s="144">
        <v>110</v>
      </c>
      <c r="J19" s="213" t="s">
        <v>194</v>
      </c>
      <c r="K19" s="145"/>
      <c r="L19" s="144">
        <v>110</v>
      </c>
      <c r="M19" s="213" t="s">
        <v>194</v>
      </c>
      <c r="N19" s="145"/>
      <c r="O19" s="144">
        <v>110</v>
      </c>
      <c r="P19" s="213" t="s">
        <v>194</v>
      </c>
      <c r="Q19" s="145"/>
      <c r="R19" s="144">
        <v>110</v>
      </c>
      <c r="S19" s="213" t="s">
        <v>194</v>
      </c>
      <c r="T19" s="145"/>
      <c r="U19" s="213" t="s">
        <v>194</v>
      </c>
      <c r="V19" s="86"/>
      <c r="W19" s="145"/>
      <c r="X19" s="144"/>
      <c r="Y19" s="86"/>
      <c r="Z19" s="145"/>
      <c r="AA19" s="144"/>
      <c r="AB19" s="143"/>
      <c r="AC19" s="145"/>
      <c r="AD19" s="144"/>
      <c r="AE19" s="86"/>
      <c r="AF19" s="145"/>
      <c r="AG19" s="144"/>
      <c r="AH19" s="86"/>
      <c r="AI19" s="145"/>
      <c r="AJ19" s="144"/>
      <c r="AK19" s="86"/>
      <c r="AL19" s="145"/>
      <c r="AM19" s="144"/>
      <c r="AN19" s="86"/>
      <c r="AO19" s="145"/>
      <c r="AP19" s="144"/>
      <c r="AQ19" s="86"/>
      <c r="AR19" s="145"/>
      <c r="AS19" s="144"/>
      <c r="AT19" s="86"/>
      <c r="AU19" s="145"/>
      <c r="AV19" s="144"/>
      <c r="AW19" s="86"/>
      <c r="AX19" s="145"/>
      <c r="AY19" s="144"/>
      <c r="AZ19" s="86"/>
      <c r="BA19" s="145"/>
      <c r="BB19" s="144"/>
      <c r="BC19" s="86"/>
      <c r="BD19" s="145"/>
      <c r="BE19" s="144"/>
      <c r="BF19" s="86"/>
      <c r="BG19" s="145"/>
    </row>
    <row r="20" spans="1:60" ht="15" customHeight="1" x14ac:dyDescent="0.25">
      <c r="A20" s="326"/>
      <c r="B20" s="326"/>
      <c r="C20" s="61" t="s">
        <v>251</v>
      </c>
      <c r="D20" s="10"/>
      <c r="E20" s="10"/>
      <c r="F20" s="10"/>
      <c r="G20" s="11"/>
      <c r="H20" s="81"/>
      <c r="I20" s="178">
        <f>I18/(I19*30)</f>
        <v>558.68403939393943</v>
      </c>
      <c r="J20" s="213" t="s">
        <v>194</v>
      </c>
      <c r="K20" s="179"/>
      <c r="L20" s="178">
        <f>L18/(L19*31)</f>
        <v>583.24468328445755</v>
      </c>
      <c r="M20" s="213" t="s">
        <v>194</v>
      </c>
      <c r="N20" s="179"/>
      <c r="O20" s="178">
        <f>O18/(O19*30)</f>
        <v>556.08575757575761</v>
      </c>
      <c r="P20" s="213" t="s">
        <v>194</v>
      </c>
      <c r="Q20" s="179"/>
      <c r="R20" s="142">
        <f>(O20+L20+I20)/3</f>
        <v>566.00482675138494</v>
      </c>
      <c r="S20" s="213" t="s">
        <v>194</v>
      </c>
      <c r="T20" s="179"/>
      <c r="U20" s="213" t="s">
        <v>194</v>
      </c>
      <c r="V20" s="105"/>
      <c r="W20" s="179"/>
      <c r="X20" s="178"/>
      <c r="Y20" s="105"/>
      <c r="Z20" s="179"/>
      <c r="AA20" s="178"/>
      <c r="AB20" s="105"/>
      <c r="AC20" s="179"/>
      <c r="AD20" s="178"/>
      <c r="AE20" s="105"/>
      <c r="AF20" s="179"/>
      <c r="AG20" s="178"/>
      <c r="AH20" s="105"/>
      <c r="AI20" s="179"/>
      <c r="AJ20" s="178"/>
      <c r="AK20" s="105"/>
      <c r="AL20" s="179"/>
      <c r="AM20" s="178"/>
      <c r="AN20" s="105"/>
      <c r="AO20" s="179"/>
      <c r="AP20" s="178"/>
      <c r="AQ20" s="105"/>
      <c r="AR20" s="179"/>
      <c r="AS20" s="178"/>
      <c r="AT20" s="105"/>
      <c r="AU20" s="179"/>
      <c r="AV20" s="178"/>
      <c r="AW20" s="105"/>
      <c r="AX20" s="179"/>
      <c r="AY20" s="178"/>
      <c r="AZ20" s="105"/>
      <c r="BA20" s="179"/>
      <c r="BB20" s="178"/>
      <c r="BC20" s="105"/>
      <c r="BD20" s="179"/>
      <c r="BE20" s="178"/>
      <c r="BF20" s="105"/>
      <c r="BG20" s="179"/>
    </row>
    <row r="21" spans="1:60" ht="3.75" customHeight="1" x14ac:dyDescent="0.25">
      <c r="I21" s="184"/>
      <c r="J21" s="80"/>
      <c r="K21" s="185"/>
      <c r="L21" s="184"/>
      <c r="M21" s="80"/>
      <c r="N21" s="185"/>
      <c r="O21" s="184"/>
      <c r="P21" s="80"/>
      <c r="Q21" s="185"/>
      <c r="R21" s="184"/>
      <c r="S21" s="80"/>
      <c r="T21" s="185"/>
      <c r="U21" s="184"/>
      <c r="V21" s="80"/>
      <c r="W21" s="185"/>
      <c r="X21" s="184"/>
      <c r="Y21" s="80"/>
      <c r="Z21" s="185"/>
      <c r="AA21" s="184"/>
      <c r="AB21" s="80"/>
      <c r="AC21" s="185"/>
      <c r="AD21" s="184"/>
      <c r="AE21" s="80"/>
      <c r="AF21" s="185"/>
      <c r="AG21" s="184"/>
      <c r="AH21" s="80"/>
      <c r="AI21" s="185"/>
      <c r="AJ21" s="184"/>
      <c r="AK21" s="80"/>
      <c r="AL21" s="185"/>
      <c r="AM21" s="184"/>
      <c r="AN21" s="80"/>
      <c r="AO21" s="185"/>
      <c r="AP21" s="184"/>
      <c r="AQ21" s="80"/>
      <c r="AR21" s="185"/>
      <c r="AS21" s="184"/>
      <c r="AT21" s="80"/>
      <c r="AU21" s="185"/>
      <c r="AV21" s="184"/>
      <c r="AW21" s="80"/>
      <c r="AX21" s="185"/>
      <c r="AY21" s="184"/>
      <c r="AZ21" s="80"/>
      <c r="BA21" s="185"/>
      <c r="BB21" s="184"/>
      <c r="BC21" s="80"/>
      <c r="BD21" s="185"/>
      <c r="BE21" s="184"/>
      <c r="BF21" s="80"/>
      <c r="BG21" s="185"/>
    </row>
    <row r="22" spans="1:60" x14ac:dyDescent="0.25">
      <c r="A22" s="14" t="s">
        <v>10</v>
      </c>
      <c r="B22" s="14"/>
      <c r="C22" s="14"/>
      <c r="D22" s="9"/>
      <c r="E22" s="9"/>
      <c r="F22" s="9"/>
      <c r="G22" s="38"/>
      <c r="H22" s="34"/>
      <c r="I22" s="155"/>
      <c r="J22" s="82"/>
      <c r="K22" s="190"/>
      <c r="L22" s="155"/>
      <c r="M22" s="82"/>
      <c r="N22" s="190"/>
      <c r="O22" s="155"/>
      <c r="P22" s="82"/>
      <c r="Q22" s="190"/>
      <c r="R22" s="155"/>
      <c r="S22" s="82"/>
      <c r="T22" s="190"/>
      <c r="U22" s="155"/>
      <c r="V22" s="82"/>
      <c r="W22" s="190"/>
      <c r="X22" s="155"/>
      <c r="Y22" s="82"/>
      <c r="Z22" s="190"/>
      <c r="AA22" s="155"/>
      <c r="AB22" s="82"/>
      <c r="AC22" s="190"/>
      <c r="AD22" s="155"/>
      <c r="AE22" s="82"/>
      <c r="AF22" s="190"/>
      <c r="AG22" s="155"/>
      <c r="AH22" s="82"/>
      <c r="AI22" s="190"/>
      <c r="AJ22" s="155"/>
      <c r="AK22" s="82"/>
      <c r="AL22" s="190"/>
      <c r="AM22" s="155"/>
      <c r="AN22" s="82"/>
      <c r="AO22" s="190"/>
      <c r="AP22" s="155"/>
      <c r="AQ22" s="82"/>
      <c r="AR22" s="190"/>
      <c r="AS22" s="155"/>
      <c r="AT22" s="82"/>
      <c r="AU22" s="190"/>
      <c r="AV22" s="155"/>
      <c r="AW22" s="82"/>
      <c r="AX22" s="190"/>
      <c r="AY22" s="155"/>
      <c r="AZ22" s="82"/>
      <c r="BA22" s="190"/>
      <c r="BB22" s="155"/>
      <c r="BC22" s="82"/>
      <c r="BD22" s="190"/>
      <c r="BE22" s="155"/>
      <c r="BF22" s="82"/>
      <c r="BG22" s="190"/>
    </row>
    <row r="23" spans="1:60" ht="15.75" customHeight="1" thickBot="1" x14ac:dyDescent="0.3">
      <c r="A23" s="342" t="s">
        <v>252</v>
      </c>
      <c r="B23" s="342"/>
      <c r="C23" s="66" t="s">
        <v>81</v>
      </c>
      <c r="D23" s="12"/>
      <c r="E23" s="12"/>
      <c r="F23" s="10"/>
      <c r="G23" s="11"/>
      <c r="H23" s="29"/>
      <c r="I23" s="142">
        <f>I5*4%</f>
        <v>84010.92</v>
      </c>
      <c r="J23" s="107"/>
      <c r="K23" s="143"/>
      <c r="L23" s="142">
        <v>87019.56</v>
      </c>
      <c r="M23" s="107"/>
      <c r="N23" s="143"/>
      <c r="O23" s="142">
        <v>94674.96</v>
      </c>
      <c r="P23" s="107"/>
      <c r="Q23" s="143"/>
      <c r="R23" s="142">
        <f>O23+L23+I23</f>
        <v>265705.44</v>
      </c>
      <c r="S23" s="107"/>
      <c r="T23" s="143"/>
      <c r="U23" s="142">
        <v>78255</v>
      </c>
      <c r="V23" s="107"/>
      <c r="W23" s="143"/>
      <c r="X23" s="142">
        <v>91632.960000000006</v>
      </c>
      <c r="Y23" s="107">
        <v>76437</v>
      </c>
      <c r="Z23" s="143"/>
      <c r="AA23" s="142">
        <v>74397</v>
      </c>
      <c r="AB23" s="107">
        <v>59952</v>
      </c>
      <c r="AC23" s="143"/>
      <c r="AD23" s="142">
        <f>AA23+X23+U23</f>
        <v>244284.96000000002</v>
      </c>
      <c r="AE23" s="107"/>
      <c r="AF23" s="143"/>
      <c r="AG23" s="142">
        <v>89251.839999999997</v>
      </c>
      <c r="AH23" s="107">
        <v>56984</v>
      </c>
      <c r="AI23" s="143"/>
      <c r="AJ23" s="142"/>
      <c r="AK23" s="107"/>
      <c r="AL23" s="143"/>
      <c r="AM23" s="142"/>
      <c r="AN23" s="107"/>
      <c r="AO23" s="143"/>
      <c r="AP23" s="142"/>
      <c r="AQ23" s="107"/>
      <c r="AR23" s="143"/>
      <c r="AS23" s="142"/>
      <c r="AT23" s="107"/>
      <c r="AU23" s="143"/>
      <c r="AV23" s="142"/>
      <c r="AW23" s="107"/>
      <c r="AX23" s="143"/>
      <c r="AY23" s="142"/>
      <c r="AZ23" s="107"/>
      <c r="BA23" s="143"/>
      <c r="BB23" s="142"/>
      <c r="BC23" s="107"/>
      <c r="BD23" s="143"/>
      <c r="BE23" s="107">
        <f>I23+L23+O23+U23+X23+AA23+AG23+AJ23+AM23+AS23+AV23+AY23</f>
        <v>599242.23999999999</v>
      </c>
      <c r="BF23" s="107"/>
      <c r="BG23" s="143"/>
    </row>
    <row r="24" spans="1:60" ht="15.75" thickBot="1" x14ac:dyDescent="0.3">
      <c r="A24" s="342"/>
      <c r="B24" s="342"/>
      <c r="C24" s="67" t="s">
        <v>82</v>
      </c>
      <c r="D24" s="12"/>
      <c r="E24" s="12"/>
      <c r="F24" s="10"/>
      <c r="G24" s="11"/>
      <c r="H24" s="29"/>
      <c r="I24" s="216">
        <f>I5-I23</f>
        <v>2016262.08</v>
      </c>
      <c r="J24" s="217"/>
      <c r="K24" s="218"/>
      <c r="L24" s="216">
        <f>L5-L23</f>
        <v>2479477.44</v>
      </c>
      <c r="M24" s="217"/>
      <c r="N24" s="218"/>
      <c r="O24" s="216">
        <f>O5-O23</f>
        <v>2590146.04</v>
      </c>
      <c r="P24" s="217"/>
      <c r="Q24" s="218"/>
      <c r="R24" s="216">
        <f>O24+L24+I24</f>
        <v>7085885.5600000005</v>
      </c>
      <c r="S24" s="217"/>
      <c r="T24" s="218"/>
      <c r="U24" s="216">
        <f>U5-U23</f>
        <v>2280618</v>
      </c>
      <c r="V24" s="107"/>
      <c r="W24" s="143"/>
      <c r="X24" s="142">
        <f>X5-X23+200</f>
        <v>2199391.1300000004</v>
      </c>
      <c r="Y24" s="142">
        <f>Y5-Y23</f>
        <v>1674733</v>
      </c>
      <c r="Z24" s="143"/>
      <c r="AA24" s="142">
        <f>AA5-AA23</f>
        <v>1411129.5</v>
      </c>
      <c r="AB24" s="305">
        <f>AB5-AB23</f>
        <v>1438840</v>
      </c>
      <c r="AC24" s="143"/>
      <c r="AD24" s="216">
        <f>AA24+X24+U24</f>
        <v>5891138.6300000008</v>
      </c>
      <c r="AE24" s="107"/>
      <c r="AF24" s="143"/>
      <c r="AG24" s="305">
        <f>AG5-AG23</f>
        <v>2142518.16</v>
      </c>
      <c r="AH24" s="305">
        <f>AH5-AH23</f>
        <v>1367624.59</v>
      </c>
      <c r="AI24" s="143"/>
      <c r="AJ24" s="142"/>
      <c r="AK24" s="107"/>
      <c r="AL24" s="143"/>
      <c r="AM24" s="142"/>
      <c r="AN24" s="107"/>
      <c r="AO24" s="143"/>
      <c r="AP24" s="142"/>
      <c r="AQ24" s="107"/>
      <c r="AR24" s="143"/>
      <c r="AS24" s="142"/>
      <c r="AT24" s="107"/>
      <c r="AU24" s="143"/>
      <c r="AV24" s="142"/>
      <c r="AW24" s="107"/>
      <c r="AX24" s="143"/>
      <c r="AY24" s="142"/>
      <c r="AZ24" s="107"/>
      <c r="BA24" s="143"/>
      <c r="BB24" s="142"/>
      <c r="BC24" s="107"/>
      <c r="BD24" s="143"/>
      <c r="BE24" s="142">
        <f>BE5-BE23+200</f>
        <v>15119542.35</v>
      </c>
      <c r="BF24" s="107"/>
      <c r="BG24" s="143"/>
    </row>
    <row r="25" spans="1:60" ht="4.5" customHeight="1" x14ac:dyDescent="0.25">
      <c r="A25" s="342"/>
      <c r="B25" s="342"/>
      <c r="D25" s="12"/>
      <c r="E25" s="12"/>
      <c r="F25" s="10"/>
      <c r="G25" s="11"/>
      <c r="H25" s="29"/>
      <c r="I25" s="142"/>
      <c r="J25" s="107"/>
      <c r="K25" s="143"/>
      <c r="L25" s="142"/>
      <c r="M25" s="107"/>
      <c r="N25" s="143"/>
      <c r="O25" s="142"/>
      <c r="P25" s="107"/>
      <c r="Q25" s="143"/>
      <c r="R25" s="142"/>
      <c r="S25" s="107"/>
      <c r="T25" s="143"/>
      <c r="U25" s="142"/>
      <c r="V25" s="107"/>
      <c r="W25" s="143"/>
      <c r="X25" s="142"/>
      <c r="Y25" s="107"/>
      <c r="Z25" s="143"/>
      <c r="AA25" s="142"/>
      <c r="AB25" s="107"/>
      <c r="AC25" s="143"/>
      <c r="AD25" s="142"/>
      <c r="AE25" s="107"/>
      <c r="AF25" s="143"/>
      <c r="AG25" s="142"/>
      <c r="AH25" s="107"/>
      <c r="AI25" s="143"/>
      <c r="AJ25" s="142"/>
      <c r="AK25" s="107"/>
      <c r="AL25" s="143"/>
      <c r="AM25" s="142"/>
      <c r="AN25" s="107"/>
      <c r="AO25" s="143"/>
      <c r="AP25" s="142"/>
      <c r="AQ25" s="107"/>
      <c r="AR25" s="143"/>
      <c r="AS25" s="142"/>
      <c r="AT25" s="107"/>
      <c r="AU25" s="143"/>
      <c r="AV25" s="142"/>
      <c r="AW25" s="107"/>
      <c r="AX25" s="143"/>
      <c r="AY25" s="142"/>
      <c r="AZ25" s="107"/>
      <c r="BA25" s="143"/>
      <c r="BB25" s="142"/>
      <c r="BC25" s="107"/>
      <c r="BD25" s="143"/>
      <c r="BE25" s="142"/>
      <c r="BF25" s="107"/>
      <c r="BG25" s="143"/>
    </row>
    <row r="26" spans="1:60" x14ac:dyDescent="0.25">
      <c r="A26" s="342"/>
      <c r="B26" s="342"/>
      <c r="C26" s="51" t="s">
        <v>83</v>
      </c>
      <c r="D26" s="12"/>
      <c r="E26" s="12"/>
      <c r="F26" s="10"/>
      <c r="G26" s="11"/>
      <c r="H26" s="29"/>
      <c r="I26" s="186">
        <v>433609</v>
      </c>
      <c r="J26" s="116"/>
      <c r="K26" s="187"/>
      <c r="L26" s="186">
        <v>568021</v>
      </c>
      <c r="M26" s="116"/>
      <c r="N26" s="187"/>
      <c r="O26" s="186">
        <v>652113.17391304346</v>
      </c>
      <c r="P26" s="116"/>
      <c r="Q26" s="187"/>
      <c r="R26" s="142">
        <f t="shared" ref="R26:R28" si="12">O26+L26+I26</f>
        <v>1653743.1739130435</v>
      </c>
      <c r="S26" s="116"/>
      <c r="T26" s="187"/>
      <c r="U26" s="186">
        <v>617956</v>
      </c>
      <c r="V26" s="116"/>
      <c r="W26" s="187"/>
      <c r="X26" s="186">
        <v>553215</v>
      </c>
      <c r="Y26" s="116">
        <f>609677+26633</f>
        <v>636310</v>
      </c>
      <c r="Z26" s="187"/>
      <c r="AA26" s="186">
        <v>464327</v>
      </c>
      <c r="AB26" s="116">
        <f>552376+21371</f>
        <v>573747</v>
      </c>
      <c r="AC26" s="187"/>
      <c r="AD26" s="142">
        <f t="shared" ref="AD26:AD28" si="13">AA26+X26+U26</f>
        <v>1635498</v>
      </c>
      <c r="AE26" s="116"/>
      <c r="AF26" s="187"/>
      <c r="AG26" s="186">
        <v>587451</v>
      </c>
      <c r="AH26" s="306">
        <f>543628+(17764)</f>
        <v>561392</v>
      </c>
      <c r="AI26" s="187"/>
      <c r="AJ26" s="186"/>
      <c r="AK26" s="116"/>
      <c r="AL26" s="187"/>
      <c r="AM26" s="186"/>
      <c r="AN26" s="116"/>
      <c r="AO26" s="187"/>
      <c r="AP26" s="186"/>
      <c r="AQ26" s="116"/>
      <c r="AR26" s="187"/>
      <c r="AS26" s="186"/>
      <c r="AT26" s="116"/>
      <c r="AU26" s="187"/>
      <c r="AV26" s="186"/>
      <c r="AW26" s="116"/>
      <c r="AX26" s="187"/>
      <c r="AY26" s="186"/>
      <c r="AZ26" s="116"/>
      <c r="BA26" s="187"/>
      <c r="BB26" s="186"/>
      <c r="BC26" s="116"/>
      <c r="BD26" s="187"/>
      <c r="BE26" s="107">
        <f t="shared" ref="BE26:BE28" si="14">I26+L26+O26+U26+X26+AA26+AG26+AJ26+AM26+AS26+AV26+AY26</f>
        <v>3876692.1739130435</v>
      </c>
      <c r="BF26" s="116"/>
      <c r="BG26" s="187"/>
    </row>
    <row r="27" spans="1:60" x14ac:dyDescent="0.25">
      <c r="A27" s="342"/>
      <c r="B27" s="342"/>
      <c r="C27" s="51" t="s">
        <v>84</v>
      </c>
      <c r="D27" s="12"/>
      <c r="E27" s="12"/>
      <c r="F27" s="10"/>
      <c r="G27" s="11"/>
      <c r="H27" s="29"/>
      <c r="I27" s="186">
        <v>38343</v>
      </c>
      <c r="J27" s="116"/>
      <c r="K27" s="187"/>
      <c r="L27" s="186">
        <v>121876.97826086957</v>
      </c>
      <c r="M27" s="116"/>
      <c r="N27" s="187"/>
      <c r="O27" s="186">
        <v>123767</v>
      </c>
      <c r="P27" s="116"/>
      <c r="Q27" s="187"/>
      <c r="R27" s="142">
        <f t="shared" si="12"/>
        <v>283986.97826086957</v>
      </c>
      <c r="S27" s="116"/>
      <c r="T27" s="187"/>
      <c r="U27" s="186">
        <v>84539</v>
      </c>
      <c r="V27" s="116"/>
      <c r="W27" s="187"/>
      <c r="X27" s="186">
        <v>35065</v>
      </c>
      <c r="Y27" s="116">
        <v>86584</v>
      </c>
      <c r="Z27" s="187"/>
      <c r="AA27" s="186">
        <v>131293</v>
      </c>
      <c r="AB27" s="116">
        <v>8392</v>
      </c>
      <c r="AC27" s="187"/>
      <c r="AD27" s="142">
        <f t="shared" si="13"/>
        <v>250897</v>
      </c>
      <c r="AE27" s="116"/>
      <c r="AF27" s="187"/>
      <c r="AG27" s="186">
        <v>112940</v>
      </c>
      <c r="AH27" s="116">
        <v>100133</v>
      </c>
      <c r="AI27" s="187"/>
      <c r="AJ27" s="186"/>
      <c r="AK27" s="116"/>
      <c r="AL27" s="187"/>
      <c r="AM27" s="186"/>
      <c r="AN27" s="116"/>
      <c r="AO27" s="187"/>
      <c r="AP27" s="186"/>
      <c r="AQ27" s="116"/>
      <c r="AR27" s="187"/>
      <c r="AS27" s="186"/>
      <c r="AT27" s="116"/>
      <c r="AU27" s="187"/>
      <c r="AV27" s="186"/>
      <c r="AW27" s="116"/>
      <c r="AX27" s="187"/>
      <c r="AY27" s="186"/>
      <c r="AZ27" s="116"/>
      <c r="BA27" s="187"/>
      <c r="BB27" s="186"/>
      <c r="BC27" s="116"/>
      <c r="BD27" s="187"/>
      <c r="BE27" s="107">
        <f t="shared" si="14"/>
        <v>647823.97826086963</v>
      </c>
      <c r="BF27" s="116"/>
      <c r="BG27" s="187"/>
    </row>
    <row r="28" spans="1:60" ht="15.75" thickBot="1" x14ac:dyDescent="0.3">
      <c r="A28" s="342"/>
      <c r="B28" s="342"/>
      <c r="C28" s="51" t="s">
        <v>85</v>
      </c>
      <c r="D28" s="12"/>
      <c r="E28" s="12"/>
      <c r="F28" s="10"/>
      <c r="G28" s="11"/>
      <c r="H28" s="29"/>
      <c r="I28" s="186">
        <v>116880</v>
      </c>
      <c r="J28" s="116"/>
      <c r="K28" s="187"/>
      <c r="L28" s="186">
        <v>136025</v>
      </c>
      <c r="M28" s="116"/>
      <c r="N28" s="187"/>
      <c r="O28" s="186">
        <v>8593</v>
      </c>
      <c r="P28" s="116"/>
      <c r="Q28" s="187"/>
      <c r="R28" s="142">
        <f t="shared" si="12"/>
        <v>261498</v>
      </c>
      <c r="S28" s="116"/>
      <c r="T28" s="187"/>
      <c r="U28" s="186">
        <v>42812</v>
      </c>
      <c r="V28" s="116"/>
      <c r="W28" s="187"/>
      <c r="X28" s="186">
        <v>77292</v>
      </c>
      <c r="Y28" s="116">
        <v>46435</v>
      </c>
      <c r="Z28" s="187"/>
      <c r="AA28" s="186">
        <v>32426</v>
      </c>
      <c r="AB28" s="116">
        <v>97386</v>
      </c>
      <c r="AC28" s="187"/>
      <c r="AD28" s="142">
        <f t="shared" si="13"/>
        <v>152530</v>
      </c>
      <c r="AE28" s="116"/>
      <c r="AF28" s="187"/>
      <c r="AG28" s="186">
        <v>29857</v>
      </c>
      <c r="AH28" s="116">
        <v>12497</v>
      </c>
      <c r="AI28" s="187"/>
      <c r="AJ28" s="186"/>
      <c r="AK28" s="116"/>
      <c r="AL28" s="187"/>
      <c r="AM28" s="186"/>
      <c r="AN28" s="116"/>
      <c r="AO28" s="187"/>
      <c r="AP28" s="186"/>
      <c r="AQ28" s="116"/>
      <c r="AR28" s="187"/>
      <c r="AS28" s="186"/>
      <c r="AT28" s="116"/>
      <c r="AU28" s="187"/>
      <c r="AV28" s="186"/>
      <c r="AW28" s="116"/>
      <c r="AX28" s="187"/>
      <c r="AY28" s="186"/>
      <c r="AZ28" s="116"/>
      <c r="BA28" s="187"/>
      <c r="BB28" s="186"/>
      <c r="BC28" s="116"/>
      <c r="BD28" s="187"/>
      <c r="BE28" s="107">
        <f t="shared" si="14"/>
        <v>443885</v>
      </c>
      <c r="BF28" s="116"/>
      <c r="BG28" s="187"/>
      <c r="BH28" s="219"/>
    </row>
    <row r="29" spans="1:60" ht="15.75" thickBot="1" x14ac:dyDescent="0.3">
      <c r="A29" s="342"/>
      <c r="B29" s="342"/>
      <c r="C29" s="67" t="s">
        <v>86</v>
      </c>
      <c r="D29" s="266"/>
      <c r="E29" s="266"/>
      <c r="F29" s="267"/>
      <c r="G29" s="268"/>
      <c r="H29" s="269"/>
      <c r="I29" s="270">
        <f>I24-I26-I27-I28</f>
        <v>1427430.08</v>
      </c>
      <c r="J29" s="271"/>
      <c r="K29" s="272"/>
      <c r="L29" s="270">
        <f>L24-L26-L27-L28</f>
        <v>1653554.4617391303</v>
      </c>
      <c r="M29" s="271"/>
      <c r="N29" s="272"/>
      <c r="O29" s="270">
        <f>O24-O26-O27-O28</f>
        <v>1805672.8660869566</v>
      </c>
      <c r="P29" s="271"/>
      <c r="Q29" s="272"/>
      <c r="R29" s="270">
        <f>R24-R26-R27-R28</f>
        <v>4886657.4078260884</v>
      </c>
      <c r="S29" s="273"/>
      <c r="T29" s="274"/>
      <c r="U29" s="270">
        <f>U24-U26-U27-U28</f>
        <v>1535311</v>
      </c>
      <c r="V29" s="273"/>
      <c r="W29" s="274"/>
      <c r="X29" s="275">
        <f>X24-SUM(X26:X28)</f>
        <v>1533819.1300000004</v>
      </c>
      <c r="Y29" s="273">
        <f>Y24-SUM(Y26:Y28)</f>
        <v>905404</v>
      </c>
      <c r="Z29" s="274"/>
      <c r="AA29" s="275">
        <f>AA24-SUM(AA26:AA28)</f>
        <v>783083.5</v>
      </c>
      <c r="AB29" s="273">
        <f>AB24-SUM(AB26:AB28)</f>
        <v>759315</v>
      </c>
      <c r="AC29" s="274"/>
      <c r="AD29" s="271">
        <f>AD24-SUM(AD26:AD28)</f>
        <v>3852213.6300000008</v>
      </c>
      <c r="AE29" s="273"/>
      <c r="AF29" s="274"/>
      <c r="AG29" s="273">
        <f>AG24-SUM(AG26:AG28)</f>
        <v>1412270.1600000001</v>
      </c>
      <c r="AH29" s="273">
        <f>AH24-SUM(AH26:AH28)</f>
        <v>693602.59000000008</v>
      </c>
      <c r="AI29" s="274"/>
      <c r="AJ29" s="275"/>
      <c r="AK29" s="273"/>
      <c r="AL29" s="274"/>
      <c r="AM29" s="275"/>
      <c r="AN29" s="273"/>
      <c r="AO29" s="274"/>
      <c r="AP29" s="275"/>
      <c r="AQ29" s="273"/>
      <c r="AR29" s="274"/>
      <c r="AS29" s="275"/>
      <c r="AT29" s="273"/>
      <c r="AU29" s="274"/>
      <c r="AV29" s="275"/>
      <c r="AW29" s="273"/>
      <c r="AX29" s="274"/>
      <c r="AY29" s="275"/>
      <c r="AZ29" s="273"/>
      <c r="BA29" s="274"/>
      <c r="BB29" s="275"/>
      <c r="BC29" s="273"/>
      <c r="BD29" s="274"/>
      <c r="BE29" s="270">
        <f>BE24-SUM(BE26:BE28)</f>
        <v>10151141.197826087</v>
      </c>
      <c r="BF29" s="273"/>
      <c r="BG29" s="274"/>
    </row>
    <row r="30" spans="1:60" ht="3.75" customHeight="1" x14ac:dyDescent="0.25">
      <c r="A30" s="342"/>
      <c r="B30" s="342"/>
      <c r="D30" s="12"/>
      <c r="E30" s="12"/>
      <c r="F30" s="10"/>
      <c r="G30" s="11"/>
      <c r="H30" s="29"/>
      <c r="I30" s="142"/>
      <c r="J30" s="107"/>
      <c r="K30" s="143"/>
      <c r="L30" s="142"/>
      <c r="M30" s="107"/>
      <c r="N30" s="143"/>
      <c r="O30" s="142"/>
      <c r="P30" s="107"/>
      <c r="Q30" s="143"/>
      <c r="R30" s="142"/>
      <c r="S30" s="107"/>
      <c r="T30" s="143"/>
      <c r="U30" s="142"/>
      <c r="V30" s="107"/>
      <c r="W30" s="143"/>
      <c r="X30" s="142"/>
      <c r="Y30" s="107"/>
      <c r="Z30" s="143"/>
      <c r="AA30" s="142"/>
      <c r="AB30" s="107"/>
      <c r="AC30" s="143"/>
      <c r="AD30" s="142"/>
      <c r="AE30" s="107"/>
      <c r="AF30" s="143"/>
      <c r="AG30" s="142"/>
      <c r="AH30" s="107"/>
      <c r="AI30" s="143"/>
      <c r="AJ30" s="142"/>
      <c r="AK30" s="107"/>
      <c r="AL30" s="143"/>
      <c r="AM30" s="142"/>
      <c r="AN30" s="107"/>
      <c r="AO30" s="143"/>
      <c r="AP30" s="142"/>
      <c r="AQ30" s="107"/>
      <c r="AR30" s="143"/>
      <c r="AS30" s="142"/>
      <c r="AT30" s="107"/>
      <c r="AU30" s="143"/>
      <c r="AV30" s="142"/>
      <c r="AW30" s="107"/>
      <c r="AX30" s="143"/>
      <c r="AY30" s="142"/>
      <c r="AZ30" s="107"/>
      <c r="BA30" s="143"/>
      <c r="BB30" s="142"/>
      <c r="BC30" s="107"/>
      <c r="BD30" s="143"/>
      <c r="BE30" s="142"/>
      <c r="BF30" s="107"/>
      <c r="BG30" s="143"/>
    </row>
    <row r="31" spans="1:60" x14ac:dyDescent="0.25">
      <c r="A31" s="342"/>
      <c r="B31" s="342"/>
      <c r="C31" s="195" t="s">
        <v>620</v>
      </c>
      <c r="D31" s="12"/>
      <c r="E31" s="12"/>
      <c r="F31" s="10"/>
      <c r="G31" s="11"/>
      <c r="H31" s="29"/>
      <c r="I31" s="142">
        <v>562947</v>
      </c>
      <c r="J31" s="107"/>
      <c r="K31" s="143"/>
      <c r="L31" s="142">
        <v>567956</v>
      </c>
      <c r="M31" s="107"/>
      <c r="N31" s="143"/>
      <c r="O31" s="142">
        <v>542962</v>
      </c>
      <c r="P31" s="107"/>
      <c r="Q31" s="143"/>
      <c r="R31" s="142">
        <f t="shared" ref="R31:R35" si="15">O31+L31+I31</f>
        <v>1673865</v>
      </c>
      <c r="S31" s="107"/>
      <c r="T31" s="143"/>
      <c r="U31" s="142">
        <v>876612</v>
      </c>
      <c r="V31" s="107"/>
      <c r="W31" s="143"/>
      <c r="X31" s="142">
        <v>766169</v>
      </c>
      <c r="Y31" s="107">
        <v>494701</v>
      </c>
      <c r="Z31" s="143"/>
      <c r="AA31" s="142">
        <v>540538</v>
      </c>
      <c r="AB31" s="107">
        <v>519977</v>
      </c>
      <c r="AC31" s="143"/>
      <c r="AD31" s="142">
        <f t="shared" ref="AD31:AD35" si="16">AA31+X31+U31</f>
        <v>2183319</v>
      </c>
      <c r="AE31" s="107"/>
      <c r="AF31" s="143"/>
      <c r="AG31" s="142">
        <v>593598</v>
      </c>
      <c r="AH31" s="107">
        <v>493319</v>
      </c>
      <c r="AI31" s="143"/>
      <c r="AJ31" s="142"/>
      <c r="AK31" s="107"/>
      <c r="AL31" s="143"/>
      <c r="AM31" s="142"/>
      <c r="AN31" s="107"/>
      <c r="AO31" s="143"/>
      <c r="AP31" s="142"/>
      <c r="AQ31" s="107"/>
      <c r="AR31" s="143"/>
      <c r="AS31" s="142"/>
      <c r="AT31" s="107"/>
      <c r="AU31" s="143"/>
      <c r="AV31" s="142"/>
      <c r="AW31" s="107"/>
      <c r="AX31" s="143"/>
      <c r="AY31" s="142"/>
      <c r="AZ31" s="107"/>
      <c r="BA31" s="143"/>
      <c r="BB31" s="142"/>
      <c r="BC31" s="107"/>
      <c r="BD31" s="143"/>
      <c r="BE31" s="107">
        <f t="shared" ref="BE31:BE34" si="17">I31+L31+O31+U31+X31+AA31+AG31+AJ31+AM31+AS31+AV31+AY31</f>
        <v>4450782</v>
      </c>
      <c r="BF31" s="107"/>
      <c r="BG31" s="143"/>
    </row>
    <row r="32" spans="1:60" x14ac:dyDescent="0.25">
      <c r="A32" s="342"/>
      <c r="B32" s="342"/>
      <c r="C32" s="195" t="s">
        <v>622</v>
      </c>
      <c r="D32" s="12"/>
      <c r="E32" s="12"/>
      <c r="F32" s="10"/>
      <c r="G32" s="11"/>
      <c r="H32" s="29"/>
      <c r="I32" s="142">
        <v>120260</v>
      </c>
      <c r="J32" s="107"/>
      <c r="K32" s="143"/>
      <c r="L32" s="142">
        <v>139722</v>
      </c>
      <c r="M32" s="107"/>
      <c r="N32" s="143"/>
      <c r="O32" s="142">
        <v>129161.65</v>
      </c>
      <c r="P32" s="107"/>
      <c r="Q32" s="143"/>
      <c r="R32" s="142">
        <f t="shared" si="15"/>
        <v>389143.65</v>
      </c>
      <c r="S32" s="107"/>
      <c r="T32" s="143"/>
      <c r="U32" s="142">
        <v>105411</v>
      </c>
      <c r="V32" s="107"/>
      <c r="W32" s="143"/>
      <c r="X32" s="142">
        <v>111832</v>
      </c>
      <c r="Y32" s="107">
        <v>121463</v>
      </c>
      <c r="Z32" s="143"/>
      <c r="AA32" s="142">
        <v>96124</v>
      </c>
      <c r="AB32" s="107">
        <v>103913</v>
      </c>
      <c r="AC32" s="143"/>
      <c r="AD32" s="142">
        <f t="shared" si="16"/>
        <v>313367</v>
      </c>
      <c r="AE32" s="107"/>
      <c r="AF32" s="143"/>
      <c r="AG32" s="142">
        <v>119184</v>
      </c>
      <c r="AH32" s="107">
        <v>101885</v>
      </c>
      <c r="AI32" s="143"/>
      <c r="AJ32" s="142"/>
      <c r="AK32" s="107"/>
      <c r="AL32" s="143"/>
      <c r="AM32" s="142"/>
      <c r="AN32" s="107"/>
      <c r="AO32" s="143"/>
      <c r="AP32" s="142"/>
      <c r="AQ32" s="107"/>
      <c r="AR32" s="143"/>
      <c r="AS32" s="142"/>
      <c r="AT32" s="107"/>
      <c r="AU32" s="143"/>
      <c r="AV32" s="142"/>
      <c r="AW32" s="107"/>
      <c r="AX32" s="143"/>
      <c r="AY32" s="142"/>
      <c r="AZ32" s="107"/>
      <c r="BA32" s="143"/>
      <c r="BB32" s="142"/>
      <c r="BC32" s="107"/>
      <c r="BD32" s="143"/>
      <c r="BE32" s="107">
        <f t="shared" si="17"/>
        <v>821694.65</v>
      </c>
      <c r="BF32" s="107"/>
      <c r="BG32" s="143"/>
    </row>
    <row r="33" spans="1:59" x14ac:dyDescent="0.25">
      <c r="A33" s="342"/>
      <c r="B33" s="342"/>
      <c r="C33" s="195" t="s">
        <v>623</v>
      </c>
      <c r="D33" s="12"/>
      <c r="E33" s="12"/>
      <c r="F33" s="10"/>
      <c r="G33" s="11"/>
      <c r="H33" s="29"/>
      <c r="I33" s="142">
        <v>92340</v>
      </c>
      <c r="J33" s="107"/>
      <c r="K33" s="143"/>
      <c r="L33" s="142">
        <v>133946</v>
      </c>
      <c r="M33" s="107"/>
      <c r="N33" s="143"/>
      <c r="O33" s="142">
        <v>125892</v>
      </c>
      <c r="P33" s="107"/>
      <c r="Q33" s="143"/>
      <c r="R33" s="142">
        <f t="shared" si="15"/>
        <v>352178</v>
      </c>
      <c r="S33" s="107"/>
      <c r="T33" s="143"/>
      <c r="U33" s="186">
        <v>92340</v>
      </c>
      <c r="V33" s="107"/>
      <c r="W33" s="143"/>
      <c r="X33" s="142">
        <v>93056</v>
      </c>
      <c r="Y33" s="107">
        <v>63058</v>
      </c>
      <c r="Z33" s="143"/>
      <c r="AA33" s="142">
        <v>47752</v>
      </c>
      <c r="AB33" s="107">
        <v>47220</v>
      </c>
      <c r="AC33" s="143"/>
      <c r="AD33" s="142">
        <f t="shared" si="16"/>
        <v>233148</v>
      </c>
      <c r="AE33" s="107"/>
      <c r="AF33" s="143"/>
      <c r="AG33" s="142">
        <v>46170</v>
      </c>
      <c r="AH33" s="107">
        <v>53157</v>
      </c>
      <c r="AI33" s="143"/>
      <c r="AJ33" s="142"/>
      <c r="AK33" s="107"/>
      <c r="AL33" s="143"/>
      <c r="AM33" s="142"/>
      <c r="AN33" s="107"/>
      <c r="AO33" s="143"/>
      <c r="AP33" s="142"/>
      <c r="AQ33" s="107"/>
      <c r="AR33" s="143"/>
      <c r="AS33" s="142"/>
      <c r="AT33" s="107"/>
      <c r="AU33" s="143"/>
      <c r="AV33" s="142"/>
      <c r="AW33" s="107"/>
      <c r="AX33" s="143"/>
      <c r="AY33" s="142"/>
      <c r="AZ33" s="107"/>
      <c r="BA33" s="143"/>
      <c r="BB33" s="142"/>
      <c r="BC33" s="107"/>
      <c r="BD33" s="143"/>
      <c r="BE33" s="107">
        <f t="shared" si="17"/>
        <v>631496</v>
      </c>
      <c r="BF33" s="107"/>
      <c r="BG33" s="143"/>
    </row>
    <row r="34" spans="1:59" x14ac:dyDescent="0.25">
      <c r="A34" s="342"/>
      <c r="B34" s="342"/>
      <c r="C34" s="51" t="s">
        <v>621</v>
      </c>
      <c r="D34" s="12"/>
      <c r="E34" s="12"/>
      <c r="F34" s="10"/>
      <c r="G34" s="11"/>
      <c r="H34" s="29"/>
      <c r="I34" s="142">
        <v>137026.08999999997</v>
      </c>
      <c r="J34" s="107"/>
      <c r="K34" s="143"/>
      <c r="L34" s="142">
        <v>227414.43999999994</v>
      </c>
      <c r="M34" s="107"/>
      <c r="N34" s="143"/>
      <c r="O34" s="142">
        <v>312442.32000000018</v>
      </c>
      <c r="P34" s="107"/>
      <c r="Q34" s="143"/>
      <c r="R34" s="142">
        <f t="shared" si="15"/>
        <v>676882.85000000009</v>
      </c>
      <c r="S34" s="107"/>
      <c r="T34" s="143"/>
      <c r="U34" s="142">
        <v>238999</v>
      </c>
      <c r="V34" s="107"/>
      <c r="W34" s="143"/>
      <c r="X34" s="142">
        <v>196251</v>
      </c>
      <c r="Y34" s="107">
        <v>229824.26</v>
      </c>
      <c r="Z34" s="143"/>
      <c r="AA34" s="142">
        <v>244472.64</v>
      </c>
      <c r="AB34" s="107">
        <v>190082.1</v>
      </c>
      <c r="AC34" s="143"/>
      <c r="AD34" s="142">
        <f t="shared" si="16"/>
        <v>679722.64</v>
      </c>
      <c r="AE34" s="107"/>
      <c r="AF34" s="143"/>
      <c r="AG34" s="142">
        <v>209677</v>
      </c>
      <c r="AH34" s="107">
        <v>194496</v>
      </c>
      <c r="AI34" s="143"/>
      <c r="AJ34" s="142"/>
      <c r="AK34" s="107"/>
      <c r="AL34" s="143"/>
      <c r="AM34" s="142"/>
      <c r="AN34" s="107"/>
      <c r="AO34" s="143"/>
      <c r="AP34" s="142"/>
      <c r="AQ34" s="107"/>
      <c r="AR34" s="143"/>
      <c r="AS34" s="142"/>
      <c r="AT34" s="107"/>
      <c r="AU34" s="143"/>
      <c r="AV34" s="142"/>
      <c r="AW34" s="107"/>
      <c r="AX34" s="143"/>
      <c r="AY34" s="142"/>
      <c r="AZ34" s="107"/>
      <c r="BA34" s="143"/>
      <c r="BB34" s="142"/>
      <c r="BC34" s="107"/>
      <c r="BD34" s="143"/>
      <c r="BE34" s="107">
        <f t="shared" si="17"/>
        <v>1566282.4900000002</v>
      </c>
      <c r="BF34" s="107"/>
      <c r="BG34" s="143"/>
    </row>
    <row r="35" spans="1:59" x14ac:dyDescent="0.25">
      <c r="A35" s="342"/>
      <c r="B35" s="342"/>
      <c r="C35" s="51" t="s">
        <v>619</v>
      </c>
      <c r="D35" s="12"/>
      <c r="E35" s="12"/>
      <c r="F35" s="10"/>
      <c r="G35" s="11"/>
      <c r="H35" s="29"/>
      <c r="I35" s="142"/>
      <c r="J35" s="107"/>
      <c r="K35" s="143"/>
      <c r="L35" s="142"/>
      <c r="M35" s="107"/>
      <c r="N35" s="143"/>
      <c r="O35" s="142"/>
      <c r="P35" s="107"/>
      <c r="Q35" s="143"/>
      <c r="R35" s="142">
        <f t="shared" si="15"/>
        <v>0</v>
      </c>
      <c r="S35" s="107"/>
      <c r="T35" s="143"/>
      <c r="U35" s="142"/>
      <c r="V35" s="107"/>
      <c r="W35" s="143"/>
      <c r="X35" s="142"/>
      <c r="Y35" s="107">
        <v>0</v>
      </c>
      <c r="Z35" s="143"/>
      <c r="AA35" s="142"/>
      <c r="AB35" s="107">
        <v>0</v>
      </c>
      <c r="AC35" s="143"/>
      <c r="AD35" s="142">
        <f t="shared" si="16"/>
        <v>0</v>
      </c>
      <c r="AE35" s="107"/>
      <c r="AF35" s="143"/>
      <c r="AG35" s="142"/>
      <c r="AH35" s="107">
        <v>0</v>
      </c>
      <c r="AI35" s="143"/>
      <c r="AJ35" s="142"/>
      <c r="AK35" s="107"/>
      <c r="AL35" s="143"/>
      <c r="AM35" s="142"/>
      <c r="AN35" s="107"/>
      <c r="AO35" s="143"/>
      <c r="AP35" s="142"/>
      <c r="AQ35" s="107"/>
      <c r="AR35" s="143"/>
      <c r="AS35" s="142"/>
      <c r="AT35" s="107"/>
      <c r="AU35" s="143"/>
      <c r="AV35" s="142"/>
      <c r="AW35" s="107"/>
      <c r="AX35" s="143"/>
      <c r="AY35" s="142"/>
      <c r="AZ35" s="107"/>
      <c r="BA35" s="143"/>
      <c r="BB35" s="142"/>
      <c r="BC35" s="107"/>
      <c r="BD35" s="143"/>
      <c r="BE35" s="142"/>
      <c r="BF35" s="107"/>
      <c r="BG35" s="143"/>
    </row>
    <row r="36" spans="1:59" x14ac:dyDescent="0.25">
      <c r="A36" s="342"/>
      <c r="B36" s="342"/>
      <c r="C36" s="51"/>
      <c r="D36" s="12"/>
      <c r="E36" s="12"/>
      <c r="F36" s="10"/>
      <c r="G36" s="11"/>
      <c r="H36" s="29"/>
      <c r="I36" s="142"/>
      <c r="J36" s="107"/>
      <c r="K36" s="143"/>
      <c r="L36" s="142"/>
      <c r="M36" s="107"/>
      <c r="N36" s="143"/>
      <c r="O36" s="142"/>
      <c r="P36" s="107"/>
      <c r="Q36" s="143"/>
      <c r="R36" s="142"/>
      <c r="S36" s="107"/>
      <c r="T36" s="143"/>
      <c r="U36" s="142"/>
      <c r="V36" s="107"/>
      <c r="W36" s="143"/>
      <c r="X36" s="142"/>
      <c r="Y36" s="107"/>
      <c r="Z36" s="143"/>
      <c r="AA36" s="142"/>
      <c r="AB36" s="107"/>
      <c r="AC36" s="143"/>
      <c r="AD36" s="142"/>
      <c r="AE36" s="107"/>
      <c r="AF36" s="143"/>
      <c r="AG36" s="142"/>
      <c r="AH36" s="107"/>
      <c r="AI36" s="143"/>
      <c r="AJ36" s="142"/>
      <c r="AK36" s="107"/>
      <c r="AL36" s="143"/>
      <c r="AM36" s="142"/>
      <c r="AN36" s="107"/>
      <c r="AO36" s="143"/>
      <c r="AP36" s="142"/>
      <c r="AQ36" s="107"/>
      <c r="AR36" s="143"/>
      <c r="AS36" s="142"/>
      <c r="AT36" s="107"/>
      <c r="AU36" s="143"/>
      <c r="AV36" s="142"/>
      <c r="AW36" s="107"/>
      <c r="AX36" s="143"/>
      <c r="AY36" s="142"/>
      <c r="AZ36" s="107"/>
      <c r="BA36" s="143"/>
      <c r="BB36" s="142"/>
      <c r="BC36" s="107"/>
      <c r="BD36" s="143"/>
      <c r="BE36" s="142"/>
      <c r="BF36" s="107"/>
      <c r="BG36" s="143"/>
    </row>
    <row r="37" spans="1:59" ht="3.75" customHeight="1" x14ac:dyDescent="0.25">
      <c r="A37" s="342"/>
      <c r="B37" s="342"/>
      <c r="C37" s="68"/>
      <c r="D37" s="12"/>
      <c r="E37" s="12"/>
      <c r="F37" s="10"/>
      <c r="G37" s="11"/>
      <c r="H37" s="29"/>
      <c r="I37" s="142"/>
      <c r="J37" s="107"/>
      <c r="K37" s="143"/>
      <c r="L37" s="142"/>
      <c r="M37" s="107"/>
      <c r="N37" s="143"/>
      <c r="O37" s="142"/>
      <c r="P37" s="107"/>
      <c r="Q37" s="143"/>
      <c r="R37" s="142"/>
      <c r="S37" s="107"/>
      <c r="T37" s="143"/>
      <c r="U37" s="142"/>
      <c r="V37" s="107"/>
      <c r="W37" s="143"/>
      <c r="X37" s="142"/>
      <c r="Y37" s="107"/>
      <c r="Z37" s="143"/>
      <c r="AA37" s="142"/>
      <c r="AB37" s="107"/>
      <c r="AC37" s="143"/>
      <c r="AD37" s="142"/>
      <c r="AE37" s="107"/>
      <c r="AF37" s="143"/>
      <c r="AG37" s="142"/>
      <c r="AH37" s="107"/>
      <c r="AI37" s="143"/>
      <c r="AJ37" s="142"/>
      <c r="AK37" s="107"/>
      <c r="AL37" s="143"/>
      <c r="AM37" s="142"/>
      <c r="AN37" s="107"/>
      <c r="AO37" s="143"/>
      <c r="AP37" s="142"/>
      <c r="AQ37" s="107"/>
      <c r="AR37" s="143"/>
      <c r="AS37" s="142"/>
      <c r="AT37" s="107"/>
      <c r="AU37" s="143"/>
      <c r="AV37" s="142"/>
      <c r="AW37" s="107"/>
      <c r="AX37" s="143"/>
      <c r="AY37" s="142"/>
      <c r="AZ37" s="107"/>
      <c r="BA37" s="143"/>
      <c r="BB37" s="142"/>
      <c r="BC37" s="107"/>
      <c r="BD37" s="143"/>
      <c r="BE37" s="142"/>
      <c r="BF37" s="107"/>
      <c r="BG37" s="143"/>
    </row>
    <row r="38" spans="1:59" ht="15.75" thickBot="1" x14ac:dyDescent="0.3">
      <c r="A38" s="342"/>
      <c r="B38" s="342"/>
      <c r="C38" s="69" t="s">
        <v>87</v>
      </c>
      <c r="D38" s="266"/>
      <c r="E38" s="266"/>
      <c r="F38" s="267"/>
      <c r="G38" s="268"/>
      <c r="H38" s="269"/>
      <c r="I38" s="270">
        <f>I29-SUM(I31:I36)</f>
        <v>514856.99000000011</v>
      </c>
      <c r="J38" s="271"/>
      <c r="K38" s="272"/>
      <c r="L38" s="270">
        <f>L29-SUM(L31:L36)</f>
        <v>584516.02173913037</v>
      </c>
      <c r="M38" s="271"/>
      <c r="N38" s="272"/>
      <c r="O38" s="270">
        <f>O29-SUM(O31:O36)</f>
        <v>695214.89608695637</v>
      </c>
      <c r="P38" s="271"/>
      <c r="Q38" s="272"/>
      <c r="R38" s="270">
        <f>R29-SUM(R31:R36)</f>
        <v>1794587.9078260884</v>
      </c>
      <c r="S38" s="271"/>
      <c r="T38" s="272"/>
      <c r="U38" s="270">
        <f>U29-SUM(U31:U36)</f>
        <v>221949</v>
      </c>
      <c r="V38" s="273"/>
      <c r="W38" s="274"/>
      <c r="X38" s="270">
        <f>X29-SUM(X31:X35)</f>
        <v>366511.13000000035</v>
      </c>
      <c r="Y38" s="273">
        <f>Y29-SUM(Y31:Y35)</f>
        <v>-3642.2600000000093</v>
      </c>
      <c r="Z38" s="274"/>
      <c r="AA38" s="270">
        <f>AA29-SUM(AA31:AA35)</f>
        <v>-145803.14000000001</v>
      </c>
      <c r="AB38" s="271">
        <f>AB29-SUM(AB31:AB35)</f>
        <v>-101877.09999999998</v>
      </c>
      <c r="AC38" s="274"/>
      <c r="AD38" s="270">
        <f>AD29-SUM(AD31:AD36)</f>
        <v>442656.99000000069</v>
      </c>
      <c r="AE38" s="273"/>
      <c r="AF38" s="274"/>
      <c r="AG38" s="271">
        <f>AG29-SUM(AG31:AG35)</f>
        <v>443641.16000000015</v>
      </c>
      <c r="AH38" s="271">
        <f>AH29-SUM(AH31:AH36)</f>
        <v>-149254.40999999992</v>
      </c>
      <c r="AI38" s="274"/>
      <c r="AJ38" s="275"/>
      <c r="AK38" s="273"/>
      <c r="AL38" s="274"/>
      <c r="AM38" s="275"/>
      <c r="AN38" s="273"/>
      <c r="AO38" s="274"/>
      <c r="AP38" s="275"/>
      <c r="AQ38" s="273"/>
      <c r="AR38" s="274"/>
      <c r="AS38" s="275"/>
      <c r="AT38" s="273"/>
      <c r="AU38" s="274"/>
      <c r="AV38" s="275"/>
      <c r="AW38" s="273"/>
      <c r="AX38" s="274"/>
      <c r="AY38" s="275"/>
      <c r="AZ38" s="273"/>
      <c r="BA38" s="274"/>
      <c r="BB38" s="275"/>
      <c r="BC38" s="273"/>
      <c r="BD38" s="274"/>
      <c r="BE38" s="270">
        <f>BE29-SUM(BE31:BE35)</f>
        <v>2680886.0578260869</v>
      </c>
      <c r="BF38" s="273"/>
      <c r="BG38" s="274"/>
    </row>
    <row r="39" spans="1:59" ht="5.25" customHeight="1" thickBot="1" x14ac:dyDescent="0.3">
      <c r="A39" s="342"/>
      <c r="B39" s="342"/>
      <c r="D39" s="12"/>
      <c r="E39" s="12"/>
      <c r="F39" s="10"/>
      <c r="G39" s="11"/>
      <c r="H39" s="29"/>
      <c r="I39" s="159"/>
      <c r="J39" s="11"/>
      <c r="K39" s="160"/>
      <c r="L39" s="159"/>
      <c r="M39" s="11"/>
      <c r="N39" s="160"/>
      <c r="O39" s="159"/>
      <c r="P39" s="11"/>
      <c r="Q39" s="160"/>
      <c r="R39" s="159"/>
      <c r="S39" s="11"/>
      <c r="T39" s="160"/>
      <c r="U39" s="159"/>
      <c r="V39" s="11"/>
      <c r="W39" s="160"/>
      <c r="X39" s="159"/>
      <c r="Y39" s="11"/>
      <c r="Z39" s="160"/>
      <c r="AA39" s="159"/>
      <c r="AB39" s="11"/>
      <c r="AC39" s="160"/>
      <c r="AD39" s="159"/>
      <c r="AE39" s="11"/>
      <c r="AF39" s="160"/>
      <c r="AG39" s="159"/>
      <c r="AH39" s="11"/>
      <c r="AI39" s="160"/>
      <c r="AJ39" s="159"/>
      <c r="AK39" s="11"/>
      <c r="AL39" s="160"/>
      <c r="AM39" s="159"/>
      <c r="AN39" s="11"/>
      <c r="AO39" s="160"/>
      <c r="AP39" s="159"/>
      <c r="AQ39" s="11"/>
      <c r="AR39" s="160"/>
      <c r="AS39" s="159"/>
      <c r="AT39" s="11"/>
      <c r="AU39" s="160"/>
      <c r="AV39" s="159"/>
      <c r="AW39" s="11"/>
      <c r="AX39" s="160"/>
      <c r="AY39" s="159"/>
      <c r="AZ39" s="11"/>
      <c r="BA39" s="160"/>
      <c r="BB39" s="159"/>
      <c r="BC39" s="11"/>
      <c r="BD39" s="160"/>
      <c r="BE39" s="159"/>
      <c r="BF39" s="11"/>
      <c r="BG39" s="160"/>
    </row>
    <row r="40" spans="1:59" ht="15.75" thickBot="1" x14ac:dyDescent="0.3">
      <c r="A40" s="342"/>
      <c r="B40" s="342"/>
      <c r="C40" s="67" t="s">
        <v>88</v>
      </c>
      <c r="D40" s="12"/>
      <c r="E40" s="12"/>
      <c r="F40" s="10"/>
      <c r="G40" s="11"/>
      <c r="H40" s="29"/>
      <c r="I40" s="220">
        <f>I38/I24</f>
        <v>0.25535221591827989</v>
      </c>
      <c r="J40" s="221"/>
      <c r="K40" s="222"/>
      <c r="L40" s="220">
        <f>L38/L24</f>
        <v>0.2357416172897828</v>
      </c>
      <c r="M40" s="221"/>
      <c r="N40" s="222"/>
      <c r="O40" s="220">
        <f>O38/O24</f>
        <v>0.26840760534373437</v>
      </c>
      <c r="P40" s="221"/>
      <c r="Q40" s="222"/>
      <c r="R40" s="220">
        <f>R38/R24</f>
        <v>0.25326233293359712</v>
      </c>
      <c r="S40" s="221"/>
      <c r="T40" s="222"/>
      <c r="U40" s="220">
        <f>U38/U24</f>
        <v>9.7319673877869939E-2</v>
      </c>
      <c r="V40" s="85"/>
      <c r="W40" s="137"/>
      <c r="X40" s="220">
        <f>X38/X24</f>
        <v>0.16664208789457122</v>
      </c>
      <c r="Y40" s="220">
        <f>Y38/Y24</f>
        <v>-2.1748302565244783E-3</v>
      </c>
      <c r="Z40" s="137"/>
      <c r="AA40" s="220">
        <f>AA38/AA24</f>
        <v>-0.10332371337995556</v>
      </c>
      <c r="AB40" s="220">
        <f>AB38/AB24</f>
        <v>-7.0805023491145633E-2</v>
      </c>
      <c r="AC40" s="137"/>
      <c r="AD40" s="220">
        <f>AD38/AD24</f>
        <v>7.5139462470941817E-2</v>
      </c>
      <c r="AE40" s="85"/>
      <c r="AF40" s="137"/>
      <c r="AG40" s="220">
        <f>AG38/AG24</f>
        <v>0.20706529740686078</v>
      </c>
      <c r="AH40" s="307">
        <f>AH38/AH24</f>
        <v>-0.10913404971754706</v>
      </c>
      <c r="AI40" s="137"/>
      <c r="AJ40" s="136"/>
      <c r="AK40" s="85"/>
      <c r="AL40" s="137"/>
      <c r="AM40" s="136"/>
      <c r="AN40" s="85"/>
      <c r="AO40" s="137"/>
      <c r="AP40" s="136"/>
      <c r="AQ40" s="85"/>
      <c r="AR40" s="137"/>
      <c r="AS40" s="136"/>
      <c r="AT40" s="85"/>
      <c r="AU40" s="137"/>
      <c r="AV40" s="136"/>
      <c r="AW40" s="85"/>
      <c r="AX40" s="137"/>
      <c r="AY40" s="136"/>
      <c r="AZ40" s="85"/>
      <c r="BA40" s="137"/>
      <c r="BB40" s="136"/>
      <c r="BC40" s="85"/>
      <c r="BD40" s="137"/>
      <c r="BE40" s="220">
        <f>BE38/BE24</f>
        <v>0.1773126458305854</v>
      </c>
      <c r="BF40" s="85"/>
      <c r="BG40" s="137"/>
    </row>
    <row r="41" spans="1:59" ht="6" customHeight="1" x14ac:dyDescent="0.25">
      <c r="I41" s="184"/>
      <c r="J41" s="80"/>
      <c r="K41" s="185"/>
      <c r="L41" s="184"/>
      <c r="M41" s="80"/>
      <c r="N41" s="185"/>
      <c r="O41" s="184"/>
      <c r="P41" s="80"/>
      <c r="Q41" s="185"/>
      <c r="R41" s="184"/>
      <c r="S41" s="80"/>
      <c r="T41" s="185"/>
      <c r="U41" s="184"/>
      <c r="V41" s="80"/>
      <c r="W41" s="185"/>
      <c r="X41" s="184"/>
      <c r="Y41" s="80"/>
      <c r="Z41" s="185"/>
      <c r="AA41" s="184"/>
      <c r="AB41" s="80"/>
      <c r="AC41" s="185"/>
      <c r="AD41" s="184"/>
      <c r="AE41" s="80"/>
      <c r="AF41" s="185"/>
      <c r="AG41" s="80"/>
      <c r="AH41" s="80"/>
      <c r="AI41" s="185"/>
      <c r="AJ41" s="184"/>
      <c r="AK41" s="80"/>
      <c r="AL41" s="185"/>
      <c r="AM41" s="184"/>
      <c r="AN41" s="80"/>
      <c r="AO41" s="185"/>
      <c r="AP41" s="184"/>
      <c r="AQ41" s="80"/>
      <c r="AR41" s="185"/>
      <c r="AS41" s="184"/>
      <c r="AT41" s="80"/>
      <c r="AU41" s="185"/>
      <c r="AV41" s="184"/>
      <c r="AW41" s="80"/>
      <c r="AX41" s="185"/>
      <c r="AY41" s="184"/>
      <c r="AZ41" s="80"/>
      <c r="BA41" s="185"/>
      <c r="BB41" s="184"/>
      <c r="BC41" s="80"/>
      <c r="BD41" s="185"/>
      <c r="BE41" s="184"/>
      <c r="BF41" s="80"/>
      <c r="BG41" s="185"/>
    </row>
    <row r="42" spans="1:59" ht="38.25" customHeight="1" x14ac:dyDescent="0.25">
      <c r="A42" s="347" t="s">
        <v>54</v>
      </c>
      <c r="B42" s="322"/>
      <c r="C42" s="62" t="s">
        <v>105</v>
      </c>
      <c r="D42" s="12"/>
      <c r="E42" s="12"/>
      <c r="F42" s="10"/>
      <c r="G42" s="11"/>
      <c r="H42" s="29"/>
      <c r="I42" s="223">
        <f>SUM(I26:I28)/I24</f>
        <v>0.29204139969740439</v>
      </c>
      <c r="J42" s="221"/>
      <c r="K42" s="222"/>
      <c r="L42" s="223">
        <f>SUM(L26:L28)/L24</f>
        <v>0.33310364713819279</v>
      </c>
      <c r="M42" s="221"/>
      <c r="N42" s="222"/>
      <c r="O42" s="223">
        <f>SUM(O26:O28)/O24</f>
        <v>0.30286831776985185</v>
      </c>
      <c r="P42" s="221"/>
      <c r="Q42" s="222"/>
      <c r="R42" s="223">
        <f>SUM(R26:R28)/R24</f>
        <v>0.31036743869935052</v>
      </c>
      <c r="S42" s="221"/>
      <c r="T42" s="222"/>
      <c r="U42" s="223">
        <f>SUM(U26:U28)/U24</f>
        <v>0.32680045496440002</v>
      </c>
      <c r="V42" s="85"/>
      <c r="W42" s="137"/>
      <c r="X42" s="223">
        <f>SUM(X26:X28)/X24</f>
        <v>0.30261647913438655</v>
      </c>
      <c r="Y42" s="223">
        <f>SUM(Y26:Y28)/Y24</f>
        <v>0.45937412112856196</v>
      </c>
      <c r="Z42" s="137"/>
      <c r="AA42" s="223">
        <f>SUM(AA26:AA28)/AA24</f>
        <v>0.44506616862591281</v>
      </c>
      <c r="AB42" s="223">
        <f>SUM(AB26:AB28)/AB24</f>
        <v>0.47227280309137915</v>
      </c>
      <c r="AC42" s="137"/>
      <c r="AD42" s="223">
        <f>SUM(AD26:AD28)/AD24</f>
        <v>0.34610032593987688</v>
      </c>
      <c r="AE42" s="85"/>
      <c r="AF42" s="137"/>
      <c r="AG42" s="223">
        <f>SUM(AG26:AG28)/AG24</f>
        <v>0.34083631757875038</v>
      </c>
      <c r="AH42" s="307">
        <f>SUM(AH26:AH28)/AH24</f>
        <v>0.4928413871236404</v>
      </c>
      <c r="AI42" s="137"/>
      <c r="AJ42" s="136"/>
      <c r="AK42" s="85"/>
      <c r="AL42" s="137"/>
      <c r="AM42" s="136"/>
      <c r="AN42" s="85"/>
      <c r="AO42" s="137"/>
      <c r="AP42" s="136"/>
      <c r="AQ42" s="85"/>
      <c r="AR42" s="137"/>
      <c r="AS42" s="136"/>
      <c r="AT42" s="85"/>
      <c r="AU42" s="137"/>
      <c r="AV42" s="136"/>
      <c r="AW42" s="85"/>
      <c r="AX42" s="137"/>
      <c r="AY42" s="136"/>
      <c r="AZ42" s="85"/>
      <c r="BA42" s="137"/>
      <c r="BB42" s="136"/>
      <c r="BC42" s="85"/>
      <c r="BD42" s="137"/>
      <c r="BE42" s="223">
        <f>SUM(BE26:BE28)/BE24</f>
        <v>0.32860790605701851</v>
      </c>
      <c r="BF42" s="85"/>
      <c r="BG42" s="137"/>
    </row>
    <row r="43" spans="1:59" ht="5.25" customHeight="1" x14ac:dyDescent="0.25">
      <c r="I43" s="184"/>
      <c r="J43" s="80"/>
      <c r="K43" s="185"/>
      <c r="L43" s="184"/>
      <c r="M43" s="80"/>
      <c r="N43" s="185"/>
      <c r="O43" s="184"/>
      <c r="P43" s="80"/>
      <c r="Q43" s="185"/>
      <c r="R43" s="184"/>
      <c r="S43" s="80"/>
      <c r="T43" s="185"/>
      <c r="U43" s="184"/>
      <c r="V43" s="80"/>
      <c r="W43" s="185"/>
      <c r="X43" s="184"/>
      <c r="Y43" s="80"/>
      <c r="Z43" s="185"/>
      <c r="AA43" s="184"/>
      <c r="AB43" s="80"/>
      <c r="AC43" s="185"/>
      <c r="AD43" s="184"/>
      <c r="AE43" s="80"/>
      <c r="AF43" s="185"/>
      <c r="AG43" s="184"/>
      <c r="AH43" s="80"/>
      <c r="AI43" s="185"/>
      <c r="AJ43" s="184"/>
      <c r="AK43" s="80"/>
      <c r="AL43" s="185"/>
      <c r="AM43" s="184"/>
      <c r="AN43" s="80"/>
      <c r="AO43" s="185"/>
      <c r="AP43" s="184"/>
      <c r="AQ43" s="80"/>
      <c r="AR43" s="185"/>
      <c r="AS43" s="184"/>
      <c r="AT43" s="80"/>
      <c r="AU43" s="185"/>
      <c r="AV43" s="184"/>
      <c r="AW43" s="80"/>
      <c r="AX43" s="185"/>
      <c r="AY43" s="184"/>
      <c r="AZ43" s="80"/>
      <c r="BA43" s="185"/>
      <c r="BB43" s="184"/>
      <c r="BC43" s="80"/>
      <c r="BD43" s="185"/>
      <c r="BE43" s="184"/>
      <c r="BF43" s="80"/>
      <c r="BG43" s="185"/>
    </row>
    <row r="44" spans="1:59" x14ac:dyDescent="0.25">
      <c r="A44" s="342" t="s">
        <v>171</v>
      </c>
      <c r="B44" s="348"/>
      <c r="C44" s="62" t="s">
        <v>106</v>
      </c>
      <c r="D44" s="12"/>
      <c r="E44" s="12"/>
      <c r="F44" s="10"/>
      <c r="G44" s="11"/>
      <c r="H44" s="29"/>
      <c r="I44" s="224" t="s">
        <v>194</v>
      </c>
      <c r="J44" s="43"/>
      <c r="K44" s="181"/>
      <c r="L44" s="224" t="s">
        <v>194</v>
      </c>
      <c r="M44" s="43"/>
      <c r="N44" s="181"/>
      <c r="O44" s="224" t="s">
        <v>194</v>
      </c>
      <c r="P44" s="43"/>
      <c r="Q44" s="181"/>
      <c r="R44" s="224" t="s">
        <v>194</v>
      </c>
      <c r="S44" s="43"/>
      <c r="T44" s="181"/>
      <c r="U44" s="180"/>
      <c r="V44" s="43"/>
      <c r="W44" s="181"/>
      <c r="X44" s="180"/>
      <c r="Y44" s="43"/>
      <c r="Z44" s="181"/>
      <c r="AA44" s="180">
        <v>31740</v>
      </c>
      <c r="AB44" s="43"/>
      <c r="AC44" s="181"/>
      <c r="AD44" s="180"/>
      <c r="AE44" s="43"/>
      <c r="AF44" s="181"/>
      <c r="AG44" s="180">
        <v>26204</v>
      </c>
      <c r="AH44" s="43"/>
      <c r="AI44" s="181"/>
      <c r="AJ44" s="180"/>
      <c r="AK44" s="43"/>
      <c r="AL44" s="181"/>
      <c r="AM44" s="180"/>
      <c r="AN44" s="43"/>
      <c r="AO44" s="181"/>
      <c r="AP44" s="180"/>
      <c r="AQ44" s="43"/>
      <c r="AR44" s="181"/>
      <c r="AS44" s="180"/>
      <c r="AT44" s="43"/>
      <c r="AU44" s="181"/>
      <c r="AV44" s="180"/>
      <c r="AW44" s="43"/>
      <c r="AX44" s="181"/>
      <c r="AY44" s="180"/>
      <c r="AZ44" s="43"/>
      <c r="BA44" s="181"/>
      <c r="BB44" s="180"/>
      <c r="BC44" s="43"/>
      <c r="BD44" s="181"/>
      <c r="BE44" s="180"/>
      <c r="BF44" s="43"/>
      <c r="BG44" s="181"/>
    </row>
    <row r="45" spans="1:59" ht="5.25" customHeight="1" x14ac:dyDescent="0.25">
      <c r="A45" s="342"/>
      <c r="B45" s="348"/>
      <c r="C45" s="68"/>
      <c r="D45" s="12"/>
      <c r="E45" s="12"/>
      <c r="F45" s="10"/>
      <c r="G45" s="11"/>
      <c r="H45" s="29"/>
      <c r="I45" s="180"/>
      <c r="J45" s="43"/>
      <c r="K45" s="181"/>
      <c r="L45" s="180"/>
      <c r="M45" s="43"/>
      <c r="N45" s="181"/>
      <c r="O45" s="180"/>
      <c r="P45" s="43"/>
      <c r="Q45" s="181"/>
      <c r="R45" s="180"/>
      <c r="S45" s="43"/>
      <c r="T45" s="181"/>
      <c r="U45" s="180"/>
      <c r="V45" s="43"/>
      <c r="W45" s="181"/>
      <c r="X45" s="180"/>
      <c r="Y45" s="43"/>
      <c r="Z45" s="181"/>
      <c r="AA45" s="180"/>
      <c r="AB45" s="43"/>
      <c r="AC45" s="181"/>
      <c r="AD45" s="180"/>
      <c r="AE45" s="43"/>
      <c r="AF45" s="181"/>
      <c r="AG45" s="180"/>
      <c r="AH45" s="43"/>
      <c r="AI45" s="181"/>
      <c r="AJ45" s="180"/>
      <c r="AK45" s="43"/>
      <c r="AL45" s="181"/>
      <c r="AM45" s="180"/>
      <c r="AN45" s="43"/>
      <c r="AO45" s="181"/>
      <c r="AP45" s="180"/>
      <c r="AQ45" s="43"/>
      <c r="AR45" s="181"/>
      <c r="AS45" s="180"/>
      <c r="AT45" s="43"/>
      <c r="AU45" s="181"/>
      <c r="AV45" s="180"/>
      <c r="AW45" s="43"/>
      <c r="AX45" s="181"/>
      <c r="AY45" s="180"/>
      <c r="AZ45" s="43"/>
      <c r="BA45" s="181"/>
      <c r="BB45" s="180"/>
      <c r="BC45" s="43"/>
      <c r="BD45" s="181"/>
      <c r="BE45" s="180"/>
      <c r="BF45" s="43"/>
      <c r="BG45" s="181"/>
    </row>
    <row r="46" spans="1:59" ht="23.25" customHeight="1" x14ac:dyDescent="0.25">
      <c r="A46" s="348"/>
      <c r="B46" s="348"/>
      <c r="C46" s="62" t="s">
        <v>107</v>
      </c>
      <c r="D46" s="12"/>
      <c r="E46" s="12"/>
      <c r="F46" s="10"/>
      <c r="G46" s="11"/>
      <c r="H46" s="29"/>
      <c r="I46" s="224" t="s">
        <v>194</v>
      </c>
      <c r="J46" s="43"/>
      <c r="K46" s="181"/>
      <c r="L46" s="224" t="s">
        <v>194</v>
      </c>
      <c r="M46" s="43"/>
      <c r="N46" s="181"/>
      <c r="O46" s="224" t="s">
        <v>194</v>
      </c>
      <c r="P46" s="43"/>
      <c r="Q46" s="181"/>
      <c r="R46" s="224" t="s">
        <v>194</v>
      </c>
      <c r="S46" s="43"/>
      <c r="T46" s="181"/>
      <c r="U46" s="180"/>
      <c r="V46" s="43"/>
      <c r="W46" s="181"/>
      <c r="X46" s="180"/>
      <c r="Y46" s="43"/>
      <c r="Z46" s="181"/>
      <c r="AA46" s="310">
        <f>AA44/AA26</f>
        <v>6.8356998408449221E-2</v>
      </c>
      <c r="AB46" s="43"/>
      <c r="AC46" s="181"/>
      <c r="AD46" s="180"/>
      <c r="AE46" s="43"/>
      <c r="AF46" s="181"/>
      <c r="AG46" s="310">
        <f>AG44/AG26</f>
        <v>4.4606273544516906E-2</v>
      </c>
      <c r="AH46" s="43"/>
      <c r="AI46" s="181"/>
      <c r="AJ46" s="180"/>
      <c r="AK46" s="43"/>
      <c r="AL46" s="181"/>
      <c r="AM46" s="180"/>
      <c r="AN46" s="43"/>
      <c r="AO46" s="181"/>
      <c r="AP46" s="180"/>
      <c r="AQ46" s="43"/>
      <c r="AR46" s="181"/>
      <c r="AS46" s="180"/>
      <c r="AT46" s="43"/>
      <c r="AU46" s="181"/>
      <c r="AV46" s="180"/>
      <c r="AW46" s="43"/>
      <c r="AX46" s="181"/>
      <c r="AY46" s="180"/>
      <c r="AZ46" s="43"/>
      <c r="BA46" s="181"/>
      <c r="BB46" s="180"/>
      <c r="BC46" s="43"/>
      <c r="BD46" s="181"/>
      <c r="BE46" s="180"/>
      <c r="BF46" s="43"/>
      <c r="BG46" s="181"/>
    </row>
    <row r="47" spans="1:59" ht="4.5" customHeight="1" x14ac:dyDescent="0.25">
      <c r="A47" s="348"/>
      <c r="B47" s="348"/>
      <c r="C47" s="68"/>
      <c r="D47" s="12"/>
      <c r="E47" s="12"/>
      <c r="F47" s="10"/>
      <c r="G47" s="11"/>
      <c r="H47" s="29"/>
      <c r="I47" s="180"/>
      <c r="J47" s="43"/>
      <c r="K47" s="181"/>
      <c r="L47" s="180"/>
      <c r="M47" s="43"/>
      <c r="N47" s="181"/>
      <c r="O47" s="180"/>
      <c r="P47" s="43"/>
      <c r="Q47" s="181"/>
      <c r="R47" s="180"/>
      <c r="S47" s="43"/>
      <c r="T47" s="181"/>
      <c r="U47" s="180"/>
      <c r="V47" s="43"/>
      <c r="W47" s="181"/>
      <c r="X47" s="180"/>
      <c r="Y47" s="43"/>
      <c r="Z47" s="181"/>
      <c r="AA47" s="180"/>
      <c r="AB47" s="43"/>
      <c r="AC47" s="181"/>
      <c r="AD47" s="180"/>
      <c r="AE47" s="43"/>
      <c r="AF47" s="181"/>
      <c r="AG47" s="180"/>
      <c r="AH47" s="43"/>
      <c r="AI47" s="181"/>
      <c r="AJ47" s="180"/>
      <c r="AK47" s="43"/>
      <c r="AL47" s="181"/>
      <c r="AM47" s="180"/>
      <c r="AN47" s="43"/>
      <c r="AO47" s="181"/>
      <c r="AP47" s="180"/>
      <c r="AQ47" s="43"/>
      <c r="AR47" s="181"/>
      <c r="AS47" s="180"/>
      <c r="AT47" s="43"/>
      <c r="AU47" s="181"/>
      <c r="AV47" s="180"/>
      <c r="AW47" s="43"/>
      <c r="AX47" s="181"/>
      <c r="AY47" s="180"/>
      <c r="AZ47" s="43"/>
      <c r="BA47" s="181"/>
      <c r="BB47" s="180"/>
      <c r="BC47" s="43"/>
      <c r="BD47" s="181"/>
      <c r="BE47" s="180"/>
      <c r="BF47" s="43"/>
      <c r="BG47" s="181"/>
    </row>
    <row r="48" spans="1:59" ht="29.25" customHeight="1" x14ac:dyDescent="0.25">
      <c r="A48" s="348"/>
      <c r="B48" s="348"/>
      <c r="C48" s="62" t="s">
        <v>111</v>
      </c>
      <c r="D48" s="12"/>
      <c r="E48" s="12"/>
      <c r="F48" s="10"/>
      <c r="G48" s="11"/>
      <c r="H48" s="29"/>
      <c r="I48" s="224" t="s">
        <v>194</v>
      </c>
      <c r="J48" s="43"/>
      <c r="K48" s="181"/>
      <c r="L48" s="224" t="s">
        <v>194</v>
      </c>
      <c r="M48" s="43"/>
      <c r="N48" s="181"/>
      <c r="O48" s="224" t="s">
        <v>194</v>
      </c>
      <c r="P48" s="43"/>
      <c r="Q48" s="181"/>
      <c r="R48" s="224" t="s">
        <v>194</v>
      </c>
      <c r="S48" s="43"/>
      <c r="T48" s="181"/>
      <c r="U48" s="180"/>
      <c r="V48" s="43"/>
      <c r="W48" s="181"/>
      <c r="X48" s="180"/>
      <c r="Y48" s="43"/>
      <c r="Z48" s="181"/>
      <c r="AA48" s="180"/>
      <c r="AB48" s="43"/>
      <c r="AC48" s="181"/>
      <c r="AD48" s="180"/>
      <c r="AE48" s="43"/>
      <c r="AF48" s="181"/>
      <c r="AG48" s="180"/>
      <c r="AH48" s="43"/>
      <c r="AI48" s="181"/>
      <c r="AJ48" s="180"/>
      <c r="AK48" s="43"/>
      <c r="AL48" s="181"/>
      <c r="AM48" s="180"/>
      <c r="AN48" s="43"/>
      <c r="AO48" s="181"/>
      <c r="AP48" s="180"/>
      <c r="AQ48" s="43"/>
      <c r="AR48" s="181"/>
      <c r="AS48" s="180"/>
      <c r="AT48" s="43"/>
      <c r="AU48" s="181"/>
      <c r="AV48" s="180"/>
      <c r="AW48" s="43"/>
      <c r="AX48" s="181"/>
      <c r="AY48" s="180"/>
      <c r="AZ48" s="43"/>
      <c r="BA48" s="181"/>
      <c r="BB48" s="180"/>
      <c r="BC48" s="43"/>
      <c r="BD48" s="181"/>
      <c r="BE48" s="180"/>
      <c r="BF48" s="43"/>
      <c r="BG48" s="181"/>
    </row>
    <row r="49" spans="1:59" ht="5.25" customHeight="1" x14ac:dyDescent="0.25">
      <c r="I49" s="184"/>
      <c r="J49" s="80"/>
      <c r="K49" s="185"/>
      <c r="L49" s="184"/>
      <c r="M49" s="80"/>
      <c r="N49" s="185"/>
      <c r="O49" s="184"/>
      <c r="P49" s="80"/>
      <c r="Q49" s="185"/>
      <c r="R49" s="184"/>
      <c r="S49" s="80"/>
      <c r="T49" s="185"/>
      <c r="U49" s="184"/>
      <c r="V49" s="80"/>
      <c r="W49" s="185"/>
      <c r="X49" s="184"/>
      <c r="Y49" s="80"/>
      <c r="Z49" s="185"/>
      <c r="AA49" s="184"/>
      <c r="AB49" s="80"/>
      <c r="AC49" s="185"/>
      <c r="AD49" s="184"/>
      <c r="AE49" s="80"/>
      <c r="AF49" s="185"/>
      <c r="AG49" s="184"/>
      <c r="AH49" s="80"/>
      <c r="AI49" s="185"/>
      <c r="AJ49" s="184"/>
      <c r="AK49" s="80"/>
      <c r="AL49" s="185"/>
      <c r="AM49" s="184"/>
      <c r="AN49" s="80"/>
      <c r="AO49" s="185"/>
      <c r="AP49" s="184"/>
      <c r="AQ49" s="80"/>
      <c r="AR49" s="185"/>
      <c r="AS49" s="184"/>
      <c r="AT49" s="80"/>
      <c r="AU49" s="185"/>
      <c r="AV49" s="184"/>
      <c r="AW49" s="80"/>
      <c r="AX49" s="185"/>
      <c r="AY49" s="184"/>
      <c r="AZ49" s="80"/>
      <c r="BA49" s="185"/>
      <c r="BB49" s="184"/>
      <c r="BC49" s="80"/>
      <c r="BD49" s="185"/>
      <c r="BE49" s="184"/>
      <c r="BF49" s="80"/>
      <c r="BG49" s="185"/>
    </row>
    <row r="50" spans="1:59" ht="15" customHeight="1" x14ac:dyDescent="0.25">
      <c r="A50" s="347" t="s">
        <v>42</v>
      </c>
      <c r="B50" s="356" t="s">
        <v>28</v>
      </c>
      <c r="C50" s="62" t="s">
        <v>28</v>
      </c>
      <c r="D50" s="12"/>
      <c r="E50" s="12"/>
      <c r="F50" s="10"/>
      <c r="G50" s="11"/>
      <c r="H50" s="29"/>
      <c r="I50" s="225">
        <v>611684</v>
      </c>
      <c r="J50" s="11"/>
      <c r="K50" s="160"/>
      <c r="L50" s="84">
        <v>888257</v>
      </c>
      <c r="M50" s="11"/>
      <c r="N50" s="160"/>
      <c r="O50" s="107">
        <v>792766</v>
      </c>
      <c r="P50" s="11"/>
      <c r="Q50" s="160"/>
      <c r="R50" s="157">
        <f>O50</f>
        <v>792766</v>
      </c>
      <c r="S50" s="11"/>
      <c r="T50" s="160"/>
      <c r="U50">
        <v>864352</v>
      </c>
      <c r="V50" s="11"/>
      <c r="W50" s="160"/>
      <c r="X50">
        <v>773116</v>
      </c>
      <c r="Y50" s="11"/>
      <c r="Z50" s="160"/>
      <c r="AA50" s="302">
        <v>695915</v>
      </c>
      <c r="AB50" s="11"/>
      <c r="AC50" s="160"/>
      <c r="AD50" s="159"/>
      <c r="AE50" s="11"/>
      <c r="AF50" s="160"/>
      <c r="AG50" s="159">
        <v>760194</v>
      </c>
      <c r="AH50" s="11"/>
      <c r="AI50" s="160"/>
      <c r="AJ50" s="159"/>
      <c r="AK50" s="11"/>
      <c r="AL50" s="160"/>
      <c r="AM50" s="159"/>
      <c r="AN50" s="11"/>
      <c r="AO50" s="160"/>
      <c r="AP50" s="159"/>
      <c r="AQ50" s="11"/>
      <c r="AR50" s="160"/>
      <c r="AS50" s="159"/>
      <c r="AT50" s="11"/>
      <c r="AU50" s="160"/>
      <c r="AV50" s="159"/>
      <c r="AW50" s="11"/>
      <c r="AX50" s="160"/>
      <c r="AY50" s="159"/>
      <c r="AZ50" s="11"/>
      <c r="BA50" s="160"/>
      <c r="BB50" s="159"/>
      <c r="BC50" s="11"/>
      <c r="BD50" s="160"/>
      <c r="BE50" s="107">
        <f t="shared" ref="BE50" si="18">I50+L50+O50+U50+X50+AA50+AG50+AJ50+AM50+AS50+AV50+AY50</f>
        <v>5386284</v>
      </c>
      <c r="BF50" s="11"/>
      <c r="BG50" s="160"/>
    </row>
    <row r="51" spans="1:59" x14ac:dyDescent="0.25">
      <c r="A51" s="347"/>
      <c r="B51" s="357"/>
      <c r="C51" s="62" t="s">
        <v>55</v>
      </c>
      <c r="D51" s="12"/>
      <c r="E51" s="12"/>
      <c r="F51" s="10"/>
      <c r="G51" s="11"/>
      <c r="H51" s="29"/>
      <c r="I51" s="136">
        <f>I50/I24</f>
        <v>0.30337524375799396</v>
      </c>
      <c r="J51" s="85"/>
      <c r="K51" s="137"/>
      <c r="L51" s="136">
        <f>L50/L24</f>
        <v>0.35824363056112341</v>
      </c>
      <c r="M51" s="85"/>
      <c r="N51" s="137"/>
      <c r="O51" s="136">
        <f>O50/O24</f>
        <v>0.30607000059348005</v>
      </c>
      <c r="P51" s="85"/>
      <c r="Q51" s="137"/>
      <c r="R51" s="136">
        <f>O51</f>
        <v>0.30607000059348005</v>
      </c>
      <c r="S51" s="85"/>
      <c r="T51" s="137"/>
      <c r="U51" s="136">
        <f>U50/U24</f>
        <v>0.37899902570268235</v>
      </c>
      <c r="V51" s="85"/>
      <c r="W51" s="137"/>
      <c r="X51" s="136">
        <f>X50/X24</f>
        <v>0.35151364823409098</v>
      </c>
      <c r="Y51" s="85"/>
      <c r="Z51" s="137"/>
      <c r="AA51" s="136"/>
      <c r="AB51" s="85"/>
      <c r="AC51" s="137"/>
      <c r="AD51" s="136"/>
      <c r="AE51" s="85"/>
      <c r="AF51" s="137"/>
      <c r="AG51" s="136"/>
      <c r="AH51" s="85"/>
      <c r="AI51" s="137"/>
      <c r="AJ51" s="136"/>
      <c r="AK51" s="85"/>
      <c r="AL51" s="137"/>
      <c r="AM51" s="136"/>
      <c r="AN51" s="85"/>
      <c r="AO51" s="137"/>
      <c r="AP51" s="136"/>
      <c r="AQ51" s="85"/>
      <c r="AR51" s="137"/>
      <c r="AS51" s="136"/>
      <c r="AT51" s="85"/>
      <c r="AU51" s="137"/>
      <c r="AV51" s="136"/>
      <c r="AW51" s="85"/>
      <c r="AX51" s="137"/>
      <c r="AY51" s="136"/>
      <c r="AZ51" s="85"/>
      <c r="BA51" s="137"/>
      <c r="BB51" s="136"/>
      <c r="BC51" s="85"/>
      <c r="BD51" s="137"/>
      <c r="BE51" s="136"/>
      <c r="BF51" s="85"/>
      <c r="BG51" s="137"/>
    </row>
    <row r="52" spans="1:59" ht="4.5" customHeight="1" x14ac:dyDescent="0.25">
      <c r="A52" s="347"/>
      <c r="B52" s="70"/>
      <c r="I52" s="191"/>
      <c r="J52" s="100"/>
      <c r="K52" s="192"/>
      <c r="L52" s="191"/>
      <c r="M52" s="100"/>
      <c r="N52" s="192"/>
      <c r="O52" s="191"/>
      <c r="P52" s="100"/>
      <c r="Q52" s="192"/>
      <c r="R52" s="191"/>
      <c r="S52" s="100"/>
      <c r="T52" s="192"/>
      <c r="U52" s="191"/>
      <c r="V52" s="100"/>
      <c r="W52" s="192"/>
      <c r="X52" s="191"/>
      <c r="Y52" s="100"/>
      <c r="Z52" s="192"/>
      <c r="AA52" s="191"/>
      <c r="AB52" s="100"/>
      <c r="AC52" s="192"/>
      <c r="AD52" s="191"/>
      <c r="AE52" s="100"/>
      <c r="AF52" s="192"/>
      <c r="AG52" s="191"/>
      <c r="AH52" s="100"/>
      <c r="AI52" s="192"/>
      <c r="AJ52" s="191"/>
      <c r="AK52" s="100"/>
      <c r="AL52" s="192"/>
      <c r="AM52" s="191"/>
      <c r="AN52" s="100"/>
      <c r="AO52" s="192"/>
      <c r="AP52" s="191"/>
      <c r="AQ52" s="100"/>
      <c r="AR52" s="192"/>
      <c r="AS52" s="191"/>
      <c r="AT52" s="100"/>
      <c r="AU52" s="192"/>
      <c r="AV52" s="191"/>
      <c r="AW52" s="100"/>
      <c r="AX52" s="192"/>
      <c r="AY52" s="191"/>
      <c r="AZ52" s="100"/>
      <c r="BA52" s="192"/>
      <c r="BB52" s="191"/>
      <c r="BC52" s="100"/>
      <c r="BD52" s="192"/>
      <c r="BE52" s="191"/>
      <c r="BF52" s="100"/>
      <c r="BG52" s="192"/>
    </row>
    <row r="53" spans="1:59" ht="26.25" hidden="1" customHeight="1" x14ac:dyDescent="0.25">
      <c r="A53" s="347"/>
      <c r="B53" s="74" t="s">
        <v>116</v>
      </c>
      <c r="C53" s="62" t="s">
        <v>115</v>
      </c>
      <c r="D53" s="12"/>
      <c r="E53" s="12"/>
      <c r="F53" s="10"/>
      <c r="G53" s="11"/>
      <c r="H53" s="29"/>
      <c r="I53" s="136">
        <f>I50/I5</f>
        <v>0.29124023400767424</v>
      </c>
      <c r="J53" s="11"/>
      <c r="K53" s="160"/>
      <c r="L53" s="136">
        <f>L50/L5</f>
        <v>0.34609703420654692</v>
      </c>
      <c r="M53" s="11"/>
      <c r="N53" s="160"/>
      <c r="O53" s="136">
        <f>O50/O5</f>
        <v>0.29527704081575645</v>
      </c>
      <c r="P53" s="11"/>
      <c r="Q53" s="160"/>
      <c r="R53" s="161">
        <f>O53</f>
        <v>0.29527704081575645</v>
      </c>
      <c r="S53" s="11"/>
      <c r="T53" s="160"/>
      <c r="U53" s="159"/>
      <c r="V53" s="11"/>
      <c r="W53" s="160"/>
      <c r="X53" s="159"/>
      <c r="Y53" s="11"/>
      <c r="Z53" s="160"/>
      <c r="AA53" s="159"/>
      <c r="AB53" s="11"/>
      <c r="AC53" s="160"/>
      <c r="AD53" s="159"/>
      <c r="AE53" s="11"/>
      <c r="AF53" s="160"/>
      <c r="AG53" s="159"/>
      <c r="AH53" s="11"/>
      <c r="AI53" s="160"/>
      <c r="AJ53" s="159"/>
      <c r="AK53" s="11"/>
      <c r="AL53" s="160"/>
      <c r="AM53" s="159"/>
      <c r="AN53" s="11"/>
      <c r="AO53" s="160"/>
      <c r="AP53" s="159"/>
      <c r="AQ53" s="11"/>
      <c r="AR53" s="160"/>
      <c r="AS53" s="159"/>
      <c r="AT53" s="11"/>
      <c r="AU53" s="160"/>
      <c r="AV53" s="159"/>
      <c r="AW53" s="11"/>
      <c r="AX53" s="160"/>
      <c r="AY53" s="159"/>
      <c r="AZ53" s="11"/>
      <c r="BA53" s="160"/>
      <c r="BB53" s="159"/>
      <c r="BC53" s="11"/>
      <c r="BD53" s="160"/>
      <c r="BE53" s="159"/>
      <c r="BF53" s="11"/>
      <c r="BG53" s="160"/>
    </row>
    <row r="54" spans="1:59" ht="4.5" hidden="1" customHeight="1" x14ac:dyDescent="0.25">
      <c r="A54" s="347"/>
      <c r="B54" s="24"/>
      <c r="C54" s="20"/>
      <c r="D54" s="20"/>
      <c r="E54" s="20"/>
      <c r="F54" s="20"/>
      <c r="G54" s="21"/>
      <c r="H54" s="29"/>
      <c r="I54" s="180"/>
      <c r="J54" s="43"/>
      <c r="K54" s="181"/>
      <c r="L54" s="180"/>
      <c r="M54" s="43"/>
      <c r="N54" s="181"/>
      <c r="O54" s="180"/>
      <c r="P54" s="43"/>
      <c r="Q54" s="181"/>
      <c r="R54" s="180"/>
      <c r="S54" s="43"/>
      <c r="T54" s="181"/>
      <c r="U54" s="180"/>
      <c r="V54" s="43"/>
      <c r="W54" s="181"/>
      <c r="X54" s="180"/>
      <c r="Y54" s="43"/>
      <c r="Z54" s="181"/>
      <c r="AA54" s="180"/>
      <c r="AB54" s="43"/>
      <c r="AC54" s="181"/>
      <c r="AD54" s="180"/>
      <c r="AE54" s="43"/>
      <c r="AF54" s="181"/>
      <c r="AG54" s="180"/>
      <c r="AH54" s="43"/>
      <c r="AI54" s="181"/>
      <c r="AJ54" s="180"/>
      <c r="AK54" s="43"/>
      <c r="AL54" s="181"/>
      <c r="AM54" s="180"/>
      <c r="AN54" s="43"/>
      <c r="AO54" s="181"/>
      <c r="AP54" s="180"/>
      <c r="AQ54" s="43"/>
      <c r="AR54" s="181"/>
      <c r="AS54" s="180"/>
      <c r="AT54" s="43"/>
      <c r="AU54" s="181"/>
      <c r="AV54" s="180"/>
      <c r="AW54" s="43"/>
      <c r="AX54" s="181"/>
      <c r="AY54" s="180"/>
      <c r="AZ54" s="43"/>
      <c r="BA54" s="181"/>
      <c r="BB54" s="180"/>
      <c r="BC54" s="43"/>
      <c r="BD54" s="181"/>
      <c r="BE54" s="180"/>
      <c r="BF54" s="43"/>
      <c r="BG54" s="181"/>
    </row>
    <row r="55" spans="1:59" x14ac:dyDescent="0.25">
      <c r="A55" s="347"/>
      <c r="B55" s="355" t="s">
        <v>34</v>
      </c>
      <c r="C55" s="71" t="s">
        <v>30</v>
      </c>
      <c r="D55" s="12"/>
      <c r="E55" s="12"/>
      <c r="F55" s="10"/>
      <c r="G55" s="11"/>
      <c r="H55" s="29"/>
      <c r="I55" s="226">
        <v>41</v>
      </c>
      <c r="J55" s="11"/>
      <c r="K55" s="160"/>
      <c r="L55" s="84">
        <v>41</v>
      </c>
      <c r="M55" s="11"/>
      <c r="N55" s="160"/>
      <c r="O55" s="11">
        <v>43</v>
      </c>
      <c r="P55" s="11"/>
      <c r="Q55" s="160"/>
      <c r="R55" s="159">
        <f>O55</f>
        <v>43</v>
      </c>
      <c r="S55" s="11"/>
      <c r="T55" s="175"/>
      <c r="U55" s="263">
        <v>43</v>
      </c>
      <c r="V55" s="11"/>
      <c r="W55" s="160"/>
      <c r="X55">
        <v>44</v>
      </c>
      <c r="Y55" s="11"/>
      <c r="Z55" s="160"/>
      <c r="AA55" s="302">
        <v>40</v>
      </c>
      <c r="AB55" s="11"/>
      <c r="AC55" s="160"/>
      <c r="AD55" s="159"/>
      <c r="AE55" s="11"/>
      <c r="AF55" s="160"/>
      <c r="AG55" s="159">
        <v>42</v>
      </c>
      <c r="AH55" s="11"/>
      <c r="AI55" s="160"/>
      <c r="AJ55" s="159"/>
      <c r="AK55" s="11"/>
      <c r="AL55" s="160"/>
      <c r="AM55" s="159"/>
      <c r="AN55" s="11"/>
      <c r="AO55" s="160"/>
      <c r="AP55" s="159"/>
      <c r="AQ55" s="11"/>
      <c r="AR55" s="160"/>
      <c r="AS55" s="159"/>
      <c r="AT55" s="11"/>
      <c r="AU55" s="160"/>
      <c r="AV55" s="159"/>
      <c r="AW55" s="11"/>
      <c r="AX55" s="160"/>
      <c r="AY55" s="159"/>
      <c r="AZ55" s="11"/>
      <c r="BA55" s="160"/>
      <c r="BB55" s="159"/>
      <c r="BC55" s="11"/>
      <c r="BD55" s="160"/>
      <c r="BE55" s="159"/>
      <c r="BF55" s="11"/>
      <c r="BG55" s="160"/>
    </row>
    <row r="56" spans="1:59" x14ac:dyDescent="0.25">
      <c r="A56" s="347"/>
      <c r="B56" s="355"/>
      <c r="C56" s="71" t="s">
        <v>31</v>
      </c>
      <c r="D56" s="12"/>
      <c r="E56" s="12"/>
      <c r="F56" s="10"/>
      <c r="G56" s="11"/>
      <c r="H56" s="29"/>
      <c r="I56" s="226">
        <v>10</v>
      </c>
      <c r="J56" s="11"/>
      <c r="K56" s="160"/>
      <c r="L56" s="84">
        <v>9</v>
      </c>
      <c r="M56" s="11"/>
      <c r="N56" s="160"/>
      <c r="O56" s="11">
        <v>7</v>
      </c>
      <c r="P56" s="11"/>
      <c r="Q56" s="160"/>
      <c r="R56" s="159">
        <f>O56</f>
        <v>7</v>
      </c>
      <c r="S56" s="11"/>
      <c r="T56" s="175"/>
      <c r="U56" s="263">
        <v>8</v>
      </c>
      <c r="V56" s="11"/>
      <c r="W56" s="160"/>
      <c r="X56">
        <v>8</v>
      </c>
      <c r="Y56" s="11"/>
      <c r="Z56" s="160"/>
      <c r="AA56" s="302">
        <v>6</v>
      </c>
      <c r="AB56" s="11"/>
      <c r="AC56" s="160"/>
      <c r="AD56" s="159"/>
      <c r="AE56" s="11"/>
      <c r="AF56" s="160"/>
      <c r="AG56" s="159">
        <v>8</v>
      </c>
      <c r="AH56" s="11"/>
      <c r="AI56" s="160"/>
      <c r="AJ56" s="159"/>
      <c r="AK56" s="11"/>
      <c r="AL56" s="160"/>
      <c r="AM56" s="159"/>
      <c r="AN56" s="11"/>
      <c r="AO56" s="160"/>
      <c r="AP56" s="159"/>
      <c r="AQ56" s="11"/>
      <c r="AR56" s="160"/>
      <c r="AS56" s="159"/>
      <c r="AT56" s="11"/>
      <c r="AU56" s="160"/>
      <c r="AV56" s="159"/>
      <c r="AW56" s="11"/>
      <c r="AX56" s="160"/>
      <c r="AY56" s="159"/>
      <c r="AZ56" s="11"/>
      <c r="BA56" s="160"/>
      <c r="BB56" s="159"/>
      <c r="BC56" s="11"/>
      <c r="BD56" s="160"/>
      <c r="BE56" s="159"/>
      <c r="BF56" s="11"/>
      <c r="BG56" s="160"/>
    </row>
    <row r="57" spans="1:59" x14ac:dyDescent="0.25">
      <c r="A57" s="347"/>
      <c r="B57" s="355"/>
      <c r="C57" s="62" t="s">
        <v>32</v>
      </c>
      <c r="D57" s="12"/>
      <c r="E57" s="12"/>
      <c r="F57" s="10"/>
      <c r="G57" s="11"/>
      <c r="H57" s="29"/>
      <c r="I57" s="159"/>
      <c r="J57" s="11"/>
      <c r="K57" s="160"/>
      <c r="L57" s="159"/>
      <c r="M57" s="11"/>
      <c r="N57" s="160"/>
      <c r="O57" s="159"/>
      <c r="P57" s="11"/>
      <c r="Q57" s="160"/>
      <c r="R57" s="144" t="s">
        <v>648</v>
      </c>
      <c r="S57" s="11"/>
      <c r="T57" s="175"/>
      <c r="U57" s="263"/>
      <c r="V57" s="11"/>
      <c r="W57" s="160"/>
      <c r="X57" s="159"/>
      <c r="Y57" s="11"/>
      <c r="Z57" s="160"/>
      <c r="AA57" s="159"/>
      <c r="AB57" s="11"/>
      <c r="AC57" s="160"/>
      <c r="AD57" s="159"/>
      <c r="AE57" s="11"/>
      <c r="AF57" s="160"/>
      <c r="AG57" s="159"/>
      <c r="AH57" s="11"/>
      <c r="AI57" s="160"/>
      <c r="AJ57" s="159"/>
      <c r="AK57" s="11"/>
      <c r="AL57" s="160"/>
      <c r="AM57" s="159"/>
      <c r="AN57" s="11"/>
      <c r="AO57" s="160"/>
      <c r="AP57" s="159"/>
      <c r="AQ57" s="11"/>
      <c r="AR57" s="160"/>
      <c r="AS57" s="159"/>
      <c r="AT57" s="11"/>
      <c r="AU57" s="160"/>
      <c r="AV57" s="159"/>
      <c r="AW57" s="11"/>
      <c r="AX57" s="160"/>
      <c r="AY57" s="159"/>
      <c r="AZ57" s="11"/>
      <c r="BA57" s="160"/>
      <c r="BB57" s="159"/>
      <c r="BC57" s="11"/>
      <c r="BD57" s="160"/>
      <c r="BE57" s="159"/>
      <c r="BF57" s="11"/>
      <c r="BG57" s="160"/>
    </row>
    <row r="58" spans="1:59" x14ac:dyDescent="0.25">
      <c r="A58" s="347"/>
      <c r="B58" s="355"/>
      <c r="C58" s="62" t="s">
        <v>33</v>
      </c>
      <c r="D58" s="12"/>
      <c r="E58" s="12"/>
      <c r="F58" s="10"/>
      <c r="G58" s="11"/>
      <c r="H58" s="29"/>
      <c r="I58" s="159"/>
      <c r="J58" s="11"/>
      <c r="K58" s="160"/>
      <c r="L58" s="159"/>
      <c r="M58" s="11"/>
      <c r="N58" s="160"/>
      <c r="O58" s="159"/>
      <c r="P58" s="11"/>
      <c r="Q58" s="160"/>
      <c r="R58" s="144" t="s">
        <v>648</v>
      </c>
      <c r="S58" s="11"/>
      <c r="T58" s="175"/>
      <c r="U58" s="263"/>
      <c r="V58" s="11"/>
      <c r="W58" s="160"/>
      <c r="X58" s="159"/>
      <c r="Y58" s="11"/>
      <c r="Z58" s="160"/>
      <c r="AA58" s="159"/>
      <c r="AB58" s="11"/>
      <c r="AC58" s="160"/>
      <c r="AD58" s="159"/>
      <c r="AE58" s="11"/>
      <c r="AF58" s="160"/>
      <c r="AG58" s="159"/>
      <c r="AH58" s="11"/>
      <c r="AI58" s="160"/>
      <c r="AJ58" s="159"/>
      <c r="AK58" s="11"/>
      <c r="AL58" s="160"/>
      <c r="AM58" s="159"/>
      <c r="AN58" s="11"/>
      <c r="AO58" s="160"/>
      <c r="AP58" s="159"/>
      <c r="AQ58" s="11"/>
      <c r="AR58" s="160"/>
      <c r="AS58" s="159"/>
      <c r="AT58" s="11"/>
      <c r="AU58" s="160"/>
      <c r="AV58" s="159"/>
      <c r="AW58" s="11"/>
      <c r="AX58" s="160"/>
      <c r="AY58" s="159"/>
      <c r="AZ58" s="11"/>
      <c r="BA58" s="160"/>
      <c r="BB58" s="159"/>
      <c r="BC58" s="11"/>
      <c r="BD58" s="160"/>
      <c r="BE58" s="159"/>
      <c r="BF58" s="11"/>
      <c r="BG58" s="160"/>
    </row>
    <row r="59" spans="1:59" ht="4.5" customHeight="1" x14ac:dyDescent="0.25">
      <c r="A59" s="347"/>
      <c r="I59" s="184"/>
      <c r="J59" s="80"/>
      <c r="K59" s="185"/>
      <c r="L59" s="184"/>
      <c r="M59" s="80"/>
      <c r="N59" s="185"/>
      <c r="O59" s="184"/>
      <c r="P59" s="80"/>
      <c r="Q59" s="185"/>
      <c r="R59" s="184"/>
      <c r="S59" s="80"/>
      <c r="T59" s="185"/>
      <c r="U59" s="184"/>
      <c r="V59" s="80"/>
      <c r="W59" s="185"/>
      <c r="X59" s="184"/>
      <c r="Y59" s="80"/>
      <c r="Z59" s="185"/>
      <c r="AA59" s="184"/>
      <c r="AB59" s="80"/>
      <c r="AC59" s="185"/>
      <c r="AD59" s="184"/>
      <c r="AE59" s="80"/>
      <c r="AF59" s="185"/>
      <c r="AG59" s="184"/>
      <c r="AH59" s="80"/>
      <c r="AI59" s="185"/>
      <c r="AJ59" s="184"/>
      <c r="AK59" s="80"/>
      <c r="AL59" s="185"/>
      <c r="AM59" s="184"/>
      <c r="AN59" s="80"/>
      <c r="AO59" s="185"/>
      <c r="AP59" s="184"/>
      <c r="AQ59" s="80"/>
      <c r="AR59" s="185"/>
      <c r="AS59" s="184"/>
      <c r="AT59" s="80"/>
      <c r="AU59" s="185"/>
      <c r="AV59" s="184"/>
      <c r="AW59" s="80"/>
      <c r="AX59" s="185"/>
      <c r="AY59" s="184"/>
      <c r="AZ59" s="80"/>
      <c r="BA59" s="185"/>
      <c r="BB59" s="184"/>
      <c r="BC59" s="80"/>
      <c r="BD59" s="185"/>
      <c r="BE59" s="184"/>
      <c r="BF59" s="80"/>
      <c r="BG59" s="185"/>
    </row>
    <row r="60" spans="1:59" x14ac:dyDescent="0.25">
      <c r="A60" s="347"/>
      <c r="B60" s="355" t="s">
        <v>29</v>
      </c>
      <c r="C60" s="62" t="s">
        <v>35</v>
      </c>
      <c r="D60" s="12"/>
      <c r="E60" s="12"/>
      <c r="F60" s="10"/>
      <c r="G60" s="11"/>
      <c r="H60" s="29"/>
      <c r="I60" s="142">
        <v>367065</v>
      </c>
      <c r="J60" s="11"/>
      <c r="K60" s="160"/>
      <c r="L60" s="84">
        <v>640741</v>
      </c>
      <c r="M60" s="11"/>
      <c r="N60" s="160"/>
      <c r="O60" s="107">
        <v>578124</v>
      </c>
      <c r="P60" s="11"/>
      <c r="Q60" s="160"/>
      <c r="R60" s="157">
        <f>O60</f>
        <v>578124</v>
      </c>
      <c r="S60" s="11"/>
      <c r="T60" s="175"/>
      <c r="U60" s="263">
        <v>625448</v>
      </c>
      <c r="V60" s="11"/>
      <c r="W60" s="160"/>
      <c r="X60" s="293">
        <v>550385</v>
      </c>
      <c r="Y60" s="11"/>
      <c r="Z60" s="160"/>
      <c r="AA60" s="302">
        <v>521416</v>
      </c>
      <c r="AB60" s="11"/>
      <c r="AC60" s="160"/>
      <c r="AD60" s="159"/>
      <c r="AE60" s="11"/>
      <c r="AF60" s="160"/>
      <c r="AG60" s="159">
        <v>518538</v>
      </c>
      <c r="AH60" s="11"/>
      <c r="AI60" s="160"/>
      <c r="AJ60" s="159"/>
      <c r="AK60" s="11"/>
      <c r="AL60" s="160"/>
      <c r="AM60" s="159"/>
      <c r="AN60" s="11"/>
      <c r="AO60" s="160"/>
      <c r="AP60" s="159"/>
      <c r="AQ60" s="11"/>
      <c r="AR60" s="160"/>
      <c r="AS60" s="159"/>
      <c r="AT60" s="11"/>
      <c r="AU60" s="160"/>
      <c r="AV60" s="159"/>
      <c r="AW60" s="11"/>
      <c r="AX60" s="160"/>
      <c r="AY60" s="159"/>
      <c r="AZ60" s="11"/>
      <c r="BA60" s="160"/>
      <c r="BB60" s="159"/>
      <c r="BC60" s="11"/>
      <c r="BD60" s="160"/>
      <c r="BE60" s="107">
        <f t="shared" ref="BE60" si="19">I60+L60+O60+U60+X60+AA60+AG60+AJ60+AM60+AS60+AV60+AY60</f>
        <v>3801717</v>
      </c>
      <c r="BF60" s="11"/>
      <c r="BG60" s="160"/>
    </row>
    <row r="61" spans="1:59" x14ac:dyDescent="0.25">
      <c r="A61" s="347"/>
      <c r="B61" s="355"/>
      <c r="C61" s="62" t="s">
        <v>36</v>
      </c>
      <c r="D61" s="12"/>
      <c r="E61" s="12"/>
      <c r="F61" s="10"/>
      <c r="G61" s="11"/>
      <c r="H61" s="29"/>
      <c r="I61" s="159"/>
      <c r="J61" s="11"/>
      <c r="K61" s="160"/>
      <c r="L61" s="159"/>
      <c r="M61" s="11"/>
      <c r="N61" s="160"/>
      <c r="O61" s="159"/>
      <c r="P61" s="11"/>
      <c r="Q61" s="160"/>
      <c r="R61" s="159"/>
      <c r="S61" s="11"/>
      <c r="T61" s="175"/>
      <c r="U61" s="263"/>
      <c r="V61" s="11"/>
      <c r="W61" s="160"/>
      <c r="X61">
        <v>222731</v>
      </c>
      <c r="Y61" s="11"/>
      <c r="Z61" s="160"/>
      <c r="AA61" s="302">
        <v>174499</v>
      </c>
      <c r="AB61" s="11"/>
      <c r="AC61" s="160"/>
      <c r="AD61" s="159"/>
      <c r="AE61" s="11"/>
      <c r="AF61" s="160"/>
      <c r="AG61" s="159">
        <v>241656</v>
      </c>
      <c r="AH61" s="11"/>
      <c r="AI61" s="160"/>
      <c r="AJ61" s="159"/>
      <c r="AK61" s="11"/>
      <c r="AL61" s="160"/>
      <c r="AM61" s="159"/>
      <c r="AN61" s="11"/>
      <c r="AO61" s="160"/>
      <c r="AP61" s="159"/>
      <c r="AQ61" s="11"/>
      <c r="AR61" s="160"/>
      <c r="AS61" s="159"/>
      <c r="AT61" s="11"/>
      <c r="AU61" s="160"/>
      <c r="AV61" s="159"/>
      <c r="AW61" s="11"/>
      <c r="AX61" s="160"/>
      <c r="AY61" s="159"/>
      <c r="AZ61" s="11"/>
      <c r="BA61" s="160"/>
      <c r="BB61" s="159"/>
      <c r="BC61" s="11"/>
      <c r="BD61" s="160"/>
      <c r="BE61" s="159"/>
      <c r="BF61" s="11"/>
      <c r="BG61" s="160"/>
    </row>
    <row r="62" spans="1:59" x14ac:dyDescent="0.25">
      <c r="A62" s="347"/>
      <c r="B62" s="355"/>
      <c r="C62" s="62" t="s">
        <v>37</v>
      </c>
      <c r="D62" s="12"/>
      <c r="E62" s="12"/>
      <c r="F62" s="10"/>
      <c r="G62" s="11"/>
      <c r="H62" s="29"/>
      <c r="I62" s="159"/>
      <c r="J62" s="11"/>
      <c r="K62" s="160"/>
      <c r="L62" s="159"/>
      <c r="M62" s="11"/>
      <c r="N62" s="160"/>
      <c r="O62" s="159"/>
      <c r="P62" s="11"/>
      <c r="Q62" s="160"/>
      <c r="R62" s="159"/>
      <c r="S62" s="11"/>
      <c r="T62" s="175"/>
      <c r="U62" s="263"/>
      <c r="V62" s="11"/>
      <c r="W62" s="160"/>
      <c r="X62" s="159"/>
      <c r="Y62" s="11"/>
      <c r="Z62" s="160"/>
      <c r="AA62" s="159"/>
      <c r="AB62" s="11"/>
      <c r="AC62" s="160"/>
      <c r="AD62" s="159"/>
      <c r="AE62" s="11"/>
      <c r="AF62" s="160"/>
      <c r="AG62" s="159"/>
      <c r="AH62" s="11"/>
      <c r="AI62" s="160"/>
      <c r="AJ62" s="159"/>
      <c r="AK62" s="11"/>
      <c r="AL62" s="160"/>
      <c r="AM62" s="159"/>
      <c r="AN62" s="11"/>
      <c r="AO62" s="160"/>
      <c r="AP62" s="159"/>
      <c r="AQ62" s="11"/>
      <c r="AR62" s="160"/>
      <c r="AS62" s="159"/>
      <c r="AT62" s="11"/>
      <c r="AU62" s="160"/>
      <c r="AV62" s="159"/>
      <c r="AW62" s="11"/>
      <c r="AX62" s="160"/>
      <c r="AY62" s="159"/>
      <c r="AZ62" s="11"/>
      <c r="BA62" s="160"/>
      <c r="BB62" s="159"/>
      <c r="BC62" s="11"/>
      <c r="BD62" s="160"/>
      <c r="BE62" s="159"/>
      <c r="BF62" s="11"/>
      <c r="BG62" s="160"/>
    </row>
    <row r="63" spans="1:59" x14ac:dyDescent="0.25">
      <c r="A63" s="347"/>
      <c r="B63" s="355"/>
      <c r="C63" s="62" t="s">
        <v>38</v>
      </c>
      <c r="D63" s="12"/>
      <c r="E63" s="12"/>
      <c r="F63" s="10"/>
      <c r="G63" s="11"/>
      <c r="H63" s="29"/>
      <c r="I63" s="159"/>
      <c r="J63" s="11"/>
      <c r="K63" s="160"/>
      <c r="L63" s="159"/>
      <c r="M63" s="11"/>
      <c r="N63" s="160"/>
      <c r="O63" s="159"/>
      <c r="P63" s="11"/>
      <c r="Q63" s="160"/>
      <c r="R63" s="159"/>
      <c r="S63" s="11"/>
      <c r="T63" s="175"/>
      <c r="U63" s="263"/>
      <c r="V63" s="11"/>
      <c r="W63" s="160"/>
      <c r="X63" s="159"/>
      <c r="Y63" s="11"/>
      <c r="Z63" s="160"/>
      <c r="AA63" s="159"/>
      <c r="AB63" s="11"/>
      <c r="AC63" s="160"/>
      <c r="AD63" s="159"/>
      <c r="AE63" s="11"/>
      <c r="AF63" s="160"/>
      <c r="AG63" s="159"/>
      <c r="AH63" s="11"/>
      <c r="AI63" s="160"/>
      <c r="AJ63" s="159"/>
      <c r="AK63" s="11"/>
      <c r="AL63" s="160"/>
      <c r="AM63" s="159"/>
      <c r="AN63" s="11"/>
      <c r="AO63" s="160"/>
      <c r="AP63" s="159"/>
      <c r="AQ63" s="11"/>
      <c r="AR63" s="160"/>
      <c r="AS63" s="159"/>
      <c r="AT63" s="11"/>
      <c r="AU63" s="160"/>
      <c r="AV63" s="159"/>
      <c r="AW63" s="11"/>
      <c r="AX63" s="160"/>
      <c r="AY63" s="159"/>
      <c r="AZ63" s="11"/>
      <c r="BA63" s="160"/>
      <c r="BB63" s="159"/>
      <c r="BC63" s="11"/>
      <c r="BD63" s="160"/>
      <c r="BE63" s="159"/>
      <c r="BF63" s="11"/>
      <c r="BG63" s="160"/>
    </row>
    <row r="64" spans="1:59" ht="3.75" customHeight="1" x14ac:dyDescent="0.25">
      <c r="A64" s="347"/>
      <c r="I64" s="184"/>
      <c r="J64" s="80"/>
      <c r="K64" s="185"/>
      <c r="L64" s="184"/>
      <c r="M64" s="80"/>
      <c r="N64" s="185"/>
      <c r="O64" s="184"/>
      <c r="P64" s="80"/>
      <c r="Q64" s="185"/>
      <c r="R64" s="184"/>
      <c r="S64" s="80"/>
      <c r="T64" s="185"/>
      <c r="U64" s="184"/>
      <c r="V64" s="80"/>
      <c r="W64" s="185"/>
      <c r="X64" s="184"/>
      <c r="Y64" s="80"/>
      <c r="Z64" s="185"/>
      <c r="AA64" s="184"/>
      <c r="AB64" s="80"/>
      <c r="AC64" s="185"/>
      <c r="AD64" s="184"/>
      <c r="AE64" s="80"/>
      <c r="AF64" s="185"/>
      <c r="AG64" s="184"/>
      <c r="AH64" s="80"/>
      <c r="AI64" s="185"/>
      <c r="AJ64" s="184"/>
      <c r="AK64" s="80"/>
      <c r="AL64" s="185"/>
      <c r="AM64" s="184"/>
      <c r="AN64" s="80"/>
      <c r="AO64" s="185"/>
      <c r="AP64" s="184"/>
      <c r="AQ64" s="80"/>
      <c r="AR64" s="185"/>
      <c r="AS64" s="184"/>
      <c r="AT64" s="80"/>
      <c r="AU64" s="185"/>
      <c r="AV64" s="184"/>
      <c r="AW64" s="80"/>
      <c r="AX64" s="185"/>
      <c r="AY64" s="184"/>
      <c r="AZ64" s="80"/>
      <c r="BA64" s="185"/>
      <c r="BB64" s="184"/>
      <c r="BC64" s="80"/>
      <c r="BD64" s="185"/>
      <c r="BE64" s="184"/>
      <c r="BF64" s="80"/>
      <c r="BG64" s="185"/>
    </row>
    <row r="65" spans="1:60" x14ac:dyDescent="0.25">
      <c r="A65" s="347"/>
      <c r="B65" s="355" t="s">
        <v>39</v>
      </c>
      <c r="C65" s="62" t="s">
        <v>40</v>
      </c>
      <c r="D65" s="12"/>
      <c r="E65" s="12"/>
      <c r="F65" s="10"/>
      <c r="G65" s="11"/>
      <c r="H65" s="29"/>
      <c r="I65" s="227">
        <v>56</v>
      </c>
      <c r="J65" s="11"/>
      <c r="K65" s="160"/>
      <c r="L65" s="107">
        <v>24</v>
      </c>
      <c r="M65" s="11"/>
      <c r="N65" s="160"/>
      <c r="O65" s="11">
        <v>16</v>
      </c>
      <c r="P65" s="11"/>
      <c r="Q65" s="160"/>
      <c r="R65" s="142">
        <f>(O65+L65+I65)/3</f>
        <v>32</v>
      </c>
      <c r="S65" s="11"/>
      <c r="T65" s="175"/>
      <c r="U65" s="263">
        <v>16</v>
      </c>
      <c r="V65" s="11"/>
      <c r="W65" s="160"/>
      <c r="X65" s="293"/>
      <c r="Y65" s="11"/>
      <c r="Z65" s="160"/>
      <c r="AA65" s="302">
        <v>57</v>
      </c>
      <c r="AB65" s="11"/>
      <c r="AC65" s="160"/>
      <c r="AD65" s="159"/>
      <c r="AE65" s="11"/>
      <c r="AF65" s="160"/>
      <c r="AG65" s="159">
        <v>24</v>
      </c>
      <c r="AH65" s="11"/>
      <c r="AI65" s="160"/>
      <c r="AJ65" s="159"/>
      <c r="AK65" s="11"/>
      <c r="AL65" s="160"/>
      <c r="AM65" s="159"/>
      <c r="AN65" s="11"/>
      <c r="AO65" s="160"/>
      <c r="AP65" s="159"/>
      <c r="AQ65" s="11"/>
      <c r="AR65" s="160"/>
      <c r="AS65" s="159"/>
      <c r="AT65" s="11"/>
      <c r="AU65" s="160"/>
      <c r="AV65" s="159"/>
      <c r="AW65" s="11"/>
      <c r="AX65" s="160"/>
      <c r="AY65" s="159"/>
      <c r="AZ65" s="11"/>
      <c r="BA65" s="160"/>
      <c r="BB65" s="159"/>
      <c r="BC65" s="11"/>
      <c r="BD65" s="160"/>
      <c r="BE65" s="159"/>
      <c r="BF65" s="11"/>
      <c r="BG65" s="160"/>
    </row>
    <row r="66" spans="1:60" x14ac:dyDescent="0.25">
      <c r="A66" s="347"/>
      <c r="B66" s="355"/>
      <c r="C66" s="62" t="s">
        <v>41</v>
      </c>
      <c r="D66" s="12"/>
      <c r="E66" s="12"/>
      <c r="F66" s="10"/>
      <c r="G66" s="11"/>
      <c r="H66" s="29"/>
      <c r="I66" s="228">
        <v>4578</v>
      </c>
      <c r="J66" s="11"/>
      <c r="K66" s="160"/>
      <c r="L66" s="113">
        <v>2862</v>
      </c>
      <c r="M66" s="11"/>
      <c r="N66" s="160"/>
      <c r="O66" s="107">
        <v>1972</v>
      </c>
      <c r="P66" s="11"/>
      <c r="Q66" s="160"/>
      <c r="R66" s="142">
        <f>(O66+L66+I66)/3</f>
        <v>3137.3333333333335</v>
      </c>
      <c r="S66" s="11"/>
      <c r="T66" s="175"/>
      <c r="U66" s="263">
        <v>1908</v>
      </c>
      <c r="V66" s="11"/>
      <c r="W66" s="160"/>
      <c r="X66" s="293">
        <v>4038</v>
      </c>
      <c r="Y66" s="11"/>
      <c r="Z66" s="160"/>
      <c r="AA66" s="303">
        <v>3058</v>
      </c>
      <c r="AB66" s="11"/>
      <c r="AC66" s="160"/>
      <c r="AD66" s="159"/>
      <c r="AE66" s="11"/>
      <c r="AF66" s="160"/>
      <c r="AG66" s="159">
        <v>2862</v>
      </c>
      <c r="AH66" s="11"/>
      <c r="AI66" s="160"/>
      <c r="AJ66" s="159"/>
      <c r="AK66" s="11"/>
      <c r="AL66" s="160"/>
      <c r="AM66" s="159"/>
      <c r="AN66" s="11"/>
      <c r="AO66" s="160"/>
      <c r="AP66" s="159"/>
      <c r="AQ66" s="11"/>
      <c r="AR66" s="160"/>
      <c r="AS66" s="159"/>
      <c r="AT66" s="11"/>
      <c r="AU66" s="160"/>
      <c r="AV66" s="159"/>
      <c r="AW66" s="11"/>
      <c r="AX66" s="160"/>
      <c r="AY66" s="159"/>
      <c r="AZ66" s="11"/>
      <c r="BA66" s="160"/>
      <c r="BB66" s="159"/>
      <c r="BC66" s="11"/>
      <c r="BD66" s="160"/>
      <c r="BE66" s="159"/>
      <c r="BF66" s="11"/>
      <c r="BG66" s="160"/>
    </row>
    <row r="67" spans="1:60" ht="24" x14ac:dyDescent="0.25">
      <c r="A67" s="347"/>
      <c r="B67" s="355"/>
      <c r="C67" s="62" t="s">
        <v>56</v>
      </c>
      <c r="D67" s="12"/>
      <c r="E67" s="12"/>
      <c r="F67" s="10"/>
      <c r="G67" s="11"/>
      <c r="H67" s="29"/>
      <c r="I67" s="159"/>
      <c r="J67" s="11"/>
      <c r="K67" s="160"/>
      <c r="L67" s="159"/>
      <c r="M67" s="11"/>
      <c r="N67" s="160"/>
      <c r="O67" s="159"/>
      <c r="P67" s="11"/>
      <c r="Q67" s="160"/>
      <c r="R67" s="144" t="s">
        <v>194</v>
      </c>
      <c r="S67" s="11"/>
      <c r="T67" s="175"/>
      <c r="U67" s="276" t="s">
        <v>660</v>
      </c>
      <c r="V67" s="11"/>
      <c r="W67" s="160"/>
      <c r="X67" t="s">
        <v>659</v>
      </c>
      <c r="Y67" s="11"/>
      <c r="Z67" s="160"/>
      <c r="AA67" s="304" t="s">
        <v>737</v>
      </c>
      <c r="AB67" s="11"/>
      <c r="AC67" s="160"/>
      <c r="AD67" s="159"/>
      <c r="AE67" s="11"/>
      <c r="AF67" s="160"/>
      <c r="AG67" s="159" t="s">
        <v>660</v>
      </c>
      <c r="AH67" s="309"/>
      <c r="AI67" s="160"/>
      <c r="AJ67" s="159"/>
      <c r="AK67" s="11"/>
      <c r="AL67" s="160"/>
      <c r="AM67" s="159"/>
      <c r="AN67" s="11"/>
      <c r="AO67" s="160"/>
      <c r="AP67" s="159"/>
      <c r="AQ67" s="11"/>
      <c r="AR67" s="160"/>
      <c r="AS67" s="159"/>
      <c r="AT67" s="11"/>
      <c r="AU67" s="160"/>
      <c r="AV67" s="159"/>
      <c r="AW67" s="11"/>
      <c r="AX67" s="160"/>
      <c r="AY67" s="159"/>
      <c r="AZ67" s="11"/>
      <c r="BA67" s="160"/>
      <c r="BB67" s="159"/>
      <c r="BC67" s="11"/>
      <c r="BD67" s="160"/>
      <c r="BE67" s="159"/>
      <c r="BF67" s="11"/>
      <c r="BG67" s="160"/>
    </row>
    <row r="68" spans="1:60" x14ac:dyDescent="0.25">
      <c r="A68" s="347"/>
      <c r="I68" s="184"/>
      <c r="J68" s="80"/>
      <c r="K68" s="185"/>
      <c r="L68" s="184"/>
      <c r="M68" s="80"/>
      <c r="N68" s="185"/>
      <c r="O68" s="184"/>
      <c r="P68" s="80"/>
      <c r="Q68" s="185"/>
      <c r="R68" s="184"/>
      <c r="S68" s="80"/>
      <c r="T68" s="185"/>
      <c r="U68" s="184"/>
      <c r="V68" s="80"/>
      <c r="W68" s="185"/>
      <c r="X68" s="184"/>
      <c r="Y68" s="80"/>
      <c r="Z68" s="185"/>
      <c r="AA68" s="184"/>
      <c r="AB68" s="80"/>
      <c r="AC68" s="185"/>
      <c r="AD68" s="184"/>
      <c r="AE68" s="80"/>
      <c r="AF68" s="185"/>
      <c r="AG68" s="184"/>
      <c r="AH68" s="80"/>
      <c r="AI68" s="185"/>
      <c r="AJ68" s="184"/>
      <c r="AK68" s="80"/>
      <c r="AL68" s="185"/>
      <c r="AM68" s="184"/>
      <c r="AN68" s="80"/>
      <c r="AO68" s="185"/>
      <c r="AP68" s="184"/>
      <c r="AQ68" s="80"/>
      <c r="AR68" s="185"/>
      <c r="AS68" s="184"/>
      <c r="AT68" s="80"/>
      <c r="AU68" s="185"/>
      <c r="AV68" s="184"/>
      <c r="AW68" s="80"/>
      <c r="AX68" s="185"/>
      <c r="AY68" s="184"/>
      <c r="AZ68" s="80"/>
      <c r="BA68" s="185"/>
      <c r="BB68" s="184"/>
      <c r="BC68" s="80"/>
      <c r="BD68" s="185"/>
      <c r="BE68" s="184"/>
      <c r="BF68" s="80"/>
      <c r="BG68" s="185"/>
    </row>
    <row r="69" spans="1:60" ht="25.5" customHeight="1" x14ac:dyDescent="0.25">
      <c r="A69" s="347"/>
      <c r="B69" s="57" t="s">
        <v>117</v>
      </c>
      <c r="C69" s="62" t="s">
        <v>118</v>
      </c>
      <c r="D69" s="12"/>
      <c r="E69" s="12"/>
      <c r="F69" s="10"/>
      <c r="G69" s="11"/>
      <c r="H69" s="29"/>
      <c r="I69" s="159"/>
      <c r="J69" s="11"/>
      <c r="K69" s="160"/>
      <c r="L69" s="159"/>
      <c r="M69" s="11"/>
      <c r="N69" s="160"/>
      <c r="O69" s="159"/>
      <c r="P69" s="11"/>
      <c r="Q69" s="160"/>
      <c r="R69" s="144" t="s">
        <v>194</v>
      </c>
      <c r="S69" s="11"/>
      <c r="T69" s="160"/>
      <c r="U69" s="159"/>
      <c r="V69" s="11"/>
      <c r="W69" s="160"/>
      <c r="X69" s="159"/>
      <c r="Y69" s="11"/>
      <c r="Z69" s="160"/>
      <c r="AA69" s="159"/>
      <c r="AB69" s="11"/>
      <c r="AC69" s="160"/>
      <c r="AD69" s="159"/>
      <c r="AE69" s="11"/>
      <c r="AF69" s="160"/>
      <c r="AG69" s="159"/>
      <c r="AH69" s="11"/>
      <c r="AI69" s="160"/>
      <c r="AJ69" s="159"/>
      <c r="AK69" s="11"/>
      <c r="AL69" s="160"/>
      <c r="AM69" s="159"/>
      <c r="AN69" s="11"/>
      <c r="AO69" s="160"/>
      <c r="AP69" s="159"/>
      <c r="AQ69" s="11"/>
      <c r="AR69" s="160"/>
      <c r="AS69" s="159"/>
      <c r="AT69" s="11"/>
      <c r="AU69" s="160"/>
      <c r="AV69" s="159"/>
      <c r="AW69" s="11"/>
      <c r="AX69" s="160"/>
      <c r="AY69" s="159"/>
      <c r="AZ69" s="11"/>
      <c r="BA69" s="160"/>
      <c r="BB69" s="159"/>
      <c r="BC69" s="11"/>
      <c r="BD69" s="160"/>
      <c r="BE69" s="159"/>
      <c r="BF69" s="11"/>
      <c r="BG69" s="160"/>
    </row>
    <row r="70" spans="1:60" x14ac:dyDescent="0.25">
      <c r="A70" s="347"/>
      <c r="D70" s="31"/>
      <c r="E70" s="31"/>
      <c r="F70" s="32"/>
      <c r="G70" s="30"/>
      <c r="H70" s="29"/>
      <c r="I70" s="159"/>
      <c r="J70" s="11"/>
      <c r="K70" s="160"/>
      <c r="L70" s="159"/>
      <c r="M70" s="11"/>
      <c r="N70" s="160"/>
      <c r="O70" s="159"/>
      <c r="P70" s="11"/>
      <c r="Q70" s="160"/>
      <c r="R70" s="159"/>
      <c r="S70" s="11"/>
      <c r="T70" s="160"/>
      <c r="U70" s="159"/>
      <c r="V70" s="11"/>
      <c r="W70" s="160"/>
      <c r="X70" s="159"/>
      <c r="Y70" s="11"/>
      <c r="Z70" s="160"/>
      <c r="AA70" s="159"/>
      <c r="AB70" s="11"/>
      <c r="AC70" s="160"/>
      <c r="AD70" s="159"/>
      <c r="AE70" s="11"/>
      <c r="AF70" s="160"/>
      <c r="AG70" s="159"/>
      <c r="AH70" s="11"/>
      <c r="AI70" s="160"/>
      <c r="AJ70" s="159"/>
      <c r="AK70" s="11"/>
      <c r="AL70" s="160"/>
      <c r="AM70" s="159"/>
      <c r="AN70" s="11"/>
      <c r="AO70" s="160"/>
      <c r="AP70" s="159"/>
      <c r="AQ70" s="11"/>
      <c r="AR70" s="160"/>
      <c r="AS70" s="159"/>
      <c r="AT70" s="11"/>
      <c r="AU70" s="160"/>
      <c r="AV70" s="159"/>
      <c r="AW70" s="11"/>
      <c r="AX70" s="160"/>
      <c r="AY70" s="159"/>
      <c r="AZ70" s="11"/>
      <c r="BA70" s="160"/>
      <c r="BB70" s="159"/>
      <c r="BC70" s="11"/>
      <c r="BD70" s="160"/>
      <c r="BE70" s="159"/>
      <c r="BF70" s="11"/>
      <c r="BG70" s="160"/>
    </row>
    <row r="71" spans="1:60" x14ac:dyDescent="0.25">
      <c r="A71" s="347"/>
      <c r="B71" s="356" t="s">
        <v>119</v>
      </c>
      <c r="C71" s="62" t="s">
        <v>120</v>
      </c>
      <c r="D71" s="12"/>
      <c r="E71" s="12"/>
      <c r="F71" s="10"/>
      <c r="G71" s="11"/>
      <c r="H71" s="29"/>
      <c r="I71" s="230">
        <v>16070</v>
      </c>
      <c r="J71" s="11"/>
      <c r="K71" s="160"/>
      <c r="L71" s="107">
        <v>312930</v>
      </c>
      <c r="M71" s="11"/>
      <c r="N71" s="160"/>
      <c r="O71" s="107">
        <v>211264</v>
      </c>
      <c r="P71" s="11"/>
      <c r="Q71" s="160"/>
      <c r="R71" s="142">
        <f>(O71+L71+I71)/3</f>
        <v>180088</v>
      </c>
      <c r="S71" s="11"/>
      <c r="T71" s="160"/>
      <c r="U71">
        <v>252710</v>
      </c>
      <c r="V71" s="11"/>
      <c r="W71" s="160"/>
      <c r="X71" s="293">
        <v>189101</v>
      </c>
      <c r="Y71" s="11"/>
      <c r="Z71" s="160"/>
      <c r="AA71" s="302">
        <v>195134</v>
      </c>
      <c r="AB71" s="11"/>
      <c r="AC71" s="160"/>
      <c r="AD71" s="159"/>
      <c r="AE71" s="11"/>
      <c r="AF71" s="160"/>
      <c r="AG71" s="159">
        <v>182668</v>
      </c>
      <c r="AH71"/>
      <c r="AI71" s="160"/>
      <c r="AJ71" s="159"/>
      <c r="AK71" s="11"/>
      <c r="AL71" s="160"/>
      <c r="AM71" s="159"/>
      <c r="AN71" s="11"/>
      <c r="AO71" s="160"/>
      <c r="AP71" s="159"/>
      <c r="AQ71" s="11"/>
      <c r="AR71" s="160"/>
      <c r="AS71" s="159"/>
      <c r="AT71" s="11"/>
      <c r="AU71" s="160"/>
      <c r="AV71" s="159"/>
      <c r="AW71" s="11"/>
      <c r="AX71" s="160"/>
      <c r="AY71" s="159"/>
      <c r="AZ71" s="11"/>
      <c r="BA71" s="160"/>
      <c r="BB71" s="159"/>
      <c r="BC71" s="11"/>
      <c r="BD71" s="160"/>
      <c r="BE71" s="159"/>
      <c r="BF71" s="11"/>
      <c r="BG71" s="160"/>
      <c r="BH71" s="118" t="s">
        <v>649</v>
      </c>
    </row>
    <row r="72" spans="1:60" x14ac:dyDescent="0.25">
      <c r="A72" s="347"/>
      <c r="B72" s="357"/>
      <c r="C72" s="62" t="s">
        <v>121</v>
      </c>
      <c r="D72" s="12"/>
      <c r="E72" s="12"/>
      <c r="F72" s="10"/>
      <c r="G72" s="11"/>
      <c r="H72" s="29"/>
      <c r="I72" s="229">
        <v>12</v>
      </c>
      <c r="J72" s="11"/>
      <c r="K72" s="160"/>
      <c r="L72" s="117">
        <v>47</v>
      </c>
      <c r="M72" s="11"/>
      <c r="N72" s="160"/>
      <c r="O72" s="11">
        <v>45</v>
      </c>
      <c r="P72" s="11"/>
      <c r="Q72" s="160"/>
      <c r="R72" s="159">
        <f>O72</f>
        <v>45</v>
      </c>
      <c r="S72" s="11"/>
      <c r="T72" s="160"/>
      <c r="U72">
        <v>48</v>
      </c>
      <c r="V72" s="11"/>
      <c r="W72" s="160"/>
      <c r="X72">
        <v>44</v>
      </c>
      <c r="Y72" s="11"/>
      <c r="Z72" s="160"/>
      <c r="AA72" s="302">
        <v>45</v>
      </c>
      <c r="AB72" s="11"/>
      <c r="AC72" s="160"/>
      <c r="AD72" s="159"/>
      <c r="AE72" s="11"/>
      <c r="AF72" s="160"/>
      <c r="AG72" s="159">
        <v>50</v>
      </c>
      <c r="AH72" s="11"/>
      <c r="AI72" s="160"/>
      <c r="AJ72" s="159"/>
      <c r="AK72" s="11"/>
      <c r="AL72" s="160"/>
      <c r="AM72" s="159"/>
      <c r="AN72" s="11"/>
      <c r="AO72" s="160"/>
      <c r="AP72" s="159"/>
      <c r="AQ72" s="11"/>
      <c r="AR72" s="160"/>
      <c r="AS72" s="159"/>
      <c r="AT72" s="11"/>
      <c r="AU72" s="160"/>
      <c r="AV72" s="159"/>
      <c r="AW72" s="11"/>
      <c r="AX72" s="160"/>
      <c r="AY72" s="159"/>
      <c r="AZ72" s="11"/>
      <c r="BA72" s="160"/>
      <c r="BB72" s="159"/>
      <c r="BC72" s="11"/>
      <c r="BD72" s="160"/>
      <c r="BE72" s="159"/>
      <c r="BF72" s="11"/>
      <c r="BG72" s="160"/>
    </row>
    <row r="73" spans="1:60" ht="4.5" customHeight="1" x14ac:dyDescent="0.25">
      <c r="A73" s="347"/>
      <c r="D73" s="31"/>
      <c r="E73" s="31"/>
      <c r="F73" s="32"/>
      <c r="G73" s="30"/>
      <c r="H73" s="29"/>
      <c r="I73" s="159"/>
      <c r="J73" s="11"/>
      <c r="K73" s="160"/>
      <c r="L73" s="159"/>
      <c r="M73" s="11"/>
      <c r="N73" s="160"/>
      <c r="O73" s="159"/>
      <c r="P73" s="11"/>
      <c r="Q73" s="160"/>
      <c r="R73" s="159"/>
      <c r="S73" s="11"/>
      <c r="T73" s="160"/>
      <c r="U73" s="159"/>
      <c r="V73" s="11"/>
      <c r="W73" s="160"/>
      <c r="X73" s="159"/>
      <c r="Y73" s="11"/>
      <c r="Z73" s="160"/>
      <c r="AA73" s="159"/>
      <c r="AB73" s="11"/>
      <c r="AC73" s="160"/>
      <c r="AD73" s="159"/>
      <c r="AE73" s="11"/>
      <c r="AF73" s="160"/>
      <c r="AG73" s="159"/>
      <c r="AH73" s="11"/>
      <c r="AI73" s="160"/>
      <c r="AJ73" s="159"/>
      <c r="AK73" s="11"/>
      <c r="AL73" s="160"/>
      <c r="AM73" s="159"/>
      <c r="AN73" s="11"/>
      <c r="AO73" s="160"/>
      <c r="AP73" s="159"/>
      <c r="AQ73" s="11"/>
      <c r="AR73" s="160"/>
      <c r="AS73" s="159"/>
      <c r="AT73" s="11"/>
      <c r="AU73" s="160"/>
      <c r="AV73" s="159"/>
      <c r="AW73" s="11"/>
      <c r="AX73" s="160"/>
      <c r="AY73" s="159"/>
      <c r="AZ73" s="11"/>
      <c r="BA73" s="160"/>
      <c r="BB73" s="159"/>
      <c r="BC73" s="11"/>
      <c r="BD73" s="160"/>
      <c r="BE73" s="159"/>
      <c r="BF73" s="11"/>
      <c r="BG73" s="160"/>
    </row>
    <row r="74" spans="1:60" x14ac:dyDescent="0.25">
      <c r="A74" s="347"/>
      <c r="B74" s="355" t="s">
        <v>122</v>
      </c>
      <c r="C74" s="62" t="s">
        <v>123</v>
      </c>
      <c r="D74" s="12"/>
      <c r="E74" s="12"/>
      <c r="F74" s="10"/>
      <c r="G74" s="11"/>
      <c r="H74" s="29"/>
      <c r="I74" s="159"/>
      <c r="J74" s="11"/>
      <c r="K74" s="160"/>
      <c r="L74" s="159"/>
      <c r="M74" s="11"/>
      <c r="N74" s="160"/>
      <c r="O74" s="159"/>
      <c r="P74" s="11"/>
      <c r="Q74" s="160"/>
      <c r="R74" s="144" t="s">
        <v>194</v>
      </c>
      <c r="S74" s="11"/>
      <c r="T74" s="160"/>
      <c r="U74" s="159"/>
      <c r="V74" s="11"/>
      <c r="W74" s="160"/>
      <c r="X74" s="159"/>
      <c r="Y74" s="11"/>
      <c r="Z74" s="160"/>
      <c r="AA74" s="159"/>
      <c r="AB74" s="11"/>
      <c r="AC74" s="160"/>
      <c r="AD74" s="159"/>
      <c r="AE74" s="11"/>
      <c r="AF74" s="160"/>
      <c r="AG74" s="159"/>
      <c r="AH74" s="11"/>
      <c r="AI74" s="160"/>
      <c r="AJ74" s="159"/>
      <c r="AK74" s="11"/>
      <c r="AL74" s="160"/>
      <c r="AM74" s="159"/>
      <c r="AN74" s="11"/>
      <c r="AO74" s="160"/>
      <c r="AP74" s="159"/>
      <c r="AQ74" s="11"/>
      <c r="AR74" s="160"/>
      <c r="AS74" s="159"/>
      <c r="AT74" s="11"/>
      <c r="AU74" s="160"/>
      <c r="AV74" s="159"/>
      <c r="AW74" s="11"/>
      <c r="AX74" s="160"/>
      <c r="AY74" s="159"/>
      <c r="AZ74" s="11"/>
      <c r="BA74" s="160"/>
      <c r="BB74" s="159"/>
      <c r="BC74" s="11"/>
      <c r="BD74" s="160"/>
      <c r="BE74" s="159"/>
      <c r="BF74" s="11"/>
      <c r="BG74" s="160"/>
    </row>
    <row r="75" spans="1:60" x14ac:dyDescent="0.25">
      <c r="A75" s="347"/>
      <c r="B75" s="355"/>
      <c r="C75" s="62" t="s">
        <v>124</v>
      </c>
      <c r="D75" s="12"/>
      <c r="E75" s="12"/>
      <c r="F75" s="10"/>
      <c r="G75" s="11"/>
      <c r="H75" s="29"/>
      <c r="I75" s="159"/>
      <c r="J75" s="11"/>
      <c r="K75" s="160"/>
      <c r="L75" s="159"/>
      <c r="M75" s="11"/>
      <c r="N75" s="160"/>
      <c r="O75" s="159"/>
      <c r="P75" s="11"/>
      <c r="Q75" s="160"/>
      <c r="R75" s="144" t="s">
        <v>194</v>
      </c>
      <c r="S75" s="11"/>
      <c r="T75" s="160"/>
      <c r="U75" s="159"/>
      <c r="V75" s="11"/>
      <c r="W75" s="160"/>
      <c r="X75" s="159"/>
      <c r="Y75" s="11"/>
      <c r="Z75" s="160"/>
      <c r="AA75" s="159"/>
      <c r="AB75" s="11"/>
      <c r="AC75" s="160"/>
      <c r="AD75" s="159"/>
      <c r="AE75" s="11"/>
      <c r="AF75" s="160"/>
      <c r="AG75" s="159"/>
      <c r="AH75" s="11"/>
      <c r="AI75" s="160"/>
      <c r="AJ75" s="159"/>
      <c r="AK75" s="11"/>
      <c r="AL75" s="160"/>
      <c r="AM75" s="159"/>
      <c r="AN75" s="11"/>
      <c r="AO75" s="160"/>
      <c r="AP75" s="159"/>
      <c r="AQ75" s="11"/>
      <c r="AR75" s="160"/>
      <c r="AS75" s="159"/>
      <c r="AT75" s="11"/>
      <c r="AU75" s="160"/>
      <c r="AV75" s="159"/>
      <c r="AW75" s="11"/>
      <c r="AX75" s="160"/>
      <c r="AY75" s="159"/>
      <c r="AZ75" s="11"/>
      <c r="BA75" s="160"/>
      <c r="BB75" s="159"/>
      <c r="BC75" s="11"/>
      <c r="BD75" s="160"/>
      <c r="BE75" s="159"/>
      <c r="BF75" s="11"/>
      <c r="BG75" s="160"/>
    </row>
    <row r="76" spans="1:60" ht="5.25" customHeight="1" x14ac:dyDescent="0.25">
      <c r="D76" s="72"/>
      <c r="E76" s="72"/>
      <c r="F76" s="72"/>
      <c r="I76" s="184"/>
      <c r="J76" s="80"/>
      <c r="K76" s="185"/>
      <c r="L76" s="184"/>
      <c r="M76" s="80"/>
      <c r="N76" s="185"/>
      <c r="O76" s="184"/>
      <c r="P76" s="80"/>
      <c r="Q76" s="185"/>
      <c r="R76" s="184"/>
      <c r="S76" s="80"/>
      <c r="T76" s="185"/>
      <c r="U76" s="184"/>
      <c r="V76" s="80"/>
      <c r="W76" s="185"/>
      <c r="X76" s="184"/>
      <c r="Y76" s="80"/>
      <c r="Z76" s="185"/>
      <c r="AA76" s="184"/>
      <c r="AB76" s="80"/>
      <c r="AC76" s="185"/>
      <c r="AD76" s="184"/>
      <c r="AE76" s="80"/>
      <c r="AF76" s="185"/>
      <c r="AG76" s="184"/>
      <c r="AH76" s="80"/>
      <c r="AI76" s="185"/>
      <c r="AJ76" s="184"/>
      <c r="AK76" s="80"/>
      <c r="AL76" s="185"/>
      <c r="AM76" s="184"/>
      <c r="AN76" s="80"/>
      <c r="AO76" s="185"/>
      <c r="AP76" s="184"/>
      <c r="AQ76" s="80"/>
      <c r="AR76" s="185"/>
      <c r="AS76" s="184"/>
      <c r="AT76" s="80"/>
      <c r="AU76" s="185"/>
      <c r="AV76" s="184"/>
      <c r="AW76" s="80"/>
      <c r="AX76" s="185"/>
      <c r="AY76" s="184"/>
      <c r="AZ76" s="80"/>
      <c r="BA76" s="185"/>
      <c r="BB76" s="184"/>
      <c r="BC76" s="80"/>
      <c r="BD76" s="185"/>
      <c r="BE76" s="184"/>
      <c r="BF76" s="80"/>
      <c r="BG76" s="185"/>
    </row>
    <row r="77" spans="1:60" x14ac:dyDescent="0.25">
      <c r="A77" s="14" t="s">
        <v>11</v>
      </c>
      <c r="B77" s="14"/>
      <c r="C77" s="14"/>
      <c r="D77" s="9"/>
      <c r="E77" s="9"/>
      <c r="F77" s="9"/>
      <c r="G77" s="38"/>
      <c r="H77" s="34"/>
      <c r="I77" s="155"/>
      <c r="J77" s="82"/>
      <c r="K77" s="190"/>
      <c r="L77" s="155"/>
      <c r="M77" s="82"/>
      <c r="N77" s="190"/>
      <c r="O77" s="155"/>
      <c r="P77" s="82"/>
      <c r="Q77" s="190"/>
      <c r="R77" s="155"/>
      <c r="S77" s="82"/>
      <c r="T77" s="190"/>
      <c r="U77" s="155"/>
      <c r="V77" s="82"/>
      <c r="W77" s="190"/>
      <c r="X77" s="155"/>
      <c r="Y77" s="82"/>
      <c r="Z77" s="190"/>
      <c r="AA77" s="155"/>
      <c r="AB77" s="82"/>
      <c r="AC77" s="190"/>
      <c r="AD77" s="155"/>
      <c r="AE77" s="82"/>
      <c r="AF77" s="190"/>
      <c r="AG77" s="155"/>
      <c r="AH77" s="82"/>
      <c r="AI77" s="190"/>
      <c r="AJ77" s="155"/>
      <c r="AK77" s="82"/>
      <c r="AL77" s="190"/>
      <c r="AM77" s="155"/>
      <c r="AN77" s="82"/>
      <c r="AO77" s="190"/>
      <c r="AP77" s="155"/>
      <c r="AQ77" s="82"/>
      <c r="AR77" s="190"/>
      <c r="AS77" s="155"/>
      <c r="AT77" s="82"/>
      <c r="AU77" s="190"/>
      <c r="AV77" s="155"/>
      <c r="AW77" s="82"/>
      <c r="AX77" s="190"/>
      <c r="AY77" s="155"/>
      <c r="AZ77" s="82"/>
      <c r="BA77" s="190"/>
      <c r="BB77" s="155"/>
      <c r="BC77" s="82"/>
      <c r="BD77" s="190"/>
      <c r="BE77" s="155"/>
      <c r="BF77" s="82"/>
      <c r="BG77" s="190"/>
    </row>
    <row r="78" spans="1:60" ht="4.5" customHeight="1" x14ac:dyDescent="0.25">
      <c r="A78" s="18"/>
      <c r="B78" s="24"/>
      <c r="C78" s="20"/>
      <c r="D78" s="20"/>
      <c r="E78" s="20"/>
      <c r="F78" s="20"/>
      <c r="G78" s="21"/>
      <c r="H78" s="29"/>
      <c r="I78" s="180"/>
      <c r="J78" s="43"/>
      <c r="K78" s="181"/>
      <c r="L78" s="180"/>
      <c r="M78" s="43"/>
      <c r="N78" s="181"/>
      <c r="O78" s="180"/>
      <c r="P78" s="43"/>
      <c r="Q78" s="181"/>
      <c r="R78" s="180"/>
      <c r="S78" s="43"/>
      <c r="T78" s="181"/>
      <c r="U78" s="180"/>
      <c r="V78" s="43"/>
      <c r="W78" s="181"/>
      <c r="X78" s="180"/>
      <c r="Y78" s="43"/>
      <c r="Z78" s="181"/>
      <c r="AA78" s="180"/>
      <c r="AB78" s="43"/>
      <c r="AC78" s="181"/>
      <c r="AD78" s="180"/>
      <c r="AE78" s="43"/>
      <c r="AF78" s="181"/>
      <c r="AG78" s="180"/>
      <c r="AH78" s="43"/>
      <c r="AI78" s="181"/>
      <c r="AJ78" s="180"/>
      <c r="AK78" s="43"/>
      <c r="AL78" s="181"/>
      <c r="AM78" s="180"/>
      <c r="AN78" s="43"/>
      <c r="AO78" s="181"/>
      <c r="AP78" s="180"/>
      <c r="AQ78" s="43"/>
      <c r="AR78" s="181"/>
      <c r="AS78" s="180"/>
      <c r="AT78" s="43"/>
      <c r="AU78" s="181"/>
      <c r="AV78" s="180"/>
      <c r="AW78" s="43"/>
      <c r="AX78" s="181"/>
      <c r="AY78" s="180"/>
      <c r="AZ78" s="43"/>
      <c r="BA78" s="181"/>
      <c r="BB78" s="180"/>
      <c r="BC78" s="43"/>
      <c r="BD78" s="181"/>
      <c r="BE78" s="180"/>
      <c r="BF78" s="43"/>
      <c r="BG78" s="181"/>
    </row>
    <row r="79" spans="1:60" ht="24.75" customHeight="1" x14ac:dyDescent="0.25">
      <c r="A79" s="325" t="s">
        <v>57</v>
      </c>
      <c r="B79" s="325"/>
      <c r="C79" s="62" t="s">
        <v>44</v>
      </c>
      <c r="D79" s="10"/>
      <c r="E79" s="10"/>
      <c r="F79" s="10"/>
      <c r="G79" s="11"/>
      <c r="H79" s="29"/>
      <c r="I79" s="159"/>
      <c r="J79" s="11"/>
      <c r="K79" s="160"/>
      <c r="L79" s="159"/>
      <c r="M79" s="11"/>
      <c r="N79" s="160"/>
      <c r="O79" s="159"/>
      <c r="P79" s="11"/>
      <c r="Q79" s="160"/>
      <c r="R79" s="144" t="s">
        <v>194</v>
      </c>
      <c r="S79" s="11"/>
      <c r="T79" s="160"/>
      <c r="U79" s="159">
        <v>6</v>
      </c>
      <c r="V79" s="11"/>
      <c r="W79" s="160"/>
      <c r="X79" s="159">
        <v>4</v>
      </c>
      <c r="Y79" s="11"/>
      <c r="Z79" s="160"/>
      <c r="AA79" s="159"/>
      <c r="AB79" s="11"/>
      <c r="AC79" s="160"/>
      <c r="AD79" s="159"/>
      <c r="AE79" s="11"/>
      <c r="AF79" s="160"/>
      <c r="AG79" s="159"/>
      <c r="AH79" s="11">
        <v>1</v>
      </c>
      <c r="AI79" s="160"/>
      <c r="AJ79" s="159"/>
      <c r="AK79" s="11"/>
      <c r="AL79" s="160"/>
      <c r="AM79" s="159"/>
      <c r="AN79" s="11"/>
      <c r="AO79" s="160"/>
      <c r="AP79" s="159"/>
      <c r="AQ79" s="11"/>
      <c r="AR79" s="160"/>
      <c r="AS79" s="159"/>
      <c r="AT79" s="11"/>
      <c r="AU79" s="160"/>
      <c r="AV79" s="159"/>
      <c r="AW79" s="11"/>
      <c r="AX79" s="160"/>
      <c r="AY79" s="159"/>
      <c r="AZ79" s="11"/>
      <c r="BA79" s="160"/>
      <c r="BB79" s="159"/>
      <c r="BC79" s="11"/>
      <c r="BD79" s="160"/>
      <c r="BE79" s="159"/>
      <c r="BF79" s="11"/>
      <c r="BG79" s="160"/>
    </row>
    <row r="80" spans="1:60" ht="24" x14ac:dyDescent="0.25">
      <c r="A80" s="325"/>
      <c r="B80" s="325"/>
      <c r="C80" s="62" t="s">
        <v>43</v>
      </c>
      <c r="D80" s="10"/>
      <c r="E80" s="10"/>
      <c r="F80" s="10"/>
      <c r="G80" s="11"/>
      <c r="H80" s="29"/>
      <c r="I80" s="159"/>
      <c r="J80" s="11"/>
      <c r="K80" s="160"/>
      <c r="L80" s="159"/>
      <c r="M80" s="11"/>
      <c r="N80" s="160"/>
      <c r="O80" s="159"/>
      <c r="P80" s="11"/>
      <c r="Q80" s="160"/>
      <c r="R80" s="144" t="s">
        <v>194</v>
      </c>
      <c r="S80" s="11"/>
      <c r="T80" s="160"/>
      <c r="U80" s="159">
        <v>0</v>
      </c>
      <c r="V80" s="11"/>
      <c r="W80" s="160"/>
      <c r="X80" s="159"/>
      <c r="Y80" s="11"/>
      <c r="Z80" s="160"/>
      <c r="AA80" s="159"/>
      <c r="AB80" s="11"/>
      <c r="AC80" s="160"/>
      <c r="AD80" s="159"/>
      <c r="AE80" s="11"/>
      <c r="AF80" s="160"/>
      <c r="AG80" s="159"/>
      <c r="AH80" s="11"/>
      <c r="AI80" s="160"/>
      <c r="AJ80" s="159"/>
      <c r="AK80" s="11"/>
      <c r="AL80" s="160"/>
      <c r="AM80" s="159"/>
      <c r="AN80" s="11"/>
      <c r="AO80" s="160"/>
      <c r="AP80" s="159"/>
      <c r="AQ80" s="11"/>
      <c r="AR80" s="160"/>
      <c r="AS80" s="159"/>
      <c r="AT80" s="11"/>
      <c r="AU80" s="160"/>
      <c r="AV80" s="159"/>
      <c r="AW80" s="11"/>
      <c r="AX80" s="160"/>
      <c r="AY80" s="159"/>
      <c r="AZ80" s="11"/>
      <c r="BA80" s="160"/>
      <c r="BB80" s="159"/>
      <c r="BC80" s="11"/>
      <c r="BD80" s="160"/>
      <c r="BE80" s="159"/>
      <c r="BF80" s="11"/>
      <c r="BG80" s="160"/>
    </row>
    <row r="81" spans="1:59" ht="4.5" customHeight="1" x14ac:dyDescent="0.25">
      <c r="D81" s="72"/>
      <c r="E81" s="72"/>
      <c r="F81" s="72"/>
      <c r="I81" s="184"/>
      <c r="J81" s="80"/>
      <c r="K81" s="185"/>
      <c r="L81" s="184"/>
      <c r="M81" s="80"/>
      <c r="N81" s="185"/>
      <c r="O81" s="184"/>
      <c r="P81" s="80"/>
      <c r="Q81" s="185"/>
      <c r="R81" s="184"/>
      <c r="S81" s="80"/>
      <c r="T81" s="185"/>
      <c r="U81" s="184"/>
      <c r="V81" s="80"/>
      <c r="W81" s="185"/>
      <c r="X81" s="184"/>
      <c r="Y81" s="80"/>
      <c r="Z81" s="185"/>
      <c r="AA81" s="184"/>
      <c r="AB81" s="80"/>
      <c r="AC81" s="185"/>
      <c r="AD81" s="184"/>
      <c r="AE81" s="80"/>
      <c r="AF81" s="185"/>
      <c r="AG81" s="184"/>
      <c r="AH81" s="80"/>
      <c r="AI81" s="185"/>
      <c r="AJ81" s="184"/>
      <c r="AK81" s="80"/>
      <c r="AL81" s="185"/>
      <c r="AM81" s="184"/>
      <c r="AN81" s="80"/>
      <c r="AO81" s="185"/>
      <c r="AP81" s="184"/>
      <c r="AQ81" s="80"/>
      <c r="AR81" s="185"/>
      <c r="AS81" s="184"/>
      <c r="AT81" s="80"/>
      <c r="AU81" s="185"/>
      <c r="AV81" s="184"/>
      <c r="AW81" s="80"/>
      <c r="AX81" s="185"/>
      <c r="AY81" s="184"/>
      <c r="AZ81" s="80"/>
      <c r="BA81" s="185"/>
      <c r="BB81" s="184"/>
      <c r="BC81" s="80"/>
      <c r="BD81" s="185"/>
      <c r="BE81" s="184"/>
      <c r="BF81" s="80"/>
      <c r="BG81" s="185"/>
    </row>
    <row r="82" spans="1:59" x14ac:dyDescent="0.25">
      <c r="A82" s="14" t="s">
        <v>20</v>
      </c>
      <c r="B82" s="14"/>
      <c r="C82" s="14"/>
      <c r="D82" s="9"/>
      <c r="E82" s="9"/>
      <c r="F82" s="9"/>
      <c r="G82" s="38"/>
      <c r="H82" s="34"/>
      <c r="I82" s="155"/>
      <c r="J82" s="82"/>
      <c r="K82" s="190"/>
      <c r="L82" s="155"/>
      <c r="M82" s="82"/>
      <c r="N82" s="190"/>
      <c r="O82" s="155"/>
      <c r="P82" s="82"/>
      <c r="Q82" s="190"/>
      <c r="R82" s="155"/>
      <c r="S82" s="82"/>
      <c r="T82" s="190"/>
      <c r="U82" s="155"/>
      <c r="V82" s="82"/>
      <c r="W82" s="190"/>
      <c r="X82" s="155"/>
      <c r="Y82" s="82"/>
      <c r="Z82" s="190"/>
      <c r="AA82" s="155"/>
      <c r="AB82" s="82"/>
      <c r="AC82" s="190"/>
      <c r="AD82" s="155"/>
      <c r="AE82" s="82"/>
      <c r="AF82" s="190"/>
      <c r="AG82" s="155"/>
      <c r="AH82" s="82"/>
      <c r="AI82" s="190"/>
      <c r="AJ82" s="155"/>
      <c r="AK82" s="82"/>
      <c r="AL82" s="190"/>
      <c r="AM82" s="155"/>
      <c r="AN82" s="82"/>
      <c r="AO82" s="190"/>
      <c r="AP82" s="155"/>
      <c r="AQ82" s="82"/>
      <c r="AR82" s="190"/>
      <c r="AS82" s="155"/>
      <c r="AT82" s="82"/>
      <c r="AU82" s="190"/>
      <c r="AV82" s="155"/>
      <c r="AW82" s="82"/>
      <c r="AX82" s="190"/>
      <c r="AY82" s="155"/>
      <c r="AZ82" s="82"/>
      <c r="BA82" s="190"/>
      <c r="BB82" s="155"/>
      <c r="BC82" s="82"/>
      <c r="BD82" s="190"/>
      <c r="BE82" s="155"/>
      <c r="BF82" s="82"/>
      <c r="BG82" s="190"/>
    </row>
    <row r="83" spans="1:59" ht="4.5" customHeight="1" x14ac:dyDescent="0.25">
      <c r="A83" s="31"/>
      <c r="B83" s="31"/>
      <c r="C83" s="32"/>
      <c r="D83" s="73"/>
      <c r="E83" s="73"/>
      <c r="F83" s="73"/>
      <c r="I83" s="184"/>
      <c r="J83" s="80"/>
      <c r="K83" s="185"/>
      <c r="L83" s="184"/>
      <c r="M83" s="80"/>
      <c r="N83" s="185"/>
      <c r="O83" s="184"/>
      <c r="P83" s="80"/>
      <c r="Q83" s="185"/>
      <c r="R83" s="184"/>
      <c r="S83" s="80"/>
      <c r="T83" s="185"/>
      <c r="U83" s="184"/>
      <c r="V83" s="80"/>
      <c r="W83" s="185"/>
      <c r="X83" s="184"/>
      <c r="Y83" s="80"/>
      <c r="Z83" s="185"/>
      <c r="AA83" s="184"/>
      <c r="AB83" s="80"/>
      <c r="AC83" s="185"/>
      <c r="AD83" s="184"/>
      <c r="AE83" s="80"/>
      <c r="AF83" s="185"/>
      <c r="AG83" s="184"/>
      <c r="AH83" s="80"/>
      <c r="AI83" s="185"/>
      <c r="AJ83" s="184"/>
      <c r="AK83" s="80"/>
      <c r="AL83" s="185"/>
      <c r="AM83" s="184"/>
      <c r="AN83" s="80"/>
      <c r="AO83" s="185"/>
      <c r="AP83" s="184"/>
      <c r="AQ83" s="80"/>
      <c r="AR83" s="185"/>
      <c r="AS83" s="184"/>
      <c r="AT83" s="80"/>
      <c r="AU83" s="185"/>
      <c r="AV83" s="184"/>
      <c r="AW83" s="80"/>
      <c r="AX83" s="185"/>
      <c r="AY83" s="184"/>
      <c r="AZ83" s="80"/>
      <c r="BA83" s="185"/>
      <c r="BB83" s="184"/>
      <c r="BC83" s="80"/>
      <c r="BD83" s="185"/>
      <c r="BE83" s="184"/>
      <c r="BF83" s="80"/>
      <c r="BG83" s="185"/>
    </row>
    <row r="84" spans="1:59" x14ac:dyDescent="0.25">
      <c r="A84" s="327" t="s">
        <v>173</v>
      </c>
      <c r="B84" s="328"/>
      <c r="C84" s="62" t="s">
        <v>157</v>
      </c>
      <c r="D84" s="10"/>
      <c r="E84" s="10"/>
      <c r="F84" s="10"/>
      <c r="G84" s="11"/>
      <c r="H84" s="29"/>
      <c r="I84" s="159" t="s">
        <v>194</v>
      </c>
      <c r="J84" s="11"/>
      <c r="K84" s="160"/>
      <c r="L84" s="159" t="s">
        <v>194</v>
      </c>
      <c r="M84" s="11"/>
      <c r="N84" s="160"/>
      <c r="O84" s="159"/>
      <c r="P84" s="11"/>
      <c r="Q84" s="160"/>
      <c r="R84" s="144" t="s">
        <v>194</v>
      </c>
      <c r="S84" s="11"/>
      <c r="T84" s="160"/>
      <c r="U84" s="159"/>
      <c r="V84" s="11"/>
      <c r="W84" s="160"/>
      <c r="X84" s="159"/>
      <c r="Y84" s="11"/>
      <c r="Z84" s="160"/>
      <c r="AA84" s="159"/>
      <c r="AB84" s="11"/>
      <c r="AC84" s="160"/>
      <c r="AD84" s="159"/>
      <c r="AE84" s="11"/>
      <c r="AF84" s="160"/>
      <c r="AG84" s="159"/>
      <c r="AH84" s="11"/>
      <c r="AI84" s="160"/>
      <c r="AJ84" s="159"/>
      <c r="AK84" s="11"/>
      <c r="AL84" s="160"/>
      <c r="AM84" s="159"/>
      <c r="AN84" s="11"/>
      <c r="AO84" s="160"/>
      <c r="AP84" s="159"/>
      <c r="AQ84" s="11"/>
      <c r="AR84" s="160"/>
      <c r="AS84" s="159"/>
      <c r="AT84" s="11"/>
      <c r="AU84" s="160"/>
      <c r="AV84" s="159"/>
      <c r="AW84" s="11"/>
      <c r="AX84" s="160"/>
      <c r="AY84" s="159"/>
      <c r="AZ84" s="11"/>
      <c r="BA84" s="160"/>
      <c r="BB84" s="159"/>
      <c r="BC84" s="11"/>
      <c r="BD84" s="160"/>
      <c r="BE84" s="159"/>
      <c r="BF84" s="11"/>
      <c r="BG84" s="160"/>
    </row>
    <row r="85" spans="1:59" x14ac:dyDescent="0.25">
      <c r="A85" s="329"/>
      <c r="B85" s="330"/>
      <c r="C85" s="62" t="s">
        <v>130</v>
      </c>
      <c r="D85" s="10"/>
      <c r="E85" s="10"/>
      <c r="F85" s="10"/>
      <c r="G85" s="11"/>
      <c r="H85" s="29"/>
      <c r="I85" s="159" t="s">
        <v>194</v>
      </c>
      <c r="J85" s="11"/>
      <c r="K85" s="160"/>
      <c r="L85" s="159" t="s">
        <v>194</v>
      </c>
      <c r="M85" s="11"/>
      <c r="N85" s="160"/>
      <c r="O85" s="159"/>
      <c r="P85" s="11"/>
      <c r="Q85" s="160"/>
      <c r="R85" s="144" t="s">
        <v>194</v>
      </c>
      <c r="S85" s="11"/>
      <c r="T85" s="160"/>
      <c r="U85" s="159"/>
      <c r="V85" s="11"/>
      <c r="W85" s="160"/>
      <c r="X85" s="159"/>
      <c r="Y85" s="11"/>
      <c r="Z85" s="160"/>
      <c r="AA85" s="159"/>
      <c r="AB85" s="11"/>
      <c r="AC85" s="160"/>
      <c r="AD85" s="159"/>
      <c r="AE85" s="11"/>
      <c r="AF85" s="160"/>
      <c r="AG85" s="159"/>
      <c r="AH85" s="11"/>
      <c r="AI85" s="160"/>
      <c r="AJ85" s="159"/>
      <c r="AK85" s="11"/>
      <c r="AL85" s="160"/>
      <c r="AM85" s="159"/>
      <c r="AN85" s="11"/>
      <c r="AO85" s="160"/>
      <c r="AP85" s="159"/>
      <c r="AQ85" s="11"/>
      <c r="AR85" s="160"/>
      <c r="AS85" s="159"/>
      <c r="AT85" s="11"/>
      <c r="AU85" s="160"/>
      <c r="AV85" s="159"/>
      <c r="AW85" s="11"/>
      <c r="AX85" s="160"/>
      <c r="AY85" s="159"/>
      <c r="AZ85" s="11"/>
      <c r="BA85" s="160"/>
      <c r="BB85" s="159"/>
      <c r="BC85" s="11"/>
      <c r="BD85" s="160"/>
      <c r="BE85" s="159"/>
      <c r="BF85" s="11"/>
      <c r="BG85" s="160"/>
    </row>
    <row r="86" spans="1:59" x14ac:dyDescent="0.25">
      <c r="A86" s="331"/>
      <c r="B86" s="332"/>
      <c r="C86" s="62" t="s">
        <v>131</v>
      </c>
      <c r="D86" s="10"/>
      <c r="E86" s="10"/>
      <c r="F86" s="10"/>
      <c r="G86" s="11"/>
      <c r="H86" s="29"/>
      <c r="I86" s="142">
        <v>293855</v>
      </c>
      <c r="J86" s="107"/>
      <c r="K86" s="143"/>
      <c r="L86" s="142">
        <v>306726</v>
      </c>
      <c r="M86" s="107"/>
      <c r="N86" s="143"/>
      <c r="O86" s="159" t="s">
        <v>194</v>
      </c>
      <c r="P86" s="107"/>
      <c r="Q86" s="143"/>
      <c r="R86" s="142">
        <f>L86</f>
        <v>306726</v>
      </c>
      <c r="S86" s="107"/>
      <c r="T86" s="143"/>
      <c r="U86" s="142"/>
      <c r="V86" s="107"/>
      <c r="W86" s="143"/>
      <c r="X86" s="142"/>
      <c r="Y86" s="107"/>
      <c r="Z86" s="143"/>
      <c r="AA86" s="142"/>
      <c r="AB86" s="107"/>
      <c r="AC86" s="143"/>
      <c r="AD86" s="142"/>
      <c r="AE86" s="107"/>
      <c r="AF86" s="143"/>
      <c r="AG86" s="142"/>
      <c r="AH86" s="107"/>
      <c r="AI86" s="143"/>
      <c r="AJ86" s="142"/>
      <c r="AK86" s="107"/>
      <c r="AL86" s="143"/>
      <c r="AM86" s="142"/>
      <c r="AN86" s="107"/>
      <c r="AO86" s="143"/>
      <c r="AP86" s="142"/>
      <c r="AQ86" s="107"/>
      <c r="AR86" s="143"/>
      <c r="AS86" s="142"/>
      <c r="AT86" s="107"/>
      <c r="AU86" s="143"/>
      <c r="AV86" s="142"/>
      <c r="AW86" s="107"/>
      <c r="AX86" s="143"/>
      <c r="AY86" s="142"/>
      <c r="AZ86" s="107"/>
      <c r="BA86" s="143"/>
      <c r="BB86" s="142"/>
      <c r="BC86" s="107"/>
      <c r="BD86" s="143"/>
      <c r="BE86" s="142"/>
      <c r="BF86" s="107"/>
      <c r="BG86" s="143"/>
    </row>
    <row r="87" spans="1:59" ht="3.75" customHeight="1" x14ac:dyDescent="0.25">
      <c r="D87" s="73"/>
      <c r="E87" s="73"/>
      <c r="F87" s="73"/>
      <c r="I87" s="184"/>
      <c r="J87" s="80"/>
      <c r="K87" s="185"/>
      <c r="L87" s="184"/>
      <c r="M87" s="80"/>
      <c r="N87" s="185"/>
      <c r="O87" s="184"/>
      <c r="P87" s="80"/>
      <c r="Q87" s="185"/>
      <c r="R87" s="184"/>
      <c r="S87" s="80"/>
      <c r="T87" s="185"/>
      <c r="U87" s="184"/>
      <c r="V87" s="80"/>
      <c r="W87" s="185"/>
      <c r="X87" s="184"/>
      <c r="Y87" s="80"/>
      <c r="Z87" s="185"/>
      <c r="AA87" s="184"/>
      <c r="AB87" s="80"/>
      <c r="AC87" s="185"/>
      <c r="AD87" s="184"/>
      <c r="AE87" s="80"/>
      <c r="AF87" s="185"/>
      <c r="AG87" s="184"/>
      <c r="AH87" s="80"/>
      <c r="AI87" s="185"/>
      <c r="AJ87" s="184"/>
      <c r="AK87" s="80"/>
      <c r="AL87" s="185"/>
      <c r="AM87" s="184"/>
      <c r="AN87" s="80"/>
      <c r="AO87" s="185"/>
      <c r="AP87" s="184"/>
      <c r="AQ87" s="80"/>
      <c r="AR87" s="185"/>
      <c r="AS87" s="184"/>
      <c r="AT87" s="80"/>
      <c r="AU87" s="185"/>
      <c r="AV87" s="184"/>
      <c r="AW87" s="80"/>
      <c r="AX87" s="185"/>
      <c r="AY87" s="184"/>
      <c r="AZ87" s="80"/>
      <c r="BA87" s="185"/>
      <c r="BB87" s="184"/>
      <c r="BC87" s="80"/>
      <c r="BD87" s="185"/>
      <c r="BE87" s="184"/>
      <c r="BF87" s="80"/>
      <c r="BG87" s="185"/>
    </row>
    <row r="88" spans="1:59" x14ac:dyDescent="0.2">
      <c r="A88" s="360" t="s">
        <v>132</v>
      </c>
      <c r="B88" s="360"/>
      <c r="C88" s="62" t="s">
        <v>133</v>
      </c>
      <c r="D88" s="10"/>
      <c r="E88" s="10"/>
      <c r="F88" s="10"/>
      <c r="G88" s="11"/>
      <c r="H88" s="29"/>
      <c r="I88" s="193">
        <v>5058</v>
      </c>
      <c r="J88" s="106"/>
      <c r="K88" s="194"/>
      <c r="L88" s="193">
        <v>9286</v>
      </c>
      <c r="M88" s="106"/>
      <c r="N88" s="194"/>
      <c r="O88" s="193"/>
      <c r="P88" s="106"/>
      <c r="Q88" s="194"/>
      <c r="R88" s="144" t="s">
        <v>194</v>
      </c>
      <c r="S88" s="106"/>
      <c r="T88" s="194"/>
      <c r="U88" s="193"/>
      <c r="V88" s="106"/>
      <c r="W88" s="194"/>
      <c r="X88" s="193"/>
      <c r="Y88" s="106"/>
      <c r="Z88" s="194"/>
      <c r="AA88" s="193">
        <v>0</v>
      </c>
      <c r="AB88" s="106"/>
      <c r="AC88" s="194"/>
      <c r="AD88" s="193"/>
      <c r="AE88" s="106"/>
      <c r="AF88" s="194"/>
      <c r="AG88" s="193"/>
      <c r="AH88" s="106"/>
      <c r="AI88" s="194"/>
      <c r="AJ88" s="193"/>
      <c r="AK88" s="106"/>
      <c r="AL88" s="194"/>
      <c r="AM88" s="193"/>
      <c r="AN88" s="106"/>
      <c r="AO88" s="194"/>
      <c r="AP88" s="193"/>
      <c r="AQ88" s="106"/>
      <c r="AR88" s="194"/>
      <c r="AS88" s="193"/>
      <c r="AT88" s="106"/>
      <c r="AU88" s="194"/>
      <c r="AV88" s="193"/>
      <c r="AW88" s="106"/>
      <c r="AX88" s="194"/>
      <c r="AY88" s="193"/>
      <c r="AZ88" s="106"/>
      <c r="BA88" s="194"/>
      <c r="BB88" s="193"/>
      <c r="BC88" s="106"/>
      <c r="BD88" s="194"/>
      <c r="BE88" s="193"/>
      <c r="BF88" s="106"/>
      <c r="BG88" s="194"/>
    </row>
    <row r="89" spans="1:59" x14ac:dyDescent="0.25">
      <c r="A89" s="360"/>
      <c r="B89" s="360"/>
      <c r="C89" s="62" t="s">
        <v>134</v>
      </c>
      <c r="D89" s="10"/>
      <c r="E89" s="10"/>
      <c r="F89" s="10"/>
      <c r="G89" s="11"/>
      <c r="H89" s="29"/>
      <c r="I89" s="159" t="s">
        <v>194</v>
      </c>
      <c r="J89" s="11"/>
      <c r="K89" s="160"/>
      <c r="L89" s="159" t="s">
        <v>194</v>
      </c>
      <c r="M89" s="11"/>
      <c r="N89" s="160"/>
      <c r="O89" s="159"/>
      <c r="P89" s="11"/>
      <c r="Q89" s="160"/>
      <c r="R89" s="144" t="s">
        <v>194</v>
      </c>
      <c r="S89" s="11"/>
      <c r="T89" s="160"/>
      <c r="U89" s="159"/>
      <c r="V89" s="11"/>
      <c r="W89" s="160"/>
      <c r="X89" s="159"/>
      <c r="Y89" s="11"/>
      <c r="Z89" s="160"/>
      <c r="AA89" s="159"/>
      <c r="AB89" s="11"/>
      <c r="AC89" s="160"/>
      <c r="AD89" s="159"/>
      <c r="AE89" s="11"/>
      <c r="AF89" s="160"/>
      <c r="AG89" s="159"/>
      <c r="AH89" s="11"/>
      <c r="AI89" s="160"/>
      <c r="AJ89" s="159"/>
      <c r="AK89" s="11"/>
      <c r="AL89" s="160"/>
      <c r="AM89" s="159"/>
      <c r="AN89" s="11"/>
      <c r="AO89" s="160"/>
      <c r="AP89" s="159"/>
      <c r="AQ89" s="11"/>
      <c r="AR89" s="160"/>
      <c r="AS89" s="159"/>
      <c r="AT89" s="11"/>
      <c r="AU89" s="160"/>
      <c r="AV89" s="159"/>
      <c r="AW89" s="11"/>
      <c r="AX89" s="160"/>
      <c r="AY89" s="159"/>
      <c r="AZ89" s="11"/>
      <c r="BA89" s="160"/>
      <c r="BB89" s="159"/>
      <c r="BC89" s="11"/>
      <c r="BD89" s="160"/>
      <c r="BE89" s="159"/>
      <c r="BF89" s="11"/>
      <c r="BG89" s="160"/>
    </row>
    <row r="90" spans="1:59" x14ac:dyDescent="0.25">
      <c r="A90" s="360"/>
      <c r="B90" s="360"/>
      <c r="C90" s="62" t="s">
        <v>135</v>
      </c>
      <c r="D90" s="10"/>
      <c r="E90" s="10"/>
      <c r="F90" s="10"/>
      <c r="G90" s="11"/>
      <c r="H90" s="29"/>
      <c r="I90" s="159" t="s">
        <v>194</v>
      </c>
      <c r="J90" s="11"/>
      <c r="K90" s="160"/>
      <c r="L90" s="159" t="s">
        <v>194</v>
      </c>
      <c r="M90" s="11"/>
      <c r="N90" s="160"/>
      <c r="O90" s="159"/>
      <c r="P90" s="11"/>
      <c r="Q90" s="160"/>
      <c r="R90" s="144" t="s">
        <v>194</v>
      </c>
      <c r="S90" s="11"/>
      <c r="T90" s="160"/>
      <c r="U90" s="159"/>
      <c r="V90" s="11"/>
      <c r="W90" s="160"/>
      <c r="X90" s="159"/>
      <c r="Y90" s="11"/>
      <c r="Z90" s="160"/>
      <c r="AA90" s="159"/>
      <c r="AB90" s="11"/>
      <c r="AC90" s="160"/>
      <c r="AD90" s="159"/>
      <c r="AE90" s="11"/>
      <c r="AF90" s="160"/>
      <c r="AG90" s="159"/>
      <c r="AH90" s="11"/>
      <c r="AI90" s="160"/>
      <c r="AJ90" s="159"/>
      <c r="AK90" s="11"/>
      <c r="AL90" s="160"/>
      <c r="AM90" s="159"/>
      <c r="AN90" s="11"/>
      <c r="AO90" s="160"/>
      <c r="AP90" s="159"/>
      <c r="AQ90" s="11"/>
      <c r="AR90" s="160"/>
      <c r="AS90" s="159"/>
      <c r="AT90" s="11"/>
      <c r="AU90" s="160"/>
      <c r="AV90" s="159"/>
      <c r="AW90" s="11"/>
      <c r="AX90" s="160"/>
      <c r="AY90" s="159"/>
      <c r="AZ90" s="11"/>
      <c r="BA90" s="160"/>
      <c r="BB90" s="159"/>
      <c r="BC90" s="11"/>
      <c r="BD90" s="160"/>
      <c r="BE90" s="159"/>
      <c r="BF90" s="11"/>
      <c r="BG90" s="160"/>
    </row>
    <row r="91" spans="1:59" ht="3.75" customHeight="1" x14ac:dyDescent="0.25">
      <c r="D91" s="73"/>
      <c r="E91" s="73"/>
      <c r="F91" s="73"/>
      <c r="I91" s="184"/>
      <c r="J91" s="80"/>
      <c r="K91" s="185"/>
      <c r="L91" s="184"/>
      <c r="M91" s="80"/>
      <c r="N91" s="185"/>
      <c r="O91" s="184"/>
      <c r="P91" s="80"/>
      <c r="Q91" s="185"/>
      <c r="R91" s="184"/>
      <c r="S91" s="80"/>
      <c r="T91" s="185"/>
      <c r="U91" s="184"/>
      <c r="V91" s="80"/>
      <c r="W91" s="185"/>
      <c r="X91" s="184"/>
      <c r="Y91" s="80"/>
      <c r="Z91" s="185"/>
      <c r="AA91" s="184"/>
      <c r="AB91" s="80"/>
      <c r="AC91" s="185"/>
      <c r="AD91" s="184"/>
      <c r="AE91" s="80"/>
      <c r="AF91" s="185"/>
      <c r="AG91" s="184"/>
      <c r="AH91" s="80"/>
      <c r="AI91" s="185"/>
      <c r="AJ91" s="184"/>
      <c r="AK91" s="80"/>
      <c r="AL91" s="185"/>
      <c r="AM91" s="184"/>
      <c r="AN91" s="80"/>
      <c r="AO91" s="185"/>
      <c r="AP91" s="184"/>
      <c r="AQ91" s="80"/>
      <c r="AR91" s="185"/>
      <c r="AS91" s="184"/>
      <c r="AT91" s="80"/>
      <c r="AU91" s="185"/>
      <c r="AV91" s="184"/>
      <c r="AW91" s="80"/>
      <c r="AX91" s="185"/>
      <c r="AY91" s="184"/>
      <c r="AZ91" s="80"/>
      <c r="BA91" s="185"/>
      <c r="BB91" s="184"/>
      <c r="BC91" s="80"/>
      <c r="BD91" s="185"/>
      <c r="BE91" s="184"/>
      <c r="BF91" s="80"/>
      <c r="BG91" s="185"/>
    </row>
    <row r="92" spans="1:59" ht="15.75" thickBot="1" x14ac:dyDescent="0.3">
      <c r="A92" s="367" t="s">
        <v>158</v>
      </c>
      <c r="B92" s="367"/>
      <c r="C92" s="28" t="s">
        <v>159</v>
      </c>
      <c r="D92" s="10"/>
      <c r="E92" s="10"/>
      <c r="F92" s="10"/>
      <c r="G92" s="11"/>
      <c r="H92" s="29"/>
      <c r="I92" s="172" t="s">
        <v>194</v>
      </c>
      <c r="J92" s="173"/>
      <c r="K92" s="174"/>
      <c r="L92" s="172" t="s">
        <v>194</v>
      </c>
      <c r="M92" s="173"/>
      <c r="N92" s="174"/>
      <c r="O92" s="172"/>
      <c r="P92" s="173"/>
      <c r="Q92" s="174"/>
      <c r="R92" s="209" t="s">
        <v>194</v>
      </c>
      <c r="S92" s="173"/>
      <c r="T92" s="174"/>
      <c r="U92" s="172"/>
      <c r="V92" s="173"/>
      <c r="W92" s="174"/>
      <c r="X92" s="172"/>
      <c r="Y92" s="173"/>
      <c r="Z92" s="174"/>
      <c r="AA92" s="172"/>
      <c r="AB92" s="173"/>
      <c r="AC92" s="174"/>
      <c r="AD92" s="172"/>
      <c r="AE92" s="173"/>
      <c r="AF92" s="174"/>
      <c r="AG92" s="172"/>
      <c r="AH92" s="173"/>
      <c r="AI92" s="174"/>
      <c r="AJ92" s="172"/>
      <c r="AK92" s="173"/>
      <c r="AL92" s="174"/>
      <c r="AM92" s="172"/>
      <c r="AN92" s="173"/>
      <c r="AO92" s="174"/>
      <c r="AP92" s="172"/>
      <c r="AQ92" s="173"/>
      <c r="AR92" s="174"/>
      <c r="AS92" s="172"/>
      <c r="AT92" s="173"/>
      <c r="AU92" s="174"/>
      <c r="AV92" s="172"/>
      <c r="AW92" s="173"/>
      <c r="AX92" s="174"/>
      <c r="AY92" s="172"/>
      <c r="AZ92" s="173"/>
      <c r="BA92" s="174"/>
      <c r="BB92" s="172"/>
      <c r="BC92" s="173"/>
      <c r="BD92" s="174"/>
      <c r="BE92" s="172"/>
      <c r="BF92" s="173"/>
      <c r="BG92" s="174"/>
    </row>
    <row r="96" spans="1:59" x14ac:dyDescent="0.25">
      <c r="I96" s="63">
        <f>84316</f>
        <v>84316</v>
      </c>
      <c r="L96" s="63">
        <v>109440</v>
      </c>
      <c r="M96" s="63">
        <f>I96+L96</f>
        <v>193756</v>
      </c>
      <c r="N96" s="63">
        <f>M96*4%</f>
        <v>7750.24</v>
      </c>
      <c r="O96" s="63">
        <f>M96-N96</f>
        <v>186005.76000000001</v>
      </c>
    </row>
    <row r="97" spans="9:15" x14ac:dyDescent="0.25">
      <c r="I97" s="63">
        <v>82705</v>
      </c>
      <c r="L97" s="63">
        <f>108240-4320</f>
        <v>103920</v>
      </c>
      <c r="M97" s="63">
        <f>I97+L97</f>
        <v>186625</v>
      </c>
      <c r="N97" s="63">
        <f>M97*4%</f>
        <v>7465</v>
      </c>
      <c r="O97" s="63">
        <f>M97-N97</f>
        <v>179160</v>
      </c>
    </row>
    <row r="98" spans="9:15" x14ac:dyDescent="0.25">
      <c r="N98" s="63" t="s">
        <v>191</v>
      </c>
      <c r="O98" s="63">
        <f>SUM(O96:O97)</f>
        <v>365165.76</v>
      </c>
    </row>
    <row r="99" spans="9:15" x14ac:dyDescent="0.25">
      <c r="L99" s="63" t="s">
        <v>192</v>
      </c>
      <c r="M99" s="63">
        <v>62860</v>
      </c>
      <c r="N99" s="63">
        <f>M99*4%</f>
        <v>2514.4</v>
      </c>
      <c r="O99" s="63">
        <f>M99-N99</f>
        <v>60345.599999999999</v>
      </c>
    </row>
    <row r="100" spans="9:15" x14ac:dyDescent="0.25">
      <c r="L100" s="63" t="s">
        <v>193</v>
      </c>
      <c r="M100" s="63">
        <v>1843657.33</v>
      </c>
      <c r="N100" s="63">
        <f>M100*4%</f>
        <v>73746.2932</v>
      </c>
      <c r="O100" s="63">
        <f>M100-N100</f>
        <v>1769911.0368000001</v>
      </c>
    </row>
    <row r="101" spans="9:15" x14ac:dyDescent="0.25">
      <c r="M101" s="63">
        <v>1988864.37</v>
      </c>
      <c r="N101" s="63">
        <f>M101*4%</f>
        <v>79554.574800000002</v>
      </c>
      <c r="O101" s="63">
        <f>M101-N101</f>
        <v>1909309.7952000001</v>
      </c>
    </row>
    <row r="102" spans="9:15" x14ac:dyDescent="0.25">
      <c r="O102" s="63">
        <f>SUM(O100:O101)</f>
        <v>3679220.8320000004</v>
      </c>
    </row>
  </sheetData>
  <autoFilter ref="A1:Q3">
    <filterColumn colId="0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</autoFilter>
  <customSheetViews>
    <customSheetView guid="{40DAEB26-20D3-4AB4-B94D-0ED6F1AA8B5C}" scale="130" showGridLines="0" showAutoFilter="1" hiddenRows="1" hiddenColumns="1" state="hidden">
      <pane xSplit="6" ySplit="2" topLeftCell="AE22" activePane="bottomRight" state="frozen"/>
      <selection pane="bottomRight" activeCell="AI31" sqref="AI31"/>
      <pageMargins left="0.7" right="0.7" top="0.75" bottom="0.75" header="0.3" footer="0.3"/>
      <pageSetup orientation="portrait" r:id="rId1"/>
      <autoFilter ref="A1:Q3">
        <filterColumn colId="0" showButton="0"/>
        <filterColumn colId="8" showButton="0"/>
        <filterColumn colId="9" showButton="0"/>
        <filterColumn colId="11" showButton="0"/>
        <filterColumn colId="12" showButton="0"/>
        <filterColumn colId="14" showButton="0"/>
        <filterColumn colId="15" showButton="0"/>
      </autoFilter>
    </customSheetView>
    <customSheetView guid="{DD1F7198-8B36-4512-8BBD-8050BD05AADA}" scale="85" showGridLines="0" showAutoFilter="1" hiddenRows="1" hiddenColumns="1">
      <pane xSplit="6" ySplit="2" topLeftCell="AA17" activePane="bottomRight" state="frozen"/>
      <selection pane="bottomRight" activeCell="AG48" sqref="AG48"/>
      <pageMargins left="0.7" right="0.7" top="0.75" bottom="0.75" header="0.3" footer="0.3"/>
      <pageSetup orientation="portrait" r:id="rId2"/>
      <autoFilter ref="A1:Q3">
        <filterColumn colId="0" showButton="0"/>
        <filterColumn colId="8" showButton="0"/>
        <filterColumn colId="9" showButton="0"/>
        <filterColumn colId="11" showButton="0"/>
        <filterColumn colId="12" showButton="0"/>
        <filterColumn colId="14" showButton="0"/>
        <filterColumn colId="15" showButton="0"/>
      </autoFilter>
    </customSheetView>
  </customSheetViews>
  <mergeCells count="37">
    <mergeCell ref="BE1:BG1"/>
    <mergeCell ref="AP1:AR1"/>
    <mergeCell ref="AS1:AU1"/>
    <mergeCell ref="AV1:AX1"/>
    <mergeCell ref="AY1:BA1"/>
    <mergeCell ref="BB1:BD1"/>
    <mergeCell ref="AA1:AC1"/>
    <mergeCell ref="AD1:AF1"/>
    <mergeCell ref="AG1:AI1"/>
    <mergeCell ref="AJ1:AL1"/>
    <mergeCell ref="AM1:AO1"/>
    <mergeCell ref="L1:N1"/>
    <mergeCell ref="O1:Q1"/>
    <mergeCell ref="R1:T1"/>
    <mergeCell ref="U1:W1"/>
    <mergeCell ref="X1:Z1"/>
    <mergeCell ref="A14:B16"/>
    <mergeCell ref="A18:B20"/>
    <mergeCell ref="A23:B40"/>
    <mergeCell ref="A1:B1"/>
    <mergeCell ref="I1:K1"/>
    <mergeCell ref="A92:B92"/>
    <mergeCell ref="A3:B3"/>
    <mergeCell ref="A84:B86"/>
    <mergeCell ref="A88:B90"/>
    <mergeCell ref="B65:B67"/>
    <mergeCell ref="B71:B72"/>
    <mergeCell ref="B74:B75"/>
    <mergeCell ref="A79:B80"/>
    <mergeCell ref="A42:B42"/>
    <mergeCell ref="A44:B48"/>
    <mergeCell ref="A50:A75"/>
    <mergeCell ref="B50:B51"/>
    <mergeCell ref="B55:B58"/>
    <mergeCell ref="B60:B63"/>
    <mergeCell ref="A5:B7"/>
    <mergeCell ref="A9:B12"/>
  </mergeCells>
  <pageMargins left="0.7" right="0.7" top="0.75" bottom="0.75" header="0.3" footer="0.3"/>
  <pageSetup orientation="portrait"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J38"/>
  <sheetViews>
    <sheetView showGridLines="0" workbookViewId="0">
      <selection activeCell="C26" sqref="C26"/>
    </sheetView>
  </sheetViews>
  <sheetFormatPr defaultRowHeight="15" x14ac:dyDescent="0.25"/>
  <cols>
    <col min="3" max="3" width="7.140625" customWidth="1"/>
    <col min="19" max="19" width="8.140625" customWidth="1"/>
  </cols>
  <sheetData>
    <row r="1" spans="1:36" x14ac:dyDescent="0.25">
      <c r="A1" s="7" t="s">
        <v>50</v>
      </c>
      <c r="C1" s="6"/>
      <c r="D1" s="6"/>
      <c r="E1" s="6"/>
      <c r="F1" s="7" t="s">
        <v>0</v>
      </c>
      <c r="G1" s="6"/>
      <c r="I1" s="6"/>
      <c r="J1" s="6"/>
      <c r="K1" s="7" t="s">
        <v>3</v>
      </c>
      <c r="M1" s="6"/>
      <c r="O1" s="7" t="s">
        <v>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4" spans="1:36" ht="5.25" customHeight="1" x14ac:dyDescent="0.25"/>
    <row r="5" spans="1:36" ht="18.75" customHeight="1" x14ac:dyDescent="0.25"/>
    <row r="6" spans="1:36" ht="18.75" customHeight="1" x14ac:dyDescent="0.25"/>
    <row r="7" spans="1:36" ht="18.75" customHeight="1" x14ac:dyDescent="0.25"/>
    <row r="8" spans="1:36" x14ac:dyDescent="0.25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36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36" x14ac:dyDescent="0.25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36" x14ac:dyDescent="0.25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36" x14ac:dyDescent="0.25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36" x14ac:dyDescent="0.25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36" x14ac:dyDescent="0.25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36" x14ac:dyDescent="0.25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36" x14ac:dyDescent="0.25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4:19" x14ac:dyDescent="0.25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9" spans="4:19" x14ac:dyDescent="0.25"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4:19" x14ac:dyDescent="0.25"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4:19" x14ac:dyDescent="0.25"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4:19" x14ac:dyDescent="0.25"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4:19" x14ac:dyDescent="0.25"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4:19" x14ac:dyDescent="0.25"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4:19" ht="10.5" customHeight="1" x14ac:dyDescent="0.25"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7" spans="4:19" x14ac:dyDescent="0.25"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4:19" x14ac:dyDescent="0.25"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4:19" x14ac:dyDescent="0.25"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4:19" x14ac:dyDescent="0.25"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4:19" x14ac:dyDescent="0.25"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4:19" ht="9" customHeight="1" x14ac:dyDescent="0.25"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4" spans="4:19" x14ac:dyDescent="0.25"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4:19" x14ac:dyDescent="0.25"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4:19" x14ac:dyDescent="0.25"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</row>
    <row r="37" spans="4:19" x14ac:dyDescent="0.25"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4:19" x14ac:dyDescent="0.25"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</sheetData>
  <customSheetViews>
    <customSheetView guid="{40DAEB26-20D3-4AB4-B94D-0ED6F1AA8B5C}" showGridLines="0" state="hidden">
      <selection activeCell="C26" sqref="C26"/>
      <pageMargins left="0.7" right="0.7" top="0.75" bottom="0.75" header="0.3" footer="0.3"/>
    </customSheetView>
    <customSheetView guid="{DD1F7198-8B36-4512-8BBD-8050BD05AADA}" showGridLines="0" state="hidden">
      <selection activeCell="C26" sqref="C26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1"/>
  <sheetViews>
    <sheetView showGridLines="0" workbookViewId="0">
      <pane xSplit="2" ySplit="4" topLeftCell="D53" activePane="bottomRight" state="frozen"/>
      <selection pane="topRight" activeCell="C1" sqref="C1"/>
      <selection pane="bottomLeft" activeCell="A5" sqref="A5"/>
      <selection pane="bottomRight" activeCell="I67" sqref="I67"/>
    </sheetView>
  </sheetViews>
  <sheetFormatPr defaultRowHeight="15" x14ac:dyDescent="0.25"/>
  <cols>
    <col min="1" max="1" width="9.140625" style="118"/>
    <col min="2" max="2" width="8.5703125" style="118" bestFit="1" customWidth="1"/>
    <col min="3" max="3" width="22.140625" style="118" bestFit="1" customWidth="1"/>
    <col min="4" max="4" width="18.7109375" style="118" bestFit="1" customWidth="1"/>
    <col min="5" max="5" width="30.7109375" style="118" bestFit="1" customWidth="1"/>
    <col min="6" max="6" width="8.140625" style="118" bestFit="1" customWidth="1"/>
    <col min="7" max="7" width="9.140625" style="118"/>
    <col min="8" max="8" width="8.5703125" style="118" bestFit="1" customWidth="1"/>
    <col min="9" max="9" width="22.140625" style="118" bestFit="1" customWidth="1"/>
    <col min="10" max="10" width="18.7109375" style="118" bestFit="1" customWidth="1"/>
    <col min="11" max="11" width="30.7109375" style="118" bestFit="1" customWidth="1"/>
    <col min="12" max="12" width="8.140625" style="118" bestFit="1" customWidth="1"/>
    <col min="13" max="16384" width="9.140625" style="118"/>
  </cols>
  <sheetData>
    <row r="2" spans="2:12" ht="18.75" customHeight="1" x14ac:dyDescent="0.25">
      <c r="B2" s="368" t="s">
        <v>257</v>
      </c>
      <c r="C2" s="369"/>
      <c r="D2" s="369"/>
      <c r="E2" s="369"/>
      <c r="F2" s="370"/>
      <c r="H2" s="368" t="s">
        <v>258</v>
      </c>
      <c r="I2" s="369"/>
      <c r="J2" s="369"/>
      <c r="K2" s="369"/>
      <c r="L2" s="370"/>
    </row>
    <row r="4" spans="2:12" x14ac:dyDescent="0.25">
      <c r="B4" s="119" t="s">
        <v>259</v>
      </c>
      <c r="C4" s="119" t="s">
        <v>260</v>
      </c>
      <c r="D4" s="119" t="s">
        <v>261</v>
      </c>
      <c r="E4" s="119" t="s">
        <v>262</v>
      </c>
      <c r="F4" s="119" t="s">
        <v>263</v>
      </c>
      <c r="H4" s="119" t="s">
        <v>259</v>
      </c>
      <c r="I4" s="119" t="s">
        <v>260</v>
      </c>
      <c r="J4" s="119" t="s">
        <v>261</v>
      </c>
      <c r="K4" s="119" t="s">
        <v>262</v>
      </c>
      <c r="L4" s="119" t="s">
        <v>263</v>
      </c>
    </row>
    <row r="5" spans="2:12" x14ac:dyDescent="0.25">
      <c r="B5" s="120" t="s">
        <v>264</v>
      </c>
      <c r="C5" s="120" t="s">
        <v>265</v>
      </c>
      <c r="D5" s="120" t="s">
        <v>266</v>
      </c>
      <c r="E5" s="120" t="s">
        <v>267</v>
      </c>
      <c r="F5" s="121">
        <v>100000</v>
      </c>
      <c r="H5" s="122" t="s">
        <v>268</v>
      </c>
      <c r="I5" s="122" t="s">
        <v>269</v>
      </c>
      <c r="J5" s="122" t="s">
        <v>270</v>
      </c>
      <c r="K5" s="122" t="s">
        <v>271</v>
      </c>
      <c r="L5" s="123">
        <v>9730</v>
      </c>
    </row>
    <row r="6" spans="2:12" x14ac:dyDescent="0.25">
      <c r="B6" s="120" t="s">
        <v>272</v>
      </c>
      <c r="C6" s="120" t="s">
        <v>273</v>
      </c>
      <c r="D6" s="120" t="s">
        <v>274</v>
      </c>
      <c r="E6" s="120" t="s">
        <v>275</v>
      </c>
      <c r="F6" s="121">
        <v>10000</v>
      </c>
      <c r="H6" s="122" t="s">
        <v>276</v>
      </c>
      <c r="I6" s="122" t="s">
        <v>277</v>
      </c>
      <c r="J6" s="122" t="s">
        <v>270</v>
      </c>
      <c r="K6" s="122" t="s">
        <v>271</v>
      </c>
      <c r="L6" s="123">
        <v>9430</v>
      </c>
    </row>
    <row r="7" spans="2:12" x14ac:dyDescent="0.25">
      <c r="B7" s="120" t="s">
        <v>278</v>
      </c>
      <c r="C7" s="120" t="s">
        <v>279</v>
      </c>
      <c r="D7" s="120" t="s">
        <v>280</v>
      </c>
      <c r="E7" s="120" t="s">
        <v>281</v>
      </c>
      <c r="F7" s="121">
        <v>7785</v>
      </c>
      <c r="H7" s="122" t="s">
        <v>282</v>
      </c>
      <c r="I7" s="122" t="s">
        <v>283</v>
      </c>
      <c r="J7" s="122" t="s">
        <v>270</v>
      </c>
      <c r="K7" s="122" t="s">
        <v>281</v>
      </c>
      <c r="L7" s="123">
        <v>9130</v>
      </c>
    </row>
    <row r="8" spans="2:12" x14ac:dyDescent="0.25">
      <c r="B8" s="120" t="s">
        <v>284</v>
      </c>
      <c r="C8" s="120" t="s">
        <v>285</v>
      </c>
      <c r="D8" s="120" t="s">
        <v>280</v>
      </c>
      <c r="E8" s="120" t="s">
        <v>281</v>
      </c>
      <c r="F8" s="121">
        <v>7635</v>
      </c>
      <c r="H8" s="122" t="s">
        <v>286</v>
      </c>
      <c r="I8" s="122" t="s">
        <v>287</v>
      </c>
      <c r="J8" s="122" t="s">
        <v>270</v>
      </c>
      <c r="K8" s="122" t="s">
        <v>288</v>
      </c>
      <c r="L8" s="123">
        <v>9130</v>
      </c>
    </row>
    <row r="9" spans="2:12" x14ac:dyDescent="0.25">
      <c r="B9" s="120" t="s">
        <v>289</v>
      </c>
      <c r="C9" s="120" t="s">
        <v>290</v>
      </c>
      <c r="D9" s="120" t="s">
        <v>280</v>
      </c>
      <c r="E9" s="120" t="s">
        <v>281</v>
      </c>
      <c r="F9" s="121">
        <v>7110</v>
      </c>
      <c r="H9" s="122" t="s">
        <v>291</v>
      </c>
      <c r="I9" s="122" t="s">
        <v>292</v>
      </c>
      <c r="J9" s="122" t="s">
        <v>270</v>
      </c>
      <c r="K9" s="122" t="s">
        <v>288</v>
      </c>
      <c r="L9" s="123">
        <v>9130</v>
      </c>
    </row>
    <row r="10" spans="2:12" x14ac:dyDescent="0.25">
      <c r="B10" s="120" t="s">
        <v>293</v>
      </c>
      <c r="C10" s="120" t="s">
        <v>294</v>
      </c>
      <c r="D10" s="120" t="s">
        <v>280</v>
      </c>
      <c r="E10" s="120" t="s">
        <v>281</v>
      </c>
      <c r="F10" s="121">
        <v>5430</v>
      </c>
      <c r="H10" s="122" t="s">
        <v>295</v>
      </c>
      <c r="I10" s="122" t="s">
        <v>296</v>
      </c>
      <c r="J10" s="122" t="s">
        <v>270</v>
      </c>
      <c r="K10" s="122" t="s">
        <v>297</v>
      </c>
      <c r="L10" s="123">
        <v>9130</v>
      </c>
    </row>
    <row r="11" spans="2:12" x14ac:dyDescent="0.25">
      <c r="B11" s="120" t="s">
        <v>298</v>
      </c>
      <c r="C11" s="120" t="s">
        <v>299</v>
      </c>
      <c r="D11" s="120" t="s">
        <v>300</v>
      </c>
      <c r="E11" s="120" t="s">
        <v>301</v>
      </c>
      <c r="F11" s="121">
        <v>5000</v>
      </c>
      <c r="H11" s="122" t="s">
        <v>302</v>
      </c>
      <c r="I11" s="122" t="s">
        <v>303</v>
      </c>
      <c r="J11" s="122" t="s">
        <v>270</v>
      </c>
      <c r="K11" s="122" t="s">
        <v>304</v>
      </c>
      <c r="L11" s="123">
        <v>9130</v>
      </c>
    </row>
    <row r="12" spans="2:12" x14ac:dyDescent="0.25">
      <c r="B12" s="120" t="s">
        <v>305</v>
      </c>
      <c r="C12" s="120" t="s">
        <v>306</v>
      </c>
      <c r="D12" s="120" t="s">
        <v>307</v>
      </c>
      <c r="E12" s="120" t="s">
        <v>297</v>
      </c>
      <c r="F12" s="121">
        <v>4970</v>
      </c>
      <c r="H12" s="122" t="s">
        <v>308</v>
      </c>
      <c r="I12" s="122" t="s">
        <v>309</v>
      </c>
      <c r="J12" s="122" t="s">
        <v>270</v>
      </c>
      <c r="K12" s="122" t="s">
        <v>310</v>
      </c>
      <c r="L12" s="123">
        <v>9130</v>
      </c>
    </row>
    <row r="13" spans="2:12" x14ac:dyDescent="0.25">
      <c r="B13" s="120" t="s">
        <v>311</v>
      </c>
      <c r="C13" s="120" t="s">
        <v>312</v>
      </c>
      <c r="D13" s="120" t="s">
        <v>280</v>
      </c>
      <c r="E13" s="120" t="s">
        <v>297</v>
      </c>
      <c r="F13" s="121">
        <v>4680</v>
      </c>
      <c r="H13" s="122" t="s">
        <v>313</v>
      </c>
      <c r="I13" s="122" t="s">
        <v>314</v>
      </c>
      <c r="J13" s="122" t="s">
        <v>270</v>
      </c>
      <c r="K13" s="122" t="s">
        <v>281</v>
      </c>
      <c r="L13" s="123">
        <v>8841</v>
      </c>
    </row>
    <row r="14" spans="2:12" x14ac:dyDescent="0.25">
      <c r="B14" s="120" t="s">
        <v>315</v>
      </c>
      <c r="C14" s="120" t="s">
        <v>316</v>
      </c>
      <c r="D14" s="120" t="s">
        <v>280</v>
      </c>
      <c r="E14" s="120" t="s">
        <v>281</v>
      </c>
      <c r="F14" s="121">
        <v>4560</v>
      </c>
      <c r="H14" s="122" t="s">
        <v>317</v>
      </c>
      <c r="I14" s="122" t="s">
        <v>318</v>
      </c>
      <c r="J14" s="122" t="s">
        <v>270</v>
      </c>
      <c r="K14" s="122" t="s">
        <v>319</v>
      </c>
      <c r="L14" s="123">
        <v>8830</v>
      </c>
    </row>
    <row r="15" spans="2:12" x14ac:dyDescent="0.25">
      <c r="B15" s="120" t="s">
        <v>320</v>
      </c>
      <c r="C15" s="120" t="s">
        <v>321</v>
      </c>
      <c r="D15" s="120" t="s">
        <v>280</v>
      </c>
      <c r="E15" s="120" t="s">
        <v>281</v>
      </c>
      <c r="F15" s="121">
        <v>4560</v>
      </c>
      <c r="H15" s="122" t="s">
        <v>322</v>
      </c>
      <c r="I15" s="122" t="s">
        <v>323</v>
      </c>
      <c r="J15" s="122" t="s">
        <v>270</v>
      </c>
      <c r="K15" s="122" t="s">
        <v>271</v>
      </c>
      <c r="L15" s="123">
        <v>8830</v>
      </c>
    </row>
    <row r="16" spans="2:12" x14ac:dyDescent="0.25">
      <c r="B16" s="120" t="s">
        <v>324</v>
      </c>
      <c r="C16" s="120" t="s">
        <v>325</v>
      </c>
      <c r="D16" s="120" t="s">
        <v>307</v>
      </c>
      <c r="E16" s="120" t="s">
        <v>297</v>
      </c>
      <c r="F16" s="121">
        <v>4005</v>
      </c>
      <c r="H16" s="122" t="s">
        <v>326</v>
      </c>
      <c r="I16" s="122" t="s">
        <v>327</v>
      </c>
      <c r="J16" s="122" t="s">
        <v>270</v>
      </c>
      <c r="K16" s="122" t="s">
        <v>271</v>
      </c>
      <c r="L16" s="123">
        <v>8830</v>
      </c>
    </row>
    <row r="17" spans="2:12" x14ac:dyDescent="0.25">
      <c r="B17" s="120" t="s">
        <v>328</v>
      </c>
      <c r="C17" s="120" t="s">
        <v>329</v>
      </c>
      <c r="D17" s="120" t="s">
        <v>307</v>
      </c>
      <c r="E17" s="120" t="s">
        <v>297</v>
      </c>
      <c r="F17" s="121">
        <v>3990</v>
      </c>
      <c r="H17" s="122" t="s">
        <v>330</v>
      </c>
      <c r="I17" s="122" t="s">
        <v>331</v>
      </c>
      <c r="J17" s="122" t="s">
        <v>270</v>
      </c>
      <c r="K17" s="122" t="s">
        <v>332</v>
      </c>
      <c r="L17" s="123">
        <v>8830</v>
      </c>
    </row>
    <row r="18" spans="2:12" x14ac:dyDescent="0.25">
      <c r="B18" s="120" t="s">
        <v>333</v>
      </c>
      <c r="C18" s="120" t="s">
        <v>334</v>
      </c>
      <c r="D18" s="120" t="s">
        <v>280</v>
      </c>
      <c r="E18" s="120" t="s">
        <v>297</v>
      </c>
      <c r="F18" s="121">
        <v>3750</v>
      </c>
      <c r="H18" s="122" t="s">
        <v>335</v>
      </c>
      <c r="I18" s="122" t="s">
        <v>336</v>
      </c>
      <c r="J18" s="122" t="s">
        <v>270</v>
      </c>
      <c r="K18" s="122" t="s">
        <v>337</v>
      </c>
      <c r="L18" s="123">
        <v>8830</v>
      </c>
    </row>
    <row r="19" spans="2:12" x14ac:dyDescent="0.25">
      <c r="B19" s="120" t="s">
        <v>338</v>
      </c>
      <c r="C19" s="120" t="s">
        <v>339</v>
      </c>
      <c r="D19" s="120" t="s">
        <v>340</v>
      </c>
      <c r="E19" s="120" t="s">
        <v>297</v>
      </c>
      <c r="F19" s="121">
        <v>3690</v>
      </c>
      <c r="H19" s="122" t="s">
        <v>341</v>
      </c>
      <c r="I19" s="122" t="s">
        <v>342</v>
      </c>
      <c r="J19" s="122" t="s">
        <v>270</v>
      </c>
      <c r="K19" s="122" t="s">
        <v>343</v>
      </c>
      <c r="L19" s="123">
        <v>8830</v>
      </c>
    </row>
    <row r="20" spans="2:12" x14ac:dyDescent="0.25">
      <c r="B20" s="120" t="s">
        <v>344</v>
      </c>
      <c r="C20" s="120" t="s">
        <v>345</v>
      </c>
      <c r="D20" s="120" t="s">
        <v>280</v>
      </c>
      <c r="E20" s="120" t="s">
        <v>281</v>
      </c>
      <c r="F20" s="121">
        <v>3600</v>
      </c>
      <c r="H20" s="122" t="s">
        <v>346</v>
      </c>
      <c r="I20" s="122" t="s">
        <v>347</v>
      </c>
      <c r="J20" s="122" t="s">
        <v>270</v>
      </c>
      <c r="K20" s="122" t="s">
        <v>348</v>
      </c>
      <c r="L20" s="123">
        <v>8777</v>
      </c>
    </row>
    <row r="21" spans="2:12" x14ac:dyDescent="0.25">
      <c r="B21" s="120" t="s">
        <v>349</v>
      </c>
      <c r="C21" s="120" t="s">
        <v>350</v>
      </c>
      <c r="D21" s="120" t="s">
        <v>307</v>
      </c>
      <c r="E21" s="120" t="s">
        <v>297</v>
      </c>
      <c r="F21" s="121">
        <v>3570</v>
      </c>
      <c r="H21" s="122" t="s">
        <v>351</v>
      </c>
      <c r="I21" s="122" t="s">
        <v>352</v>
      </c>
      <c r="J21" s="122" t="s">
        <v>280</v>
      </c>
      <c r="K21" s="122" t="s">
        <v>297</v>
      </c>
      <c r="L21" s="123">
        <v>8777</v>
      </c>
    </row>
    <row r="22" spans="2:12" x14ac:dyDescent="0.25">
      <c r="B22" s="120" t="s">
        <v>353</v>
      </c>
      <c r="C22" s="120" t="s">
        <v>354</v>
      </c>
      <c r="D22" s="120" t="s">
        <v>355</v>
      </c>
      <c r="E22" s="120" t="s">
        <v>356</v>
      </c>
      <c r="F22" s="121">
        <v>3500</v>
      </c>
      <c r="H22" s="122" t="s">
        <v>357</v>
      </c>
      <c r="I22" s="122" t="s">
        <v>358</v>
      </c>
      <c r="J22" s="122" t="s">
        <v>270</v>
      </c>
      <c r="K22" s="122" t="s">
        <v>337</v>
      </c>
      <c r="L22" s="123">
        <v>8723</v>
      </c>
    </row>
    <row r="23" spans="2:12" x14ac:dyDescent="0.25">
      <c r="B23" s="120" t="s">
        <v>359</v>
      </c>
      <c r="C23" s="120" t="s">
        <v>360</v>
      </c>
      <c r="D23" s="120" t="s">
        <v>280</v>
      </c>
      <c r="E23" s="120" t="s">
        <v>297</v>
      </c>
      <c r="F23" s="121">
        <v>3150</v>
      </c>
      <c r="H23" s="122" t="s">
        <v>361</v>
      </c>
      <c r="I23" s="122" t="s">
        <v>362</v>
      </c>
      <c r="J23" s="122" t="s">
        <v>270</v>
      </c>
      <c r="K23" s="122" t="s">
        <v>363</v>
      </c>
      <c r="L23" s="123">
        <v>8713</v>
      </c>
    </row>
    <row r="24" spans="2:12" x14ac:dyDescent="0.25">
      <c r="B24" s="120" t="s">
        <v>364</v>
      </c>
      <c r="C24" s="120" t="s">
        <v>365</v>
      </c>
      <c r="D24" s="120" t="s">
        <v>280</v>
      </c>
      <c r="E24" s="120" t="s">
        <v>310</v>
      </c>
      <c r="F24" s="121">
        <v>3015</v>
      </c>
      <c r="H24" s="122" t="s">
        <v>366</v>
      </c>
      <c r="I24" s="122" t="s">
        <v>367</v>
      </c>
      <c r="J24" s="122" t="s">
        <v>270</v>
      </c>
      <c r="K24" s="122" t="s">
        <v>368</v>
      </c>
      <c r="L24" s="123">
        <v>8658</v>
      </c>
    </row>
    <row r="25" spans="2:12" x14ac:dyDescent="0.25">
      <c r="B25" s="120" t="s">
        <v>369</v>
      </c>
      <c r="C25" s="120" t="s">
        <v>370</v>
      </c>
      <c r="D25" s="120" t="s">
        <v>340</v>
      </c>
      <c r="E25" s="120" t="s">
        <v>281</v>
      </c>
      <c r="F25" s="121">
        <v>2805</v>
      </c>
      <c r="H25" s="122" t="s">
        <v>371</v>
      </c>
      <c r="I25" s="122" t="s">
        <v>372</v>
      </c>
      <c r="J25" s="122" t="s">
        <v>270</v>
      </c>
      <c r="K25" s="122" t="s">
        <v>319</v>
      </c>
      <c r="L25" s="123">
        <v>8541</v>
      </c>
    </row>
    <row r="26" spans="2:12" x14ac:dyDescent="0.25">
      <c r="B26" s="120" t="s">
        <v>373</v>
      </c>
      <c r="C26" s="120" t="s">
        <v>374</v>
      </c>
      <c r="D26" s="120" t="s">
        <v>270</v>
      </c>
      <c r="E26" s="120" t="s">
        <v>297</v>
      </c>
      <c r="F26" s="121">
        <v>2640</v>
      </c>
      <c r="H26" s="122" t="s">
        <v>375</v>
      </c>
      <c r="I26" s="122" t="s">
        <v>376</v>
      </c>
      <c r="J26" s="122" t="s">
        <v>270</v>
      </c>
      <c r="K26" s="122" t="s">
        <v>271</v>
      </c>
      <c r="L26" s="123">
        <v>8485</v>
      </c>
    </row>
    <row r="27" spans="2:12" x14ac:dyDescent="0.25">
      <c r="B27" s="120" t="s">
        <v>377</v>
      </c>
      <c r="C27" s="120" t="s">
        <v>378</v>
      </c>
      <c r="D27" s="120" t="s">
        <v>379</v>
      </c>
      <c r="E27" s="120" t="s">
        <v>380</v>
      </c>
      <c r="F27" s="121">
        <v>2512</v>
      </c>
      <c r="H27" s="122" t="s">
        <v>381</v>
      </c>
      <c r="I27" s="122" t="s">
        <v>382</v>
      </c>
      <c r="J27" s="122" t="s">
        <v>270</v>
      </c>
      <c r="K27" s="122" t="s">
        <v>271</v>
      </c>
      <c r="L27" s="123">
        <v>8477</v>
      </c>
    </row>
    <row r="28" spans="2:12" x14ac:dyDescent="0.25">
      <c r="B28" s="120" t="s">
        <v>383</v>
      </c>
      <c r="C28" s="120" t="s">
        <v>384</v>
      </c>
      <c r="D28" s="120" t="s">
        <v>340</v>
      </c>
      <c r="E28" s="120" t="s">
        <v>385</v>
      </c>
      <c r="F28" s="121">
        <v>2500</v>
      </c>
      <c r="H28" s="122" t="s">
        <v>386</v>
      </c>
      <c r="I28" s="122" t="s">
        <v>387</v>
      </c>
      <c r="J28" s="122" t="s">
        <v>270</v>
      </c>
      <c r="K28" s="122" t="s">
        <v>271</v>
      </c>
      <c r="L28" s="123">
        <v>8267</v>
      </c>
    </row>
    <row r="29" spans="2:12" x14ac:dyDescent="0.25">
      <c r="B29" s="120" t="s">
        <v>388</v>
      </c>
      <c r="C29" s="120" t="s">
        <v>389</v>
      </c>
      <c r="D29" s="120" t="s">
        <v>270</v>
      </c>
      <c r="E29" s="120" t="s">
        <v>297</v>
      </c>
      <c r="F29" s="121">
        <v>2430</v>
      </c>
      <c r="H29" s="122" t="s">
        <v>388</v>
      </c>
      <c r="I29" s="122" t="s">
        <v>389</v>
      </c>
      <c r="J29" s="122" t="s">
        <v>270</v>
      </c>
      <c r="K29" s="122" t="s">
        <v>297</v>
      </c>
      <c r="L29" s="123">
        <v>7822</v>
      </c>
    </row>
    <row r="30" spans="2:12" x14ac:dyDescent="0.25">
      <c r="B30" s="120" t="s">
        <v>390</v>
      </c>
      <c r="C30" s="120" t="s">
        <v>391</v>
      </c>
      <c r="D30" s="120" t="s">
        <v>270</v>
      </c>
      <c r="E30" s="120" t="s">
        <v>297</v>
      </c>
      <c r="F30" s="121">
        <v>2400</v>
      </c>
      <c r="H30" s="122" t="s">
        <v>390</v>
      </c>
      <c r="I30" s="122" t="s">
        <v>391</v>
      </c>
      <c r="J30" s="122" t="s">
        <v>270</v>
      </c>
      <c r="K30" s="122" t="s">
        <v>297</v>
      </c>
      <c r="L30" s="123">
        <v>7577</v>
      </c>
    </row>
    <row r="31" spans="2:12" x14ac:dyDescent="0.25">
      <c r="B31" s="120" t="s">
        <v>392</v>
      </c>
      <c r="C31" s="120" t="s">
        <v>393</v>
      </c>
      <c r="D31" s="120" t="s">
        <v>270</v>
      </c>
      <c r="E31" s="120" t="s">
        <v>297</v>
      </c>
      <c r="F31" s="121">
        <v>2220</v>
      </c>
      <c r="H31" s="122" t="s">
        <v>394</v>
      </c>
      <c r="I31" s="122" t="s">
        <v>395</v>
      </c>
      <c r="J31" s="122" t="s">
        <v>270</v>
      </c>
      <c r="K31" s="122" t="s">
        <v>297</v>
      </c>
      <c r="L31" s="123">
        <v>7437</v>
      </c>
    </row>
    <row r="32" spans="2:12" x14ac:dyDescent="0.25">
      <c r="B32" s="120" t="s">
        <v>396</v>
      </c>
      <c r="C32" s="120" t="s">
        <v>397</v>
      </c>
      <c r="D32" s="120" t="s">
        <v>280</v>
      </c>
      <c r="E32" s="120" t="s">
        <v>281</v>
      </c>
      <c r="F32" s="121">
        <v>2115</v>
      </c>
      <c r="H32" s="122" t="s">
        <v>392</v>
      </c>
      <c r="I32" s="122" t="s">
        <v>393</v>
      </c>
      <c r="J32" s="122" t="s">
        <v>270</v>
      </c>
      <c r="K32" s="122" t="s">
        <v>297</v>
      </c>
      <c r="L32" s="123">
        <v>7408</v>
      </c>
    </row>
    <row r="33" spans="2:12" x14ac:dyDescent="0.25">
      <c r="B33" s="120" t="s">
        <v>394</v>
      </c>
      <c r="C33" s="120" t="s">
        <v>395</v>
      </c>
      <c r="D33" s="120" t="s">
        <v>270</v>
      </c>
      <c r="E33" s="120" t="s">
        <v>297</v>
      </c>
      <c r="F33" s="121">
        <v>1770</v>
      </c>
      <c r="H33" s="122" t="s">
        <v>353</v>
      </c>
      <c r="I33" s="122" t="s">
        <v>354</v>
      </c>
      <c r="J33" s="122" t="s">
        <v>340</v>
      </c>
      <c r="K33" s="122" t="s">
        <v>356</v>
      </c>
      <c r="L33" s="123">
        <v>7150</v>
      </c>
    </row>
    <row r="34" spans="2:12" x14ac:dyDescent="0.25">
      <c r="B34" s="120" t="s">
        <v>398</v>
      </c>
      <c r="C34" s="120" t="s">
        <v>399</v>
      </c>
      <c r="D34" s="120" t="s">
        <v>280</v>
      </c>
      <c r="E34" s="120" t="s">
        <v>297</v>
      </c>
      <c r="F34" s="121">
        <v>1740</v>
      </c>
      <c r="H34" s="122" t="s">
        <v>400</v>
      </c>
      <c r="I34" s="122" t="s">
        <v>401</v>
      </c>
      <c r="J34" s="122" t="s">
        <v>270</v>
      </c>
      <c r="K34" s="122" t="s">
        <v>297</v>
      </c>
      <c r="L34" s="123">
        <v>5967</v>
      </c>
    </row>
    <row r="35" spans="2:12" x14ac:dyDescent="0.25">
      <c r="B35" s="120" t="s">
        <v>402</v>
      </c>
      <c r="C35" s="120" t="s">
        <v>403</v>
      </c>
      <c r="D35" s="120" t="s">
        <v>274</v>
      </c>
      <c r="E35" s="120" t="s">
        <v>404</v>
      </c>
      <c r="F35" s="121">
        <v>1550</v>
      </c>
      <c r="H35" s="122" t="s">
        <v>328</v>
      </c>
      <c r="I35" s="122" t="s">
        <v>329</v>
      </c>
      <c r="J35" s="122" t="s">
        <v>307</v>
      </c>
      <c r="K35" s="122" t="s">
        <v>297</v>
      </c>
      <c r="L35" s="123">
        <v>5635</v>
      </c>
    </row>
    <row r="36" spans="2:12" x14ac:dyDescent="0.25">
      <c r="B36" s="120" t="s">
        <v>400</v>
      </c>
      <c r="C36" s="120" t="s">
        <v>401</v>
      </c>
      <c r="D36" s="120" t="s">
        <v>270</v>
      </c>
      <c r="E36" s="120" t="s">
        <v>297</v>
      </c>
      <c r="F36" s="121">
        <v>1260</v>
      </c>
      <c r="H36" s="122" t="s">
        <v>305</v>
      </c>
      <c r="I36" s="122" t="s">
        <v>306</v>
      </c>
      <c r="J36" s="122" t="s">
        <v>307</v>
      </c>
      <c r="K36" s="122" t="s">
        <v>297</v>
      </c>
      <c r="L36" s="123">
        <v>5635</v>
      </c>
    </row>
    <row r="37" spans="2:12" x14ac:dyDescent="0.25">
      <c r="B37" s="120" t="s">
        <v>405</v>
      </c>
      <c r="C37" s="120" t="s">
        <v>406</v>
      </c>
      <c r="D37" s="120" t="s">
        <v>307</v>
      </c>
      <c r="E37" s="120" t="s">
        <v>304</v>
      </c>
      <c r="F37" s="121">
        <v>1250</v>
      </c>
      <c r="H37" s="122" t="s">
        <v>407</v>
      </c>
      <c r="I37" s="122" t="s">
        <v>408</v>
      </c>
      <c r="J37" s="122" t="s">
        <v>270</v>
      </c>
      <c r="K37" s="122" t="s">
        <v>288</v>
      </c>
      <c r="L37" s="123">
        <v>5480</v>
      </c>
    </row>
    <row r="38" spans="2:12" x14ac:dyDescent="0.25">
      <c r="B38" s="120" t="s">
        <v>409</v>
      </c>
      <c r="C38" s="120" t="s">
        <v>410</v>
      </c>
      <c r="D38" s="120" t="s">
        <v>307</v>
      </c>
      <c r="E38" s="120" t="s">
        <v>288</v>
      </c>
      <c r="F38" s="121">
        <v>1200</v>
      </c>
      <c r="H38" s="122" t="s">
        <v>411</v>
      </c>
      <c r="I38" s="122" t="s">
        <v>412</v>
      </c>
      <c r="J38" s="122" t="s">
        <v>270</v>
      </c>
      <c r="K38" s="122" t="s">
        <v>413</v>
      </c>
      <c r="L38" s="123">
        <v>5480</v>
      </c>
    </row>
    <row r="39" spans="2:12" x14ac:dyDescent="0.25">
      <c r="B39" s="120" t="s">
        <v>414</v>
      </c>
      <c r="C39" s="120" t="s">
        <v>415</v>
      </c>
      <c r="D39" s="120" t="s">
        <v>270</v>
      </c>
      <c r="E39" s="120" t="s">
        <v>297</v>
      </c>
      <c r="F39" s="121">
        <v>1080</v>
      </c>
      <c r="H39" s="122" t="s">
        <v>416</v>
      </c>
      <c r="I39" s="122" t="s">
        <v>417</v>
      </c>
      <c r="J39" s="122" t="s">
        <v>270</v>
      </c>
      <c r="K39" s="122" t="s">
        <v>281</v>
      </c>
      <c r="L39" s="123">
        <v>5302</v>
      </c>
    </row>
    <row r="40" spans="2:12" x14ac:dyDescent="0.25">
      <c r="B40" s="120" t="s">
        <v>418</v>
      </c>
      <c r="C40" s="120" t="s">
        <v>419</v>
      </c>
      <c r="D40" s="120" t="s">
        <v>307</v>
      </c>
      <c r="E40" s="120" t="s">
        <v>281</v>
      </c>
      <c r="F40" s="121">
        <v>1000</v>
      </c>
      <c r="H40" s="122" t="s">
        <v>420</v>
      </c>
      <c r="I40" s="122" t="s">
        <v>421</v>
      </c>
      <c r="J40" s="122" t="s">
        <v>270</v>
      </c>
      <c r="K40" s="122" t="s">
        <v>297</v>
      </c>
      <c r="L40" s="123">
        <v>5278</v>
      </c>
    </row>
    <row r="41" spans="2:12" x14ac:dyDescent="0.25">
      <c r="B41" s="120" t="s">
        <v>422</v>
      </c>
      <c r="C41" s="120" t="s">
        <v>423</v>
      </c>
      <c r="D41" s="120" t="s">
        <v>424</v>
      </c>
      <c r="E41" s="120" t="s">
        <v>425</v>
      </c>
      <c r="F41" s="121">
        <v>1000</v>
      </c>
      <c r="H41" s="122" t="s">
        <v>315</v>
      </c>
      <c r="I41" s="122" t="s">
        <v>316</v>
      </c>
      <c r="J41" s="122" t="s">
        <v>280</v>
      </c>
      <c r="K41" s="122" t="s">
        <v>281</v>
      </c>
      <c r="L41" s="123">
        <v>5215</v>
      </c>
    </row>
    <row r="42" spans="2:12" x14ac:dyDescent="0.25">
      <c r="B42" s="120" t="s">
        <v>426</v>
      </c>
      <c r="C42" s="120" t="s">
        <v>427</v>
      </c>
      <c r="D42" s="120" t="s">
        <v>270</v>
      </c>
      <c r="E42" s="120" t="s">
        <v>297</v>
      </c>
      <c r="F42" s="121">
        <v>990</v>
      </c>
      <c r="H42" s="122" t="s">
        <v>428</v>
      </c>
      <c r="I42" s="122" t="s">
        <v>429</v>
      </c>
      <c r="J42" s="122" t="s">
        <v>270</v>
      </c>
      <c r="K42" s="122" t="s">
        <v>430</v>
      </c>
      <c r="L42" s="123">
        <v>5180</v>
      </c>
    </row>
    <row r="43" spans="2:12" x14ac:dyDescent="0.25">
      <c r="B43" s="120" t="s">
        <v>431</v>
      </c>
      <c r="C43" s="120" t="s">
        <v>432</v>
      </c>
      <c r="D43" s="120" t="s">
        <v>424</v>
      </c>
      <c r="E43" s="120" t="s">
        <v>425</v>
      </c>
      <c r="F43" s="121">
        <v>900</v>
      </c>
      <c r="H43" s="122" t="s">
        <v>311</v>
      </c>
      <c r="I43" s="122" t="s">
        <v>312</v>
      </c>
      <c r="J43" s="122" t="s">
        <v>280</v>
      </c>
      <c r="K43" s="122" t="s">
        <v>297</v>
      </c>
      <c r="L43" s="123">
        <v>5127</v>
      </c>
    </row>
    <row r="44" spans="2:12" x14ac:dyDescent="0.25">
      <c r="B44" s="120" t="s">
        <v>433</v>
      </c>
      <c r="C44" s="120" t="s">
        <v>434</v>
      </c>
      <c r="D44" s="120" t="s">
        <v>424</v>
      </c>
      <c r="E44" s="120" t="s">
        <v>435</v>
      </c>
      <c r="F44" s="121">
        <v>700</v>
      </c>
      <c r="H44" s="122" t="s">
        <v>436</v>
      </c>
      <c r="I44" s="122" t="s">
        <v>437</v>
      </c>
      <c r="J44" s="122" t="s">
        <v>270</v>
      </c>
      <c r="K44" s="122" t="s">
        <v>319</v>
      </c>
      <c r="L44" s="123">
        <v>5008</v>
      </c>
    </row>
    <row r="45" spans="2:12" x14ac:dyDescent="0.25">
      <c r="B45" s="120" t="s">
        <v>438</v>
      </c>
      <c r="C45" s="120" t="s">
        <v>439</v>
      </c>
      <c r="D45" s="120" t="s">
        <v>424</v>
      </c>
      <c r="E45" s="120" t="s">
        <v>440</v>
      </c>
      <c r="F45" s="121">
        <v>600</v>
      </c>
      <c r="H45" s="122" t="s">
        <v>324</v>
      </c>
      <c r="I45" s="122" t="s">
        <v>325</v>
      </c>
      <c r="J45" s="122" t="s">
        <v>307</v>
      </c>
      <c r="K45" s="122" t="s">
        <v>297</v>
      </c>
      <c r="L45" s="123">
        <v>5000</v>
      </c>
    </row>
    <row r="46" spans="2:12" x14ac:dyDescent="0.25">
      <c r="B46" s="120" t="s">
        <v>441</v>
      </c>
      <c r="C46" s="120" t="s">
        <v>442</v>
      </c>
      <c r="D46" s="120" t="s">
        <v>280</v>
      </c>
      <c r="E46" s="120" t="s">
        <v>281</v>
      </c>
      <c r="F46" s="121">
        <v>510</v>
      </c>
      <c r="H46" s="122" t="s">
        <v>443</v>
      </c>
      <c r="I46" s="122" t="s">
        <v>444</v>
      </c>
      <c r="J46" s="122" t="s">
        <v>270</v>
      </c>
      <c r="K46" s="122" t="s">
        <v>304</v>
      </c>
      <c r="L46" s="123">
        <v>4962</v>
      </c>
    </row>
    <row r="47" spans="2:12" x14ac:dyDescent="0.25">
      <c r="B47" s="120" t="s">
        <v>445</v>
      </c>
      <c r="C47" s="120" t="s">
        <v>446</v>
      </c>
      <c r="D47" s="120" t="s">
        <v>300</v>
      </c>
      <c r="E47" s="120" t="s">
        <v>404</v>
      </c>
      <c r="F47" s="121">
        <v>500</v>
      </c>
      <c r="H47" s="122" t="s">
        <v>338</v>
      </c>
      <c r="I47" s="122" t="s">
        <v>339</v>
      </c>
      <c r="J47" s="122" t="s">
        <v>340</v>
      </c>
      <c r="K47" s="122" t="s">
        <v>297</v>
      </c>
      <c r="L47" s="123">
        <v>4812</v>
      </c>
    </row>
    <row r="48" spans="2:12" x14ac:dyDescent="0.25">
      <c r="B48" s="120" t="s">
        <v>447</v>
      </c>
      <c r="C48" s="120" t="s">
        <v>448</v>
      </c>
      <c r="D48" s="120" t="s">
        <v>280</v>
      </c>
      <c r="E48" s="120" t="s">
        <v>281</v>
      </c>
      <c r="F48" s="121">
        <v>500</v>
      </c>
      <c r="H48" s="122" t="s">
        <v>333</v>
      </c>
      <c r="I48" s="122" t="s">
        <v>334</v>
      </c>
      <c r="J48" s="122" t="s">
        <v>280</v>
      </c>
      <c r="K48" s="122" t="s">
        <v>297</v>
      </c>
      <c r="L48" s="123">
        <v>4800</v>
      </c>
    </row>
    <row r="49" spans="2:12" x14ac:dyDescent="0.25">
      <c r="B49" s="120" t="s">
        <v>449</v>
      </c>
      <c r="C49" s="120" t="s">
        <v>450</v>
      </c>
      <c r="D49" s="120" t="s">
        <v>274</v>
      </c>
      <c r="E49" s="120" t="s">
        <v>281</v>
      </c>
      <c r="F49" s="121">
        <v>500</v>
      </c>
      <c r="H49" s="122" t="s">
        <v>320</v>
      </c>
      <c r="I49" s="122" t="s">
        <v>321</v>
      </c>
      <c r="J49" s="122" t="s">
        <v>280</v>
      </c>
      <c r="K49" s="122" t="s">
        <v>281</v>
      </c>
      <c r="L49" s="123">
        <v>4777</v>
      </c>
    </row>
    <row r="50" spans="2:12" x14ac:dyDescent="0.25">
      <c r="B50" s="120" t="s">
        <v>451</v>
      </c>
      <c r="C50" s="120" t="s">
        <v>452</v>
      </c>
      <c r="D50" s="120" t="s">
        <v>274</v>
      </c>
      <c r="E50" s="120" t="s">
        <v>281</v>
      </c>
      <c r="F50" s="121">
        <v>500</v>
      </c>
      <c r="H50" s="122" t="s">
        <v>453</v>
      </c>
      <c r="I50" s="122" t="s">
        <v>454</v>
      </c>
      <c r="J50" s="122" t="s">
        <v>307</v>
      </c>
      <c r="K50" s="122" t="s">
        <v>337</v>
      </c>
      <c r="L50" s="123">
        <v>4662</v>
      </c>
    </row>
    <row r="51" spans="2:12" x14ac:dyDescent="0.25">
      <c r="B51" s="120" t="s">
        <v>455</v>
      </c>
      <c r="C51" s="120" t="s">
        <v>456</v>
      </c>
      <c r="D51" s="120" t="s">
        <v>274</v>
      </c>
      <c r="E51" s="120" t="s">
        <v>281</v>
      </c>
      <c r="F51" s="121">
        <v>500</v>
      </c>
      <c r="H51" s="122" t="s">
        <v>457</v>
      </c>
      <c r="I51" s="122" t="s">
        <v>458</v>
      </c>
      <c r="J51" s="122" t="s">
        <v>300</v>
      </c>
      <c r="K51" s="122" t="s">
        <v>297</v>
      </c>
      <c r="L51" s="123">
        <v>4645</v>
      </c>
    </row>
    <row r="52" spans="2:12" x14ac:dyDescent="0.25">
      <c r="B52" s="120" t="s">
        <v>459</v>
      </c>
      <c r="C52" s="120" t="s">
        <v>460</v>
      </c>
      <c r="D52" s="120" t="s">
        <v>274</v>
      </c>
      <c r="E52" s="120" t="s">
        <v>281</v>
      </c>
      <c r="F52" s="121">
        <v>500</v>
      </c>
      <c r="H52" s="122" t="s">
        <v>461</v>
      </c>
      <c r="I52" s="122" t="s">
        <v>462</v>
      </c>
      <c r="J52" s="122" t="s">
        <v>270</v>
      </c>
      <c r="K52" s="122" t="s">
        <v>271</v>
      </c>
      <c r="L52" s="123">
        <v>4490</v>
      </c>
    </row>
    <row r="53" spans="2:12" x14ac:dyDescent="0.25">
      <c r="B53" s="120" t="s">
        <v>463</v>
      </c>
      <c r="C53" s="120" t="s">
        <v>464</v>
      </c>
      <c r="D53" s="120" t="s">
        <v>274</v>
      </c>
      <c r="E53" s="120" t="s">
        <v>404</v>
      </c>
      <c r="F53" s="121">
        <v>500</v>
      </c>
      <c r="H53" s="122" t="s">
        <v>344</v>
      </c>
      <c r="I53" s="122" t="s">
        <v>345</v>
      </c>
      <c r="J53" s="122" t="s">
        <v>307</v>
      </c>
      <c r="K53" s="122" t="s">
        <v>281</v>
      </c>
      <c r="L53" s="123">
        <v>4200</v>
      </c>
    </row>
    <row r="54" spans="2:12" x14ac:dyDescent="0.25">
      <c r="B54" s="120" t="s">
        <v>465</v>
      </c>
      <c r="C54" s="120" t="s">
        <v>466</v>
      </c>
      <c r="D54" s="120" t="s">
        <v>307</v>
      </c>
      <c r="E54" s="120" t="s">
        <v>288</v>
      </c>
      <c r="F54" s="121">
        <v>500</v>
      </c>
      <c r="H54" s="122" t="s">
        <v>467</v>
      </c>
      <c r="I54" s="122" t="s">
        <v>468</v>
      </c>
      <c r="J54" s="122" t="s">
        <v>270</v>
      </c>
      <c r="K54" s="122" t="s">
        <v>271</v>
      </c>
      <c r="L54" s="123">
        <v>4147</v>
      </c>
    </row>
    <row r="55" spans="2:12" x14ac:dyDescent="0.25">
      <c r="B55" s="120" t="s">
        <v>469</v>
      </c>
      <c r="C55" s="120" t="s">
        <v>470</v>
      </c>
      <c r="D55" s="120" t="s">
        <v>274</v>
      </c>
      <c r="E55" s="120" t="s">
        <v>281</v>
      </c>
      <c r="F55" s="121">
        <v>500</v>
      </c>
      <c r="H55" s="122" t="s">
        <v>471</v>
      </c>
      <c r="I55" s="122" t="s">
        <v>472</v>
      </c>
      <c r="J55" s="122" t="s">
        <v>270</v>
      </c>
      <c r="K55" s="122" t="s">
        <v>297</v>
      </c>
      <c r="L55" s="123">
        <v>4121</v>
      </c>
    </row>
    <row r="56" spans="2:12" x14ac:dyDescent="0.25">
      <c r="B56" s="120" t="s">
        <v>473</v>
      </c>
      <c r="C56" s="120" t="s">
        <v>474</v>
      </c>
      <c r="D56" s="120" t="s">
        <v>274</v>
      </c>
      <c r="E56" s="120" t="s">
        <v>404</v>
      </c>
      <c r="F56" s="121">
        <v>500</v>
      </c>
      <c r="H56" s="122" t="s">
        <v>278</v>
      </c>
      <c r="I56" s="122" t="s">
        <v>279</v>
      </c>
      <c r="J56" s="122" t="s">
        <v>280</v>
      </c>
      <c r="K56" s="122" t="s">
        <v>281</v>
      </c>
      <c r="L56" s="123">
        <v>4040</v>
      </c>
    </row>
    <row r="57" spans="2:12" x14ac:dyDescent="0.25">
      <c r="B57" s="120" t="s">
        <v>475</v>
      </c>
      <c r="C57" s="120" t="s">
        <v>476</v>
      </c>
      <c r="D57" s="120" t="s">
        <v>274</v>
      </c>
      <c r="E57" s="120" t="s">
        <v>404</v>
      </c>
      <c r="F57" s="121">
        <v>500</v>
      </c>
      <c r="H57" s="122" t="s">
        <v>293</v>
      </c>
      <c r="I57" s="122" t="s">
        <v>294</v>
      </c>
      <c r="J57" s="122" t="s">
        <v>280</v>
      </c>
      <c r="K57" s="122" t="s">
        <v>281</v>
      </c>
      <c r="L57" s="123">
        <v>3780</v>
      </c>
    </row>
    <row r="58" spans="2:12" x14ac:dyDescent="0.25">
      <c r="B58" s="120" t="s">
        <v>477</v>
      </c>
      <c r="C58" s="120" t="s">
        <v>478</v>
      </c>
      <c r="D58" s="120" t="s">
        <v>274</v>
      </c>
      <c r="E58" s="120" t="s">
        <v>404</v>
      </c>
      <c r="F58" s="121">
        <v>500</v>
      </c>
      <c r="H58" s="122" t="s">
        <v>479</v>
      </c>
      <c r="I58" s="122" t="s">
        <v>480</v>
      </c>
      <c r="J58" s="122" t="s">
        <v>270</v>
      </c>
      <c r="K58" s="122" t="s">
        <v>281</v>
      </c>
      <c r="L58" s="123">
        <v>3650</v>
      </c>
    </row>
    <row r="59" spans="2:12" x14ac:dyDescent="0.25">
      <c r="B59" s="120" t="s">
        <v>481</v>
      </c>
      <c r="C59" s="120" t="s">
        <v>482</v>
      </c>
      <c r="D59" s="120" t="s">
        <v>307</v>
      </c>
      <c r="E59" s="120" t="s">
        <v>281</v>
      </c>
      <c r="F59" s="121">
        <v>500</v>
      </c>
      <c r="H59" s="122" t="s">
        <v>483</v>
      </c>
      <c r="I59" s="122" t="s">
        <v>484</v>
      </c>
      <c r="J59" s="122" t="s">
        <v>270</v>
      </c>
      <c r="K59" s="122" t="s">
        <v>485</v>
      </c>
      <c r="L59" s="123">
        <v>3650</v>
      </c>
    </row>
    <row r="60" spans="2:12" x14ac:dyDescent="0.25">
      <c r="B60" s="120" t="s">
        <v>486</v>
      </c>
      <c r="C60" s="120" t="s">
        <v>487</v>
      </c>
      <c r="D60" s="120" t="s">
        <v>280</v>
      </c>
      <c r="E60" s="120" t="s">
        <v>485</v>
      </c>
      <c r="F60" s="121">
        <v>500</v>
      </c>
      <c r="H60" s="122" t="s">
        <v>488</v>
      </c>
      <c r="I60" s="122" t="s">
        <v>489</v>
      </c>
      <c r="J60" s="122" t="s">
        <v>270</v>
      </c>
      <c r="K60" s="122" t="s">
        <v>430</v>
      </c>
      <c r="L60" s="123">
        <v>3362</v>
      </c>
    </row>
    <row r="61" spans="2:12" x14ac:dyDescent="0.25">
      <c r="B61" s="120" t="s">
        <v>490</v>
      </c>
      <c r="C61" s="120" t="s">
        <v>491</v>
      </c>
      <c r="D61" s="120" t="s">
        <v>307</v>
      </c>
      <c r="E61" s="120" t="s">
        <v>281</v>
      </c>
      <c r="F61" s="121">
        <v>500</v>
      </c>
      <c r="H61" s="122" t="s">
        <v>492</v>
      </c>
      <c r="I61" s="122" t="s">
        <v>493</v>
      </c>
      <c r="J61" s="122" t="s">
        <v>379</v>
      </c>
      <c r="K61" s="122" t="s">
        <v>297</v>
      </c>
      <c r="L61" s="123">
        <v>3360</v>
      </c>
    </row>
    <row r="62" spans="2:12" x14ac:dyDescent="0.25">
      <c r="B62" s="120" t="s">
        <v>494</v>
      </c>
      <c r="C62" s="120" t="s">
        <v>495</v>
      </c>
      <c r="D62" s="120" t="s">
        <v>307</v>
      </c>
      <c r="E62" s="120" t="s">
        <v>337</v>
      </c>
      <c r="F62" s="121">
        <v>500</v>
      </c>
      <c r="H62" s="122" t="s">
        <v>284</v>
      </c>
      <c r="I62" s="122" t="s">
        <v>285</v>
      </c>
      <c r="J62" s="122" t="s">
        <v>280</v>
      </c>
      <c r="K62" s="122" t="s">
        <v>281</v>
      </c>
      <c r="L62" s="123">
        <v>3340</v>
      </c>
    </row>
    <row r="63" spans="2:12" x14ac:dyDescent="0.25">
      <c r="B63" s="120" t="s">
        <v>496</v>
      </c>
      <c r="C63" s="120" t="s">
        <v>497</v>
      </c>
      <c r="D63" s="120" t="s">
        <v>274</v>
      </c>
      <c r="E63" s="120" t="s">
        <v>404</v>
      </c>
      <c r="F63" s="121">
        <v>500</v>
      </c>
      <c r="H63" s="122" t="s">
        <v>364</v>
      </c>
      <c r="I63" s="122" t="s">
        <v>365</v>
      </c>
      <c r="J63" s="122" t="s">
        <v>280</v>
      </c>
      <c r="K63" s="122" t="s">
        <v>310</v>
      </c>
      <c r="L63" s="123">
        <v>3272</v>
      </c>
    </row>
    <row r="64" spans="2:12" x14ac:dyDescent="0.25">
      <c r="B64" s="120" t="s">
        <v>498</v>
      </c>
      <c r="C64" s="120" t="s">
        <v>499</v>
      </c>
      <c r="D64" s="120" t="s">
        <v>307</v>
      </c>
      <c r="E64" s="120" t="s">
        <v>404</v>
      </c>
      <c r="F64" s="121">
        <v>500</v>
      </c>
      <c r="H64" s="122" t="s">
        <v>289</v>
      </c>
      <c r="I64" s="122" t="s">
        <v>290</v>
      </c>
      <c r="J64" s="122" t="s">
        <v>280</v>
      </c>
      <c r="K64" s="122" t="s">
        <v>281</v>
      </c>
      <c r="L64" s="123">
        <v>3165</v>
      </c>
    </row>
    <row r="65" spans="2:12" x14ac:dyDescent="0.25">
      <c r="B65" s="120" t="s">
        <v>500</v>
      </c>
      <c r="C65" s="120" t="s">
        <v>501</v>
      </c>
      <c r="D65" s="120" t="s">
        <v>340</v>
      </c>
      <c r="E65" s="120" t="s">
        <v>337</v>
      </c>
      <c r="F65" s="121">
        <v>500</v>
      </c>
      <c r="H65" s="122" t="s">
        <v>502</v>
      </c>
      <c r="I65" s="122" t="s">
        <v>503</v>
      </c>
      <c r="J65" s="122" t="s">
        <v>270</v>
      </c>
      <c r="K65" s="122" t="s">
        <v>271</v>
      </c>
      <c r="L65" s="123">
        <v>3070</v>
      </c>
    </row>
    <row r="66" spans="2:12" x14ac:dyDescent="0.25">
      <c r="B66" s="120" t="s">
        <v>313</v>
      </c>
      <c r="C66" s="120" t="s">
        <v>314</v>
      </c>
      <c r="D66" s="120" t="s">
        <v>270</v>
      </c>
      <c r="E66" s="120" t="s">
        <v>281</v>
      </c>
      <c r="F66" s="121">
        <v>500</v>
      </c>
      <c r="H66" s="122" t="s">
        <v>504</v>
      </c>
      <c r="I66" s="122" t="s">
        <v>505</v>
      </c>
      <c r="J66" s="122" t="s">
        <v>270</v>
      </c>
      <c r="K66" s="122" t="s">
        <v>506</v>
      </c>
      <c r="L66" s="123">
        <v>3062</v>
      </c>
    </row>
    <row r="67" spans="2:12" x14ac:dyDescent="0.25">
      <c r="B67" s="120" t="s">
        <v>507</v>
      </c>
      <c r="C67" s="120" t="s">
        <v>508</v>
      </c>
      <c r="D67" s="120" t="s">
        <v>274</v>
      </c>
      <c r="E67" s="120" t="s">
        <v>509</v>
      </c>
      <c r="F67" s="121">
        <v>500</v>
      </c>
      <c r="H67" s="122" t="s">
        <v>383</v>
      </c>
      <c r="I67" s="122" t="s">
        <v>384</v>
      </c>
      <c r="J67" s="122" t="s">
        <v>340</v>
      </c>
      <c r="K67" s="122" t="s">
        <v>385</v>
      </c>
      <c r="L67" s="123">
        <v>3000</v>
      </c>
    </row>
    <row r="68" spans="2:12" x14ac:dyDescent="0.25">
      <c r="B68" s="120" t="s">
        <v>471</v>
      </c>
      <c r="C68" s="120" t="s">
        <v>472</v>
      </c>
      <c r="D68" s="120" t="s">
        <v>270</v>
      </c>
      <c r="E68" s="120" t="s">
        <v>297</v>
      </c>
      <c r="F68" s="121">
        <v>360</v>
      </c>
      <c r="H68" s="122" t="s">
        <v>373</v>
      </c>
      <c r="I68" s="122" t="s">
        <v>374</v>
      </c>
      <c r="J68" s="122" t="s">
        <v>270</v>
      </c>
      <c r="K68" s="122" t="s">
        <v>297</v>
      </c>
      <c r="L68" s="123">
        <v>2957</v>
      </c>
    </row>
    <row r="69" spans="2:12" x14ac:dyDescent="0.25">
      <c r="B69" s="120" t="s">
        <v>420</v>
      </c>
      <c r="C69" s="120" t="s">
        <v>421</v>
      </c>
      <c r="D69" s="120" t="s">
        <v>270</v>
      </c>
      <c r="E69" s="120" t="s">
        <v>297</v>
      </c>
      <c r="F69" s="121">
        <v>270</v>
      </c>
      <c r="H69" s="122" t="s">
        <v>431</v>
      </c>
      <c r="I69" s="122" t="s">
        <v>432</v>
      </c>
      <c r="J69" s="122" t="s">
        <v>424</v>
      </c>
      <c r="K69" s="122" t="s">
        <v>425</v>
      </c>
      <c r="L69" s="123">
        <v>2910</v>
      </c>
    </row>
    <row r="70" spans="2:12" x14ac:dyDescent="0.25">
      <c r="B70" s="120" t="s">
        <v>510</v>
      </c>
      <c r="C70" s="120" t="s">
        <v>511</v>
      </c>
      <c r="D70" s="120" t="s">
        <v>307</v>
      </c>
      <c r="E70" s="120" t="s">
        <v>404</v>
      </c>
      <c r="F70" s="121">
        <v>250</v>
      </c>
      <c r="H70" s="122" t="s">
        <v>433</v>
      </c>
      <c r="I70" s="122" t="s">
        <v>434</v>
      </c>
      <c r="J70" s="122" t="s">
        <v>424</v>
      </c>
      <c r="K70" s="122" t="s">
        <v>435</v>
      </c>
      <c r="L70" s="123">
        <v>2600</v>
      </c>
    </row>
    <row r="71" spans="2:12" x14ac:dyDescent="0.25">
      <c r="B71" s="120" t="s">
        <v>512</v>
      </c>
      <c r="C71" s="120" t="s">
        <v>513</v>
      </c>
      <c r="D71" s="120" t="s">
        <v>424</v>
      </c>
      <c r="E71" s="120" t="s">
        <v>440</v>
      </c>
      <c r="F71" s="121">
        <v>200</v>
      </c>
      <c r="H71" s="122" t="s">
        <v>514</v>
      </c>
      <c r="I71" s="122" t="s">
        <v>515</v>
      </c>
      <c r="J71" s="122" t="s">
        <v>270</v>
      </c>
      <c r="K71" s="122" t="s">
        <v>297</v>
      </c>
      <c r="L71" s="123">
        <v>2503</v>
      </c>
    </row>
    <row r="72" spans="2:12" x14ac:dyDescent="0.25">
      <c r="B72" s="120" t="s">
        <v>416</v>
      </c>
      <c r="C72" s="120" t="s">
        <v>417</v>
      </c>
      <c r="D72" s="120" t="s">
        <v>270</v>
      </c>
      <c r="E72" s="120" t="s">
        <v>281</v>
      </c>
      <c r="F72" s="121">
        <v>150</v>
      </c>
      <c r="H72" s="122" t="s">
        <v>377</v>
      </c>
      <c r="I72" s="122" t="s">
        <v>378</v>
      </c>
      <c r="J72" s="122" t="s">
        <v>379</v>
      </c>
      <c r="K72" s="122" t="s">
        <v>380</v>
      </c>
      <c r="L72" s="123">
        <v>2500</v>
      </c>
    </row>
    <row r="73" spans="2:12" x14ac:dyDescent="0.25">
      <c r="B73" s="124"/>
      <c r="C73" s="124"/>
      <c r="D73" s="124"/>
      <c r="E73" s="125" t="s">
        <v>231</v>
      </c>
      <c r="F73" s="126">
        <f>SUM(F5:F72)</f>
        <v>240902</v>
      </c>
      <c r="H73" s="122" t="s">
        <v>516</v>
      </c>
      <c r="I73" s="122" t="s">
        <v>517</v>
      </c>
      <c r="J73" s="122" t="s">
        <v>280</v>
      </c>
      <c r="K73" s="122" t="s">
        <v>413</v>
      </c>
      <c r="L73" s="123">
        <v>2425</v>
      </c>
    </row>
    <row r="74" spans="2:12" x14ac:dyDescent="0.25">
      <c r="H74" s="122" t="s">
        <v>369</v>
      </c>
      <c r="I74" s="122" t="s">
        <v>370</v>
      </c>
      <c r="J74" s="122" t="s">
        <v>340</v>
      </c>
      <c r="K74" s="122" t="s">
        <v>281</v>
      </c>
      <c r="L74" s="123">
        <v>2310</v>
      </c>
    </row>
    <row r="75" spans="2:12" x14ac:dyDescent="0.25">
      <c r="H75" s="122" t="s">
        <v>359</v>
      </c>
      <c r="I75" s="122" t="s">
        <v>360</v>
      </c>
      <c r="J75" s="122" t="s">
        <v>280</v>
      </c>
      <c r="K75" s="122" t="s">
        <v>297</v>
      </c>
      <c r="L75" s="123">
        <v>2250</v>
      </c>
    </row>
    <row r="76" spans="2:12" x14ac:dyDescent="0.25">
      <c r="H76" s="122" t="s">
        <v>438</v>
      </c>
      <c r="I76" s="122" t="s">
        <v>439</v>
      </c>
      <c r="J76" s="122" t="s">
        <v>424</v>
      </c>
      <c r="K76" s="122" t="s">
        <v>440</v>
      </c>
      <c r="L76" s="123">
        <v>2080</v>
      </c>
    </row>
    <row r="77" spans="2:12" x14ac:dyDescent="0.25">
      <c r="H77" s="122" t="s">
        <v>518</v>
      </c>
      <c r="I77" s="122" t="s">
        <v>519</v>
      </c>
      <c r="J77" s="122" t="s">
        <v>280</v>
      </c>
      <c r="K77" s="122" t="s">
        <v>520</v>
      </c>
      <c r="L77" s="123">
        <v>2025</v>
      </c>
    </row>
    <row r="78" spans="2:12" x14ac:dyDescent="0.25">
      <c r="H78" s="122" t="s">
        <v>521</v>
      </c>
      <c r="I78" s="122" t="s">
        <v>522</v>
      </c>
      <c r="J78" s="122" t="s">
        <v>280</v>
      </c>
      <c r="K78" s="122" t="s">
        <v>288</v>
      </c>
      <c r="L78" s="123">
        <v>1800</v>
      </c>
    </row>
    <row r="79" spans="2:12" x14ac:dyDescent="0.25">
      <c r="H79" s="122" t="s">
        <v>512</v>
      </c>
      <c r="I79" s="122" t="s">
        <v>513</v>
      </c>
      <c r="J79" s="122" t="s">
        <v>424</v>
      </c>
      <c r="K79" s="122" t="s">
        <v>440</v>
      </c>
      <c r="L79" s="123">
        <v>1650</v>
      </c>
    </row>
    <row r="80" spans="2:12" x14ac:dyDescent="0.25">
      <c r="H80" s="122" t="s">
        <v>523</v>
      </c>
      <c r="I80" s="122" t="s">
        <v>524</v>
      </c>
      <c r="J80" s="122" t="s">
        <v>280</v>
      </c>
      <c r="K80" s="122" t="s">
        <v>281</v>
      </c>
      <c r="L80" s="123">
        <v>1625</v>
      </c>
    </row>
    <row r="81" spans="8:12" x14ac:dyDescent="0.25">
      <c r="H81" s="122" t="s">
        <v>525</v>
      </c>
      <c r="I81" s="122" t="s">
        <v>526</v>
      </c>
      <c r="J81" s="122" t="s">
        <v>280</v>
      </c>
      <c r="K81" s="122" t="s">
        <v>281</v>
      </c>
      <c r="L81" s="123">
        <v>1550</v>
      </c>
    </row>
    <row r="82" spans="8:12" x14ac:dyDescent="0.25">
      <c r="H82" s="122" t="s">
        <v>527</v>
      </c>
      <c r="I82" s="122" t="s">
        <v>528</v>
      </c>
      <c r="J82" s="122" t="s">
        <v>529</v>
      </c>
      <c r="K82" s="122" t="s">
        <v>281</v>
      </c>
      <c r="L82" s="123">
        <v>1400</v>
      </c>
    </row>
    <row r="83" spans="8:12" x14ac:dyDescent="0.25">
      <c r="H83" s="122" t="s">
        <v>530</v>
      </c>
      <c r="I83" s="122" t="s">
        <v>531</v>
      </c>
      <c r="J83" s="122" t="s">
        <v>280</v>
      </c>
      <c r="K83" s="122" t="s">
        <v>281</v>
      </c>
      <c r="L83" s="123">
        <v>1375</v>
      </c>
    </row>
    <row r="84" spans="8:12" x14ac:dyDescent="0.25">
      <c r="H84" s="122" t="s">
        <v>532</v>
      </c>
      <c r="I84" s="122" t="s">
        <v>533</v>
      </c>
      <c r="J84" s="122" t="s">
        <v>280</v>
      </c>
      <c r="K84" s="122" t="s">
        <v>281</v>
      </c>
      <c r="L84" s="123">
        <v>1350</v>
      </c>
    </row>
    <row r="85" spans="8:12" x14ac:dyDescent="0.25">
      <c r="H85" s="122" t="s">
        <v>534</v>
      </c>
      <c r="I85" s="122" t="s">
        <v>535</v>
      </c>
      <c r="J85" s="122" t="s">
        <v>280</v>
      </c>
      <c r="K85" s="122" t="s">
        <v>281</v>
      </c>
      <c r="L85" s="123">
        <v>1312</v>
      </c>
    </row>
    <row r="86" spans="8:12" x14ac:dyDescent="0.25">
      <c r="H86" s="122" t="s">
        <v>405</v>
      </c>
      <c r="I86" s="122" t="s">
        <v>406</v>
      </c>
      <c r="J86" s="122" t="s">
        <v>307</v>
      </c>
      <c r="K86" s="122" t="s">
        <v>304</v>
      </c>
      <c r="L86" s="123">
        <v>1250</v>
      </c>
    </row>
    <row r="87" spans="8:12" x14ac:dyDescent="0.25">
      <c r="H87" s="122" t="s">
        <v>441</v>
      </c>
      <c r="I87" s="122" t="s">
        <v>442</v>
      </c>
      <c r="J87" s="122" t="s">
        <v>280</v>
      </c>
      <c r="K87" s="122" t="s">
        <v>281</v>
      </c>
      <c r="L87" s="123">
        <v>1235</v>
      </c>
    </row>
    <row r="88" spans="8:12" x14ac:dyDescent="0.25">
      <c r="H88" s="122" t="s">
        <v>409</v>
      </c>
      <c r="I88" s="122" t="s">
        <v>410</v>
      </c>
      <c r="J88" s="122" t="s">
        <v>307</v>
      </c>
      <c r="K88" s="122" t="s">
        <v>288</v>
      </c>
      <c r="L88" s="123">
        <v>1200</v>
      </c>
    </row>
    <row r="89" spans="8:12" x14ac:dyDescent="0.25">
      <c r="H89" s="122" t="s">
        <v>447</v>
      </c>
      <c r="I89" s="122" t="s">
        <v>448</v>
      </c>
      <c r="J89" s="122" t="s">
        <v>280</v>
      </c>
      <c r="K89" s="122" t="s">
        <v>281</v>
      </c>
      <c r="L89" s="123">
        <v>1200</v>
      </c>
    </row>
    <row r="90" spans="8:12" x14ac:dyDescent="0.25">
      <c r="H90" s="122" t="s">
        <v>536</v>
      </c>
      <c r="I90" s="122" t="s">
        <v>537</v>
      </c>
      <c r="J90" s="122" t="s">
        <v>280</v>
      </c>
      <c r="K90" s="122" t="s">
        <v>281</v>
      </c>
      <c r="L90" s="123">
        <v>1125</v>
      </c>
    </row>
    <row r="91" spans="8:12" x14ac:dyDescent="0.25">
      <c r="H91" s="122" t="s">
        <v>538</v>
      </c>
      <c r="I91" s="122" t="s">
        <v>539</v>
      </c>
      <c r="J91" s="122" t="s">
        <v>280</v>
      </c>
      <c r="K91" s="122" t="s">
        <v>281</v>
      </c>
      <c r="L91" s="123">
        <v>1100</v>
      </c>
    </row>
    <row r="92" spans="8:12" x14ac:dyDescent="0.25">
      <c r="H92" s="122" t="s">
        <v>540</v>
      </c>
      <c r="I92" s="122" t="s">
        <v>541</v>
      </c>
      <c r="J92" s="122" t="s">
        <v>280</v>
      </c>
      <c r="K92" s="122" t="s">
        <v>281</v>
      </c>
      <c r="L92" s="123">
        <v>1075</v>
      </c>
    </row>
    <row r="93" spans="8:12" x14ac:dyDescent="0.25">
      <c r="H93" s="122" t="s">
        <v>418</v>
      </c>
      <c r="I93" s="122" t="s">
        <v>419</v>
      </c>
      <c r="J93" s="122" t="s">
        <v>307</v>
      </c>
      <c r="K93" s="122" t="s">
        <v>281</v>
      </c>
      <c r="L93" s="123">
        <v>1000</v>
      </c>
    </row>
    <row r="94" spans="8:12" x14ac:dyDescent="0.25">
      <c r="H94" s="122" t="s">
        <v>542</v>
      </c>
      <c r="I94" s="122" t="s">
        <v>543</v>
      </c>
      <c r="J94" s="122" t="s">
        <v>340</v>
      </c>
      <c r="K94" s="122" t="s">
        <v>404</v>
      </c>
      <c r="L94" s="123">
        <v>1000</v>
      </c>
    </row>
    <row r="95" spans="8:12" x14ac:dyDescent="0.25">
      <c r="H95" s="122" t="s">
        <v>544</v>
      </c>
      <c r="I95" s="122" t="s">
        <v>545</v>
      </c>
      <c r="J95" s="122" t="s">
        <v>280</v>
      </c>
      <c r="K95" s="122" t="s">
        <v>281</v>
      </c>
      <c r="L95" s="123">
        <v>1000</v>
      </c>
    </row>
    <row r="96" spans="8:12" x14ac:dyDescent="0.25">
      <c r="H96" s="122" t="s">
        <v>422</v>
      </c>
      <c r="I96" s="122" t="s">
        <v>423</v>
      </c>
      <c r="J96" s="122" t="s">
        <v>424</v>
      </c>
      <c r="K96" s="122" t="s">
        <v>425</v>
      </c>
      <c r="L96" s="123">
        <v>1000</v>
      </c>
    </row>
    <row r="97" spans="8:12" x14ac:dyDescent="0.25">
      <c r="H97" s="122" t="s">
        <v>546</v>
      </c>
      <c r="I97" s="122" t="s">
        <v>547</v>
      </c>
      <c r="J97" s="122" t="s">
        <v>280</v>
      </c>
      <c r="K97" s="122" t="s">
        <v>297</v>
      </c>
      <c r="L97" s="123">
        <v>1000</v>
      </c>
    </row>
    <row r="98" spans="8:12" x14ac:dyDescent="0.25">
      <c r="H98" s="122" t="s">
        <v>548</v>
      </c>
      <c r="I98" s="122" t="s">
        <v>549</v>
      </c>
      <c r="J98" s="122" t="s">
        <v>280</v>
      </c>
      <c r="K98" s="122" t="s">
        <v>281</v>
      </c>
      <c r="L98" s="123">
        <v>1000</v>
      </c>
    </row>
    <row r="99" spans="8:12" x14ac:dyDescent="0.25">
      <c r="H99" s="122" t="s">
        <v>550</v>
      </c>
      <c r="I99" s="122" t="s">
        <v>551</v>
      </c>
      <c r="J99" s="122" t="s">
        <v>424</v>
      </c>
      <c r="K99" s="122" t="s">
        <v>552</v>
      </c>
      <c r="L99" s="123">
        <v>1000</v>
      </c>
    </row>
    <row r="100" spans="8:12" x14ac:dyDescent="0.25">
      <c r="H100" s="122" t="s">
        <v>553</v>
      </c>
      <c r="I100" s="122" t="s">
        <v>554</v>
      </c>
      <c r="J100" s="122" t="s">
        <v>280</v>
      </c>
      <c r="K100" s="122" t="s">
        <v>281</v>
      </c>
      <c r="L100" s="123">
        <v>960</v>
      </c>
    </row>
    <row r="101" spans="8:12" x14ac:dyDescent="0.25">
      <c r="H101" s="122" t="s">
        <v>555</v>
      </c>
      <c r="I101" s="122" t="s">
        <v>556</v>
      </c>
      <c r="J101" s="122" t="s">
        <v>280</v>
      </c>
      <c r="K101" s="122" t="s">
        <v>281</v>
      </c>
      <c r="L101" s="123">
        <v>925</v>
      </c>
    </row>
    <row r="102" spans="8:12" x14ac:dyDescent="0.25">
      <c r="H102" s="122" t="s">
        <v>557</v>
      </c>
      <c r="I102" s="122" t="s">
        <v>558</v>
      </c>
      <c r="J102" s="122" t="s">
        <v>280</v>
      </c>
      <c r="K102" s="122" t="s">
        <v>281</v>
      </c>
      <c r="L102" s="123">
        <v>840</v>
      </c>
    </row>
    <row r="103" spans="8:12" x14ac:dyDescent="0.25">
      <c r="H103" s="122" t="s">
        <v>559</v>
      </c>
      <c r="I103" s="122" t="s">
        <v>560</v>
      </c>
      <c r="J103" s="122" t="s">
        <v>280</v>
      </c>
      <c r="K103" s="122" t="s">
        <v>288</v>
      </c>
      <c r="L103" s="123">
        <v>840</v>
      </c>
    </row>
    <row r="104" spans="8:12" x14ac:dyDescent="0.25">
      <c r="H104" s="122" t="s">
        <v>561</v>
      </c>
      <c r="I104" s="122" t="s">
        <v>562</v>
      </c>
      <c r="J104" s="122" t="s">
        <v>280</v>
      </c>
      <c r="K104" s="122" t="s">
        <v>281</v>
      </c>
      <c r="L104" s="123">
        <v>825</v>
      </c>
    </row>
    <row r="105" spans="8:12" x14ac:dyDescent="0.25">
      <c r="H105" s="122" t="s">
        <v>563</v>
      </c>
      <c r="I105" s="122" t="s">
        <v>564</v>
      </c>
      <c r="J105" s="122" t="s">
        <v>280</v>
      </c>
      <c r="K105" s="122" t="s">
        <v>281</v>
      </c>
      <c r="L105" s="123">
        <v>800</v>
      </c>
    </row>
    <row r="106" spans="8:12" x14ac:dyDescent="0.25">
      <c r="H106" s="122" t="s">
        <v>402</v>
      </c>
      <c r="I106" s="122" t="s">
        <v>403</v>
      </c>
      <c r="J106" s="122" t="s">
        <v>274</v>
      </c>
      <c r="K106" s="122" t="s">
        <v>565</v>
      </c>
      <c r="L106" s="123">
        <v>750</v>
      </c>
    </row>
    <row r="107" spans="8:12" x14ac:dyDescent="0.25">
      <c r="H107" s="122" t="s">
        <v>566</v>
      </c>
      <c r="I107" s="122" t="s">
        <v>567</v>
      </c>
      <c r="J107" s="122" t="s">
        <v>280</v>
      </c>
      <c r="K107" s="122" t="s">
        <v>281</v>
      </c>
      <c r="L107" s="123">
        <v>725</v>
      </c>
    </row>
    <row r="108" spans="8:12" x14ac:dyDescent="0.25">
      <c r="H108" s="122" t="s">
        <v>568</v>
      </c>
      <c r="I108" s="122" t="s">
        <v>569</v>
      </c>
      <c r="J108" s="122" t="s">
        <v>280</v>
      </c>
      <c r="K108" s="122" t="s">
        <v>368</v>
      </c>
      <c r="L108" s="123">
        <v>720</v>
      </c>
    </row>
    <row r="109" spans="8:12" x14ac:dyDescent="0.25">
      <c r="H109" s="122" t="s">
        <v>570</v>
      </c>
      <c r="I109" s="122" t="s">
        <v>571</v>
      </c>
      <c r="J109" s="122" t="s">
        <v>280</v>
      </c>
      <c r="K109" s="122" t="s">
        <v>368</v>
      </c>
      <c r="L109" s="123">
        <v>640</v>
      </c>
    </row>
    <row r="110" spans="8:12" x14ac:dyDescent="0.25">
      <c r="H110" s="122" t="s">
        <v>572</v>
      </c>
      <c r="I110" s="122" t="s">
        <v>573</v>
      </c>
      <c r="J110" s="122" t="s">
        <v>280</v>
      </c>
      <c r="K110" s="122" t="s">
        <v>485</v>
      </c>
      <c r="L110" s="123">
        <v>630</v>
      </c>
    </row>
    <row r="111" spans="8:12" x14ac:dyDescent="0.25">
      <c r="H111" s="122" t="s">
        <v>574</v>
      </c>
      <c r="I111" s="122" t="s">
        <v>575</v>
      </c>
      <c r="J111" s="122" t="s">
        <v>280</v>
      </c>
      <c r="K111" s="122" t="s">
        <v>281</v>
      </c>
      <c r="L111" s="123">
        <v>600</v>
      </c>
    </row>
    <row r="112" spans="8:12" x14ac:dyDescent="0.25">
      <c r="H112" s="122" t="s">
        <v>576</v>
      </c>
      <c r="I112" s="122" t="s">
        <v>577</v>
      </c>
      <c r="J112" s="122" t="s">
        <v>280</v>
      </c>
      <c r="K112" s="122" t="s">
        <v>281</v>
      </c>
      <c r="L112" s="123">
        <v>550</v>
      </c>
    </row>
    <row r="113" spans="8:12" x14ac:dyDescent="0.25">
      <c r="H113" s="122" t="s">
        <v>578</v>
      </c>
      <c r="I113" s="122" t="s">
        <v>579</v>
      </c>
      <c r="J113" s="122" t="s">
        <v>280</v>
      </c>
      <c r="K113" s="122" t="s">
        <v>281</v>
      </c>
      <c r="L113" s="123">
        <v>550</v>
      </c>
    </row>
    <row r="114" spans="8:12" x14ac:dyDescent="0.25">
      <c r="H114" s="122" t="s">
        <v>580</v>
      </c>
      <c r="I114" s="122" t="s">
        <v>581</v>
      </c>
      <c r="J114" s="122" t="s">
        <v>529</v>
      </c>
      <c r="K114" s="122" t="s">
        <v>582</v>
      </c>
      <c r="L114" s="123">
        <v>500</v>
      </c>
    </row>
    <row r="115" spans="8:12" x14ac:dyDescent="0.25">
      <c r="H115" s="122" t="s">
        <v>583</v>
      </c>
      <c r="I115" s="122" t="s">
        <v>584</v>
      </c>
      <c r="J115" s="122" t="s">
        <v>529</v>
      </c>
      <c r="K115" s="122" t="s">
        <v>363</v>
      </c>
      <c r="L115" s="123">
        <v>500</v>
      </c>
    </row>
    <row r="116" spans="8:12" x14ac:dyDescent="0.25">
      <c r="H116" s="122" t="s">
        <v>498</v>
      </c>
      <c r="I116" s="122" t="s">
        <v>499</v>
      </c>
      <c r="J116" s="122" t="s">
        <v>307</v>
      </c>
      <c r="K116" s="122" t="s">
        <v>565</v>
      </c>
      <c r="L116" s="123">
        <v>500</v>
      </c>
    </row>
    <row r="117" spans="8:12" x14ac:dyDescent="0.25">
      <c r="H117" s="122" t="s">
        <v>481</v>
      </c>
      <c r="I117" s="122" t="s">
        <v>482</v>
      </c>
      <c r="J117" s="122" t="s">
        <v>307</v>
      </c>
      <c r="K117" s="122" t="s">
        <v>281</v>
      </c>
      <c r="L117" s="123">
        <v>500</v>
      </c>
    </row>
    <row r="118" spans="8:12" x14ac:dyDescent="0.25">
      <c r="H118" s="122" t="s">
        <v>494</v>
      </c>
      <c r="I118" s="122" t="s">
        <v>495</v>
      </c>
      <c r="J118" s="122" t="s">
        <v>307</v>
      </c>
      <c r="K118" s="122" t="s">
        <v>337</v>
      </c>
      <c r="L118" s="123">
        <v>500</v>
      </c>
    </row>
    <row r="119" spans="8:12" x14ac:dyDescent="0.25">
      <c r="H119" s="122" t="s">
        <v>465</v>
      </c>
      <c r="I119" s="122" t="s">
        <v>466</v>
      </c>
      <c r="J119" s="122" t="s">
        <v>307</v>
      </c>
      <c r="K119" s="122" t="s">
        <v>288</v>
      </c>
      <c r="L119" s="123">
        <v>500</v>
      </c>
    </row>
    <row r="120" spans="8:12" x14ac:dyDescent="0.25">
      <c r="H120" s="122" t="s">
        <v>490</v>
      </c>
      <c r="I120" s="122" t="s">
        <v>491</v>
      </c>
      <c r="J120" s="122" t="s">
        <v>307</v>
      </c>
      <c r="K120" s="122" t="s">
        <v>281</v>
      </c>
      <c r="L120" s="123">
        <v>500</v>
      </c>
    </row>
    <row r="121" spans="8:12" x14ac:dyDescent="0.25">
      <c r="H121" s="122" t="s">
        <v>445</v>
      </c>
      <c r="I121" s="122" t="s">
        <v>446</v>
      </c>
      <c r="J121" s="122" t="s">
        <v>300</v>
      </c>
      <c r="K121" s="122" t="s">
        <v>565</v>
      </c>
      <c r="L121" s="123">
        <v>500</v>
      </c>
    </row>
    <row r="122" spans="8:12" x14ac:dyDescent="0.25">
      <c r="H122" s="122" t="s">
        <v>449</v>
      </c>
      <c r="I122" s="122" t="s">
        <v>450</v>
      </c>
      <c r="J122" s="122" t="s">
        <v>274</v>
      </c>
      <c r="K122" s="122" t="s">
        <v>281</v>
      </c>
      <c r="L122" s="123">
        <v>500</v>
      </c>
    </row>
    <row r="123" spans="8:12" x14ac:dyDescent="0.25">
      <c r="H123" s="122" t="s">
        <v>451</v>
      </c>
      <c r="I123" s="122" t="s">
        <v>452</v>
      </c>
      <c r="J123" s="122" t="s">
        <v>274</v>
      </c>
      <c r="K123" s="122" t="s">
        <v>281</v>
      </c>
      <c r="L123" s="123">
        <v>500</v>
      </c>
    </row>
    <row r="124" spans="8:12" x14ac:dyDescent="0.25">
      <c r="H124" s="122" t="s">
        <v>473</v>
      </c>
      <c r="I124" s="122" t="s">
        <v>474</v>
      </c>
      <c r="J124" s="122" t="s">
        <v>274</v>
      </c>
      <c r="K124" s="122" t="s">
        <v>565</v>
      </c>
      <c r="L124" s="123">
        <v>500</v>
      </c>
    </row>
    <row r="125" spans="8:12" x14ac:dyDescent="0.25">
      <c r="H125" s="122" t="s">
        <v>475</v>
      </c>
      <c r="I125" s="122" t="s">
        <v>476</v>
      </c>
      <c r="J125" s="122" t="s">
        <v>274</v>
      </c>
      <c r="K125" s="122" t="s">
        <v>565</v>
      </c>
      <c r="L125" s="123">
        <v>500</v>
      </c>
    </row>
    <row r="126" spans="8:12" x14ac:dyDescent="0.25">
      <c r="H126" s="122" t="s">
        <v>496</v>
      </c>
      <c r="I126" s="122" t="s">
        <v>497</v>
      </c>
      <c r="J126" s="122" t="s">
        <v>274</v>
      </c>
      <c r="K126" s="122">
        <v>0</v>
      </c>
      <c r="L126" s="123">
        <v>500</v>
      </c>
    </row>
    <row r="127" spans="8:12" x14ac:dyDescent="0.25">
      <c r="H127" s="122" t="s">
        <v>477</v>
      </c>
      <c r="I127" s="122" t="s">
        <v>478</v>
      </c>
      <c r="J127" s="122" t="s">
        <v>274</v>
      </c>
      <c r="K127" s="122">
        <v>0</v>
      </c>
      <c r="L127" s="123">
        <v>500</v>
      </c>
    </row>
    <row r="128" spans="8:12" x14ac:dyDescent="0.25">
      <c r="H128" s="122" t="s">
        <v>585</v>
      </c>
      <c r="I128" s="122" t="s">
        <v>586</v>
      </c>
      <c r="J128" s="122" t="s">
        <v>274</v>
      </c>
      <c r="K128" s="122">
        <v>0</v>
      </c>
      <c r="L128" s="123">
        <v>500</v>
      </c>
    </row>
    <row r="129" spans="8:12" x14ac:dyDescent="0.25">
      <c r="H129" s="122" t="s">
        <v>587</v>
      </c>
      <c r="I129" s="122" t="s">
        <v>588</v>
      </c>
      <c r="J129" s="122" t="s">
        <v>280</v>
      </c>
      <c r="K129" s="122" t="s">
        <v>589</v>
      </c>
      <c r="L129" s="123">
        <v>400</v>
      </c>
    </row>
    <row r="130" spans="8:12" x14ac:dyDescent="0.25">
      <c r="H130" s="122" t="s">
        <v>590</v>
      </c>
      <c r="I130" s="122" t="s">
        <v>591</v>
      </c>
      <c r="J130" s="122" t="s">
        <v>280</v>
      </c>
      <c r="K130" s="122" t="s">
        <v>281</v>
      </c>
      <c r="L130" s="123">
        <v>360</v>
      </c>
    </row>
    <row r="131" spans="8:12" x14ac:dyDescent="0.25">
      <c r="H131" s="122" t="s">
        <v>592</v>
      </c>
      <c r="I131" s="122" t="s">
        <v>593</v>
      </c>
      <c r="J131" s="122" t="s">
        <v>280</v>
      </c>
      <c r="K131" s="122" t="s">
        <v>281</v>
      </c>
      <c r="L131" s="123">
        <v>360</v>
      </c>
    </row>
    <row r="132" spans="8:12" x14ac:dyDescent="0.25">
      <c r="H132" s="122" t="s">
        <v>414</v>
      </c>
      <c r="I132" s="122" t="s">
        <v>415</v>
      </c>
      <c r="J132" s="122" t="s">
        <v>270</v>
      </c>
      <c r="K132" s="122" t="s">
        <v>297</v>
      </c>
      <c r="L132" s="123">
        <v>315</v>
      </c>
    </row>
    <row r="133" spans="8:12" x14ac:dyDescent="0.25">
      <c r="H133" s="122" t="s">
        <v>594</v>
      </c>
      <c r="I133" s="122" t="s">
        <v>595</v>
      </c>
      <c r="J133" s="122" t="s">
        <v>270</v>
      </c>
      <c r="K133" s="122" t="s">
        <v>304</v>
      </c>
      <c r="L133" s="123">
        <v>300</v>
      </c>
    </row>
    <row r="134" spans="8:12" x14ac:dyDescent="0.25">
      <c r="H134" s="122" t="s">
        <v>596</v>
      </c>
      <c r="I134" s="122" t="s">
        <v>597</v>
      </c>
      <c r="J134" s="122" t="s">
        <v>280</v>
      </c>
      <c r="K134" s="122" t="s">
        <v>281</v>
      </c>
      <c r="L134" s="123">
        <v>300</v>
      </c>
    </row>
    <row r="135" spans="8:12" x14ac:dyDescent="0.25">
      <c r="H135" s="122" t="s">
        <v>598</v>
      </c>
      <c r="I135" s="122" t="s">
        <v>599</v>
      </c>
      <c r="J135" s="122" t="s">
        <v>424</v>
      </c>
      <c r="K135" s="122" t="s">
        <v>281</v>
      </c>
      <c r="L135" s="123">
        <v>250</v>
      </c>
    </row>
    <row r="136" spans="8:12" x14ac:dyDescent="0.25">
      <c r="H136" s="122" t="s">
        <v>600</v>
      </c>
      <c r="I136" s="122" t="s">
        <v>601</v>
      </c>
      <c r="J136" s="122" t="s">
        <v>280</v>
      </c>
      <c r="K136" s="122" t="s">
        <v>281</v>
      </c>
      <c r="L136" s="123">
        <v>240</v>
      </c>
    </row>
    <row r="137" spans="8:12" x14ac:dyDescent="0.25">
      <c r="H137" s="122" t="s">
        <v>602</v>
      </c>
      <c r="I137" s="122" t="s">
        <v>603</v>
      </c>
      <c r="J137" s="122" t="s">
        <v>280</v>
      </c>
      <c r="K137" s="122" t="s">
        <v>604</v>
      </c>
      <c r="L137" s="123">
        <v>240</v>
      </c>
    </row>
    <row r="138" spans="8:12" x14ac:dyDescent="0.25">
      <c r="H138" s="122" t="s">
        <v>605</v>
      </c>
      <c r="I138" s="122" t="s">
        <v>606</v>
      </c>
      <c r="J138" s="122" t="s">
        <v>274</v>
      </c>
      <c r="K138" s="122" t="s">
        <v>281</v>
      </c>
      <c r="L138" s="123">
        <v>200</v>
      </c>
    </row>
    <row r="139" spans="8:12" x14ac:dyDescent="0.25">
      <c r="H139" s="122" t="s">
        <v>607</v>
      </c>
      <c r="I139" s="122" t="s">
        <v>608</v>
      </c>
      <c r="J139" s="122" t="s">
        <v>280</v>
      </c>
      <c r="K139" s="122" t="s">
        <v>281</v>
      </c>
      <c r="L139" s="123">
        <v>200</v>
      </c>
    </row>
    <row r="140" spans="8:12" x14ac:dyDescent="0.25">
      <c r="H140" s="122" t="s">
        <v>609</v>
      </c>
      <c r="I140" s="122" t="s">
        <v>610</v>
      </c>
      <c r="J140" s="122" t="s">
        <v>280</v>
      </c>
      <c r="K140" s="122" t="s">
        <v>281</v>
      </c>
      <c r="L140" s="123">
        <v>180</v>
      </c>
    </row>
    <row r="141" spans="8:12" x14ac:dyDescent="0.25">
      <c r="K141" s="125" t="s">
        <v>231</v>
      </c>
      <c r="L141" s="126">
        <f>SUM(L5:L140)</f>
        <v>474254</v>
      </c>
    </row>
  </sheetData>
  <customSheetViews>
    <customSheetView guid="{40DAEB26-20D3-4AB4-B94D-0ED6F1AA8B5C}" showGridLines="0" state="hidden">
      <pane xSplit="2" ySplit="4" topLeftCell="D53" activePane="bottomRight" state="frozen"/>
      <selection pane="bottomRight" activeCell="I67" sqref="I67"/>
      <pageMargins left="0.7" right="0.7" top="0.75" bottom="0.75" header="0.3" footer="0.3"/>
    </customSheetView>
    <customSheetView guid="{DD1F7198-8B36-4512-8BBD-8050BD05AADA}" showGridLines="0" state="hidden">
      <pane xSplit="2" ySplit="4" topLeftCell="D53" activePane="bottomRight" state="frozen"/>
      <selection pane="bottomRight" activeCell="I67" sqref="I67"/>
      <pageMargins left="0.7" right="0.7" top="0.75" bottom="0.75" header="0.3" footer="0.3"/>
    </customSheetView>
  </customSheetViews>
  <mergeCells count="2">
    <mergeCell ref="B2:F2"/>
    <mergeCell ref="H2:L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workbookViewId="0">
      <selection activeCell="H22" sqref="H22"/>
    </sheetView>
  </sheetViews>
  <sheetFormatPr defaultRowHeight="15" x14ac:dyDescent="0.25"/>
  <cols>
    <col min="2" max="2" width="32" customWidth="1"/>
    <col min="6" max="6" width="23.5703125" customWidth="1"/>
    <col min="9" max="9" width="19.7109375" customWidth="1"/>
    <col min="10" max="10" width="21.85546875" customWidth="1"/>
    <col min="14" max="14" width="26.7109375" customWidth="1"/>
  </cols>
  <sheetData>
    <row r="1" spans="1:15" x14ac:dyDescent="0.25">
      <c r="A1" s="262" t="s">
        <v>661</v>
      </c>
      <c r="E1" s="262" t="s">
        <v>662</v>
      </c>
      <c r="I1" s="262" t="s">
        <v>663</v>
      </c>
      <c r="M1" s="262" t="s">
        <v>664</v>
      </c>
    </row>
    <row r="2" spans="1:15" x14ac:dyDescent="0.25">
      <c r="A2" s="261" t="s">
        <v>418</v>
      </c>
      <c r="B2" s="261" t="s">
        <v>419</v>
      </c>
      <c r="C2">
        <v>1000</v>
      </c>
      <c r="E2" s="261" t="s">
        <v>445</v>
      </c>
      <c r="F2" s="261" t="s">
        <v>446</v>
      </c>
      <c r="G2">
        <v>1200</v>
      </c>
      <c r="I2" s="261" t="s">
        <v>418</v>
      </c>
      <c r="J2" s="261" t="s">
        <v>419</v>
      </c>
      <c r="K2" s="261">
        <v>1000</v>
      </c>
      <c r="M2" s="261" t="s">
        <v>361</v>
      </c>
      <c r="N2" s="261" t="s">
        <v>362</v>
      </c>
      <c r="O2">
        <v>4913</v>
      </c>
    </row>
    <row r="3" spans="1:15" x14ac:dyDescent="0.25">
      <c r="A3" s="261" t="s">
        <v>405</v>
      </c>
      <c r="B3" s="261" t="s">
        <v>406</v>
      </c>
      <c r="C3">
        <v>1250</v>
      </c>
      <c r="E3" s="261" t="s">
        <v>665</v>
      </c>
      <c r="F3" s="261" t="s">
        <v>666</v>
      </c>
      <c r="G3">
        <v>3074</v>
      </c>
      <c r="I3" s="261" t="s">
        <v>405</v>
      </c>
      <c r="J3" s="261" t="s">
        <v>406</v>
      </c>
      <c r="K3" s="261">
        <v>1250</v>
      </c>
      <c r="M3" s="261" t="s">
        <v>291</v>
      </c>
      <c r="N3" s="261" t="s">
        <v>292</v>
      </c>
      <c r="O3">
        <v>6546</v>
      </c>
    </row>
    <row r="4" spans="1:15" x14ac:dyDescent="0.25">
      <c r="A4" s="261" t="s">
        <v>383</v>
      </c>
      <c r="B4" s="261" t="s">
        <v>384</v>
      </c>
      <c r="C4">
        <v>5000</v>
      </c>
      <c r="E4" s="261" t="s">
        <v>278</v>
      </c>
      <c r="F4" s="261" t="s">
        <v>279</v>
      </c>
      <c r="G4">
        <v>2240</v>
      </c>
      <c r="I4" s="261" t="s">
        <v>383</v>
      </c>
      <c r="J4" s="261" t="s">
        <v>384</v>
      </c>
      <c r="K4" s="261">
        <v>5000</v>
      </c>
      <c r="M4" s="261" t="s">
        <v>479</v>
      </c>
      <c r="N4" s="261" t="s">
        <v>480</v>
      </c>
      <c r="O4">
        <v>3857</v>
      </c>
    </row>
    <row r="5" spans="1:15" x14ac:dyDescent="0.25">
      <c r="A5" s="261" t="s">
        <v>667</v>
      </c>
      <c r="B5" s="261" t="s">
        <v>668</v>
      </c>
      <c r="C5">
        <v>5627</v>
      </c>
      <c r="E5" s="261" t="s">
        <v>320</v>
      </c>
      <c r="F5" s="261" t="s">
        <v>321</v>
      </c>
      <c r="G5">
        <v>2835</v>
      </c>
      <c r="I5" s="261" t="s">
        <v>667</v>
      </c>
      <c r="J5" s="261" t="s">
        <v>668</v>
      </c>
      <c r="K5" s="261">
        <v>5627</v>
      </c>
      <c r="M5" s="261" t="s">
        <v>471</v>
      </c>
      <c r="N5" s="261" t="s">
        <v>472</v>
      </c>
      <c r="O5">
        <v>2890</v>
      </c>
    </row>
    <row r="6" spans="1:15" x14ac:dyDescent="0.25">
      <c r="A6" s="261" t="s">
        <v>498</v>
      </c>
      <c r="B6" s="261" t="s">
        <v>499</v>
      </c>
      <c r="C6">
        <v>500</v>
      </c>
      <c r="E6" s="261" t="s">
        <v>516</v>
      </c>
      <c r="F6" s="261" t="s">
        <v>517</v>
      </c>
      <c r="G6">
        <v>6675</v>
      </c>
      <c r="I6" s="261" t="s">
        <v>498</v>
      </c>
      <c r="J6" s="261" t="s">
        <v>499</v>
      </c>
      <c r="K6" s="261">
        <v>500</v>
      </c>
      <c r="M6" s="261" t="s">
        <v>276</v>
      </c>
      <c r="N6" s="261" t="s">
        <v>277</v>
      </c>
      <c r="O6">
        <v>6246</v>
      </c>
    </row>
    <row r="7" spans="1:15" x14ac:dyDescent="0.25">
      <c r="A7" s="261" t="s">
        <v>377</v>
      </c>
      <c r="B7" s="261" t="s">
        <v>378</v>
      </c>
      <c r="C7">
        <v>3000</v>
      </c>
      <c r="E7" s="261" t="s">
        <v>540</v>
      </c>
      <c r="F7" s="261" t="s">
        <v>541</v>
      </c>
      <c r="G7">
        <v>1200</v>
      </c>
      <c r="I7" s="261" t="s">
        <v>377</v>
      </c>
      <c r="J7" s="261" t="s">
        <v>378</v>
      </c>
      <c r="K7" s="261">
        <v>3000</v>
      </c>
      <c r="M7" s="261" t="s">
        <v>594</v>
      </c>
      <c r="N7" s="261" t="s">
        <v>595</v>
      </c>
      <c r="O7">
        <v>6546</v>
      </c>
    </row>
    <row r="8" spans="1:15" x14ac:dyDescent="0.25">
      <c r="A8" s="261" t="s">
        <v>436</v>
      </c>
      <c r="B8" s="261" t="s">
        <v>437</v>
      </c>
      <c r="C8">
        <v>300</v>
      </c>
      <c r="E8" s="261" t="s">
        <v>518</v>
      </c>
      <c r="F8" s="261" t="s">
        <v>519</v>
      </c>
      <c r="G8">
        <v>12000</v>
      </c>
      <c r="I8" s="261" t="s">
        <v>494</v>
      </c>
      <c r="J8" s="261" t="s">
        <v>495</v>
      </c>
      <c r="K8" s="261">
        <v>500</v>
      </c>
      <c r="M8" s="261" t="s">
        <v>443</v>
      </c>
      <c r="N8" s="261" t="s">
        <v>444</v>
      </c>
      <c r="O8">
        <v>6546</v>
      </c>
    </row>
    <row r="9" spans="1:15" x14ac:dyDescent="0.25">
      <c r="A9" s="261" t="s">
        <v>366</v>
      </c>
      <c r="B9" s="261" t="s">
        <v>367</v>
      </c>
      <c r="C9">
        <v>300</v>
      </c>
      <c r="E9" s="261" t="s">
        <v>669</v>
      </c>
      <c r="F9" s="261" t="s">
        <v>670</v>
      </c>
      <c r="G9">
        <v>10500</v>
      </c>
      <c r="I9" s="261" t="s">
        <v>369</v>
      </c>
      <c r="J9" s="261" t="s">
        <v>370</v>
      </c>
      <c r="K9" s="261">
        <v>2292</v>
      </c>
      <c r="M9" s="261" t="s">
        <v>407</v>
      </c>
      <c r="N9" s="261" t="s">
        <v>408</v>
      </c>
      <c r="O9">
        <v>6546</v>
      </c>
    </row>
    <row r="10" spans="1:15" x14ac:dyDescent="0.25">
      <c r="A10" s="261" t="s">
        <v>353</v>
      </c>
      <c r="B10" s="261" t="s">
        <v>354</v>
      </c>
      <c r="C10">
        <v>300</v>
      </c>
      <c r="E10" s="261" t="s">
        <v>574</v>
      </c>
      <c r="F10" s="261" t="s">
        <v>575</v>
      </c>
      <c r="G10">
        <v>2375</v>
      </c>
      <c r="I10" s="261" t="s">
        <v>324</v>
      </c>
      <c r="J10" s="261" t="s">
        <v>325</v>
      </c>
      <c r="K10" s="261">
        <v>4095</v>
      </c>
      <c r="M10" s="261" t="s">
        <v>388</v>
      </c>
      <c r="N10" s="261" t="s">
        <v>389</v>
      </c>
      <c r="O10">
        <v>6078</v>
      </c>
    </row>
    <row r="11" spans="1:15" x14ac:dyDescent="0.25">
      <c r="A11" s="261" t="s">
        <v>357</v>
      </c>
      <c r="B11" s="261" t="s">
        <v>358</v>
      </c>
      <c r="C11">
        <v>6229</v>
      </c>
      <c r="E11" s="261" t="s">
        <v>521</v>
      </c>
      <c r="F11" s="261" t="s">
        <v>522</v>
      </c>
      <c r="G11">
        <v>2200</v>
      </c>
      <c r="I11" s="261" t="s">
        <v>500</v>
      </c>
      <c r="J11" s="261" t="s">
        <v>501</v>
      </c>
      <c r="K11" s="261">
        <v>600</v>
      </c>
      <c r="M11" s="261" t="s">
        <v>295</v>
      </c>
      <c r="N11" s="261" t="s">
        <v>296</v>
      </c>
      <c r="O11">
        <v>6546</v>
      </c>
    </row>
    <row r="12" spans="1:15" x14ac:dyDescent="0.25">
      <c r="A12" s="261" t="s">
        <v>335</v>
      </c>
      <c r="B12" s="261" t="s">
        <v>336</v>
      </c>
      <c r="C12">
        <v>8850</v>
      </c>
      <c r="E12" s="261" t="s">
        <v>544</v>
      </c>
      <c r="F12" s="261" t="s">
        <v>545</v>
      </c>
      <c r="G12">
        <v>1850</v>
      </c>
      <c r="I12" s="261" t="s">
        <v>465</v>
      </c>
      <c r="J12" s="261" t="s">
        <v>466</v>
      </c>
      <c r="K12" s="261">
        <v>500</v>
      </c>
      <c r="M12" s="261" t="s">
        <v>381</v>
      </c>
      <c r="N12" s="261" t="s">
        <v>382</v>
      </c>
      <c r="O12">
        <v>6246</v>
      </c>
    </row>
    <row r="13" spans="1:15" x14ac:dyDescent="0.25">
      <c r="A13" s="261" t="s">
        <v>317</v>
      </c>
      <c r="B13" s="261" t="s">
        <v>318</v>
      </c>
      <c r="C13">
        <v>5329</v>
      </c>
      <c r="E13" s="261" t="s">
        <v>422</v>
      </c>
      <c r="F13" s="261" t="s">
        <v>423</v>
      </c>
      <c r="G13">
        <v>1500</v>
      </c>
      <c r="I13" s="261" t="s">
        <v>328</v>
      </c>
      <c r="J13" s="261" t="s">
        <v>329</v>
      </c>
      <c r="K13" s="261">
        <v>4760</v>
      </c>
      <c r="M13" s="261" t="s">
        <v>502</v>
      </c>
      <c r="N13" s="261" t="s">
        <v>503</v>
      </c>
      <c r="O13">
        <v>5646</v>
      </c>
    </row>
    <row r="14" spans="1:15" x14ac:dyDescent="0.25">
      <c r="A14" s="261" t="s">
        <v>282</v>
      </c>
      <c r="B14" s="261" t="s">
        <v>283</v>
      </c>
      <c r="C14">
        <v>5346</v>
      </c>
      <c r="E14" s="261" t="s">
        <v>671</v>
      </c>
      <c r="F14" s="261" t="s">
        <v>672</v>
      </c>
      <c r="G14">
        <v>7500</v>
      </c>
      <c r="I14" s="261" t="s">
        <v>490</v>
      </c>
      <c r="J14" s="261" t="s">
        <v>491</v>
      </c>
      <c r="K14" s="261">
        <v>500</v>
      </c>
      <c r="M14" s="261" t="s">
        <v>346</v>
      </c>
      <c r="N14" s="261" t="s">
        <v>347</v>
      </c>
      <c r="O14">
        <v>5757</v>
      </c>
    </row>
    <row r="15" spans="1:15" x14ac:dyDescent="0.25">
      <c r="A15" s="261" t="s">
        <v>488</v>
      </c>
      <c r="B15" s="261" t="s">
        <v>489</v>
      </c>
      <c r="C15">
        <v>5646</v>
      </c>
      <c r="E15" s="261" t="s">
        <v>431</v>
      </c>
      <c r="F15" s="261" t="s">
        <v>432</v>
      </c>
      <c r="G15">
        <v>3410</v>
      </c>
      <c r="I15" s="261" t="s">
        <v>542</v>
      </c>
      <c r="J15" s="261" t="s">
        <v>543</v>
      </c>
      <c r="K15" s="261">
        <v>1500</v>
      </c>
      <c r="M15" s="261" t="s">
        <v>302</v>
      </c>
      <c r="N15" s="261" t="s">
        <v>303</v>
      </c>
      <c r="O15">
        <v>8546</v>
      </c>
    </row>
    <row r="16" spans="1:15" x14ac:dyDescent="0.25">
      <c r="A16" s="261" t="s">
        <v>371</v>
      </c>
      <c r="B16" s="261" t="s">
        <v>372</v>
      </c>
      <c r="C16">
        <v>5188</v>
      </c>
      <c r="E16" s="261" t="s">
        <v>673</v>
      </c>
      <c r="F16" s="261" t="s">
        <v>674</v>
      </c>
      <c r="G16">
        <v>5460</v>
      </c>
      <c r="I16" s="261" t="s">
        <v>675</v>
      </c>
      <c r="J16" s="261" t="s">
        <v>676</v>
      </c>
      <c r="K16" s="261">
        <v>1500</v>
      </c>
      <c r="M16" s="261" t="s">
        <v>420</v>
      </c>
      <c r="N16" s="261" t="s">
        <v>421</v>
      </c>
      <c r="O16">
        <v>2885</v>
      </c>
    </row>
    <row r="17" spans="1:15" x14ac:dyDescent="0.25">
      <c r="A17" s="261" t="s">
        <v>416</v>
      </c>
      <c r="B17" s="261" t="s">
        <v>417</v>
      </c>
      <c r="C17">
        <v>3710</v>
      </c>
      <c r="E17" s="261" t="s">
        <v>438</v>
      </c>
      <c r="F17" s="261" t="s">
        <v>439</v>
      </c>
      <c r="G17">
        <v>2080</v>
      </c>
      <c r="I17" s="261" t="s">
        <v>409</v>
      </c>
      <c r="J17" s="261" t="s">
        <v>410</v>
      </c>
      <c r="K17" s="261">
        <v>1200</v>
      </c>
      <c r="M17" s="261" t="s">
        <v>373</v>
      </c>
      <c r="N17" s="261" t="s">
        <v>374</v>
      </c>
      <c r="O17">
        <v>2887</v>
      </c>
    </row>
    <row r="18" spans="1:15" x14ac:dyDescent="0.25">
      <c r="A18" s="261" t="s">
        <v>322</v>
      </c>
      <c r="B18" s="261" t="s">
        <v>323</v>
      </c>
      <c r="C18">
        <v>5346</v>
      </c>
      <c r="E18" s="261" t="s">
        <v>486</v>
      </c>
      <c r="F18" s="261" t="s">
        <v>487</v>
      </c>
      <c r="G18">
        <v>2100</v>
      </c>
      <c r="I18" s="261" t="s">
        <v>677</v>
      </c>
      <c r="J18" s="261" t="s">
        <v>678</v>
      </c>
      <c r="K18" s="261">
        <v>1000</v>
      </c>
      <c r="M18" s="261" t="s">
        <v>308</v>
      </c>
      <c r="N18" s="261" t="s">
        <v>309</v>
      </c>
      <c r="O18">
        <v>5488</v>
      </c>
    </row>
    <row r="19" spans="1:15" x14ac:dyDescent="0.25">
      <c r="A19" s="261" t="s">
        <v>461</v>
      </c>
      <c r="B19" s="261" t="s">
        <v>462</v>
      </c>
      <c r="C19">
        <v>5646</v>
      </c>
      <c r="E19" s="261" t="s">
        <v>679</v>
      </c>
      <c r="F19" s="261" t="s">
        <v>680</v>
      </c>
      <c r="G19">
        <v>6760</v>
      </c>
      <c r="I19" s="261" t="s">
        <v>305</v>
      </c>
      <c r="J19" s="261" t="s">
        <v>306</v>
      </c>
      <c r="K19" s="261">
        <v>4795</v>
      </c>
      <c r="M19" s="261" t="s">
        <v>390</v>
      </c>
      <c r="N19" s="261" t="s">
        <v>391</v>
      </c>
      <c r="O19">
        <v>5220</v>
      </c>
    </row>
    <row r="20" spans="1:15" x14ac:dyDescent="0.25">
      <c r="A20" s="261" t="s">
        <v>445</v>
      </c>
      <c r="B20" s="261" t="s">
        <v>446</v>
      </c>
      <c r="C20">
        <v>1200</v>
      </c>
      <c r="E20" s="261" t="s">
        <v>433</v>
      </c>
      <c r="F20" s="261" t="s">
        <v>434</v>
      </c>
      <c r="G20">
        <v>2600</v>
      </c>
      <c r="I20" s="261" t="s">
        <v>492</v>
      </c>
      <c r="J20" s="261" t="s">
        <v>493</v>
      </c>
      <c r="K20" s="261">
        <v>3115</v>
      </c>
      <c r="M20" s="261" t="s">
        <v>400</v>
      </c>
      <c r="N20" s="261" t="s">
        <v>401</v>
      </c>
      <c r="O20">
        <v>5095</v>
      </c>
    </row>
    <row r="21" spans="1:15" x14ac:dyDescent="0.25">
      <c r="A21" s="261" t="s">
        <v>504</v>
      </c>
      <c r="B21" s="261" t="s">
        <v>505</v>
      </c>
      <c r="C21">
        <v>10079</v>
      </c>
      <c r="E21" s="261" t="s">
        <v>570</v>
      </c>
      <c r="F21" s="261" t="s">
        <v>571</v>
      </c>
      <c r="G21">
        <v>9000</v>
      </c>
      <c r="I21" s="261" t="s">
        <v>349</v>
      </c>
      <c r="J21" s="261" t="s">
        <v>350</v>
      </c>
      <c r="K21" s="261">
        <v>4375</v>
      </c>
      <c r="M21" s="261" t="s">
        <v>394</v>
      </c>
      <c r="N21" s="261" t="s">
        <v>395</v>
      </c>
      <c r="O21">
        <v>4060</v>
      </c>
    </row>
    <row r="22" spans="1:15" x14ac:dyDescent="0.25">
      <c r="A22" s="261" t="s">
        <v>494</v>
      </c>
      <c r="B22" s="261" t="s">
        <v>495</v>
      </c>
      <c r="C22">
        <v>500</v>
      </c>
      <c r="E22" s="261" t="s">
        <v>605</v>
      </c>
      <c r="F22" s="261" t="s">
        <v>606</v>
      </c>
      <c r="G22">
        <v>200</v>
      </c>
      <c r="I22" s="261" t="s">
        <v>681</v>
      </c>
      <c r="J22" s="261" t="s">
        <v>682</v>
      </c>
      <c r="K22" s="261">
        <v>3920</v>
      </c>
      <c r="M22" s="261" t="s">
        <v>392</v>
      </c>
      <c r="N22" s="261" t="s">
        <v>393</v>
      </c>
      <c r="O22">
        <v>5555</v>
      </c>
    </row>
    <row r="23" spans="1:15" x14ac:dyDescent="0.25">
      <c r="A23" s="261" t="s">
        <v>683</v>
      </c>
      <c r="B23" s="261" t="s">
        <v>684</v>
      </c>
      <c r="C23">
        <v>4411</v>
      </c>
      <c r="E23" s="261" t="s">
        <v>685</v>
      </c>
      <c r="F23" s="261" t="s">
        <v>686</v>
      </c>
      <c r="G23">
        <v>2800</v>
      </c>
      <c r="I23" s="261"/>
      <c r="J23" s="261"/>
      <c r="M23" s="261" t="s">
        <v>467</v>
      </c>
      <c r="N23" s="261" t="s">
        <v>468</v>
      </c>
      <c r="O23">
        <v>5046</v>
      </c>
    </row>
    <row r="24" spans="1:15" x14ac:dyDescent="0.25">
      <c r="A24" s="261" t="s">
        <v>369</v>
      </c>
      <c r="B24" s="261" t="s">
        <v>370</v>
      </c>
      <c r="C24">
        <v>2292</v>
      </c>
      <c r="E24" s="261" t="s">
        <v>687</v>
      </c>
      <c r="F24" s="261" t="s">
        <v>688</v>
      </c>
      <c r="G24">
        <v>2680</v>
      </c>
      <c r="M24" s="261" t="s">
        <v>414</v>
      </c>
      <c r="N24" s="261" t="s">
        <v>415</v>
      </c>
      <c r="O24">
        <v>2559</v>
      </c>
    </row>
    <row r="25" spans="1:15" x14ac:dyDescent="0.25">
      <c r="A25" s="261" t="s">
        <v>411</v>
      </c>
      <c r="B25" s="261" t="s">
        <v>412</v>
      </c>
      <c r="C25">
        <v>4746</v>
      </c>
      <c r="E25" s="261" t="s">
        <v>568</v>
      </c>
      <c r="F25" s="261" t="s">
        <v>569</v>
      </c>
      <c r="G25">
        <v>9000</v>
      </c>
      <c r="M25" s="261" t="s">
        <v>514</v>
      </c>
      <c r="N25" s="261" t="s">
        <v>515</v>
      </c>
      <c r="O25">
        <v>2964</v>
      </c>
    </row>
    <row r="26" spans="1:15" x14ac:dyDescent="0.25">
      <c r="A26" s="261" t="s">
        <v>341</v>
      </c>
      <c r="B26" s="261" t="s">
        <v>342</v>
      </c>
      <c r="C26">
        <v>9265</v>
      </c>
      <c r="E26" s="261" t="s">
        <v>689</v>
      </c>
      <c r="F26" s="261" t="s">
        <v>690</v>
      </c>
      <c r="G26">
        <v>5750</v>
      </c>
      <c r="M26" s="261" t="s">
        <v>691</v>
      </c>
      <c r="N26" s="261" t="s">
        <v>692</v>
      </c>
      <c r="O26">
        <v>6546</v>
      </c>
    </row>
    <row r="27" spans="1:15" x14ac:dyDescent="0.25">
      <c r="A27" s="261" t="s">
        <v>268</v>
      </c>
      <c r="B27" s="261" t="s">
        <v>269</v>
      </c>
      <c r="C27">
        <v>7146</v>
      </c>
      <c r="E27" s="261" t="s">
        <v>590</v>
      </c>
      <c r="F27" s="261" t="s">
        <v>591</v>
      </c>
      <c r="G27">
        <v>7020</v>
      </c>
      <c r="M27" s="261" t="s">
        <v>693</v>
      </c>
      <c r="N27" s="261" t="s">
        <v>694</v>
      </c>
      <c r="O27">
        <v>5346</v>
      </c>
    </row>
    <row r="28" spans="1:15" x14ac:dyDescent="0.25">
      <c r="A28" s="261" t="s">
        <v>386</v>
      </c>
      <c r="B28" s="261" t="s">
        <v>387</v>
      </c>
      <c r="C28">
        <v>5646</v>
      </c>
      <c r="E28" s="261" t="s">
        <v>523</v>
      </c>
      <c r="F28" s="261" t="s">
        <v>524</v>
      </c>
      <c r="G28">
        <v>1700</v>
      </c>
      <c r="M28" s="261" t="s">
        <v>695</v>
      </c>
      <c r="N28" s="261" t="s">
        <v>696</v>
      </c>
      <c r="O28">
        <v>5946</v>
      </c>
    </row>
    <row r="29" spans="1:15" x14ac:dyDescent="0.25">
      <c r="A29" s="261" t="s">
        <v>326</v>
      </c>
      <c r="B29" s="261" t="s">
        <v>327</v>
      </c>
      <c r="C29">
        <v>5946</v>
      </c>
      <c r="E29" s="261" t="s">
        <v>447</v>
      </c>
      <c r="F29" s="261" t="s">
        <v>448</v>
      </c>
      <c r="G29">
        <v>8000</v>
      </c>
      <c r="M29" s="261" t="s">
        <v>697</v>
      </c>
      <c r="N29" s="261" t="s">
        <v>698</v>
      </c>
      <c r="O29">
        <v>4862</v>
      </c>
    </row>
    <row r="30" spans="1:15" x14ac:dyDescent="0.25">
      <c r="A30" s="261" t="s">
        <v>313</v>
      </c>
      <c r="B30" s="261" t="s">
        <v>314</v>
      </c>
      <c r="C30">
        <v>5913</v>
      </c>
      <c r="E30" s="261" t="s">
        <v>699</v>
      </c>
      <c r="F30" s="261" t="s">
        <v>700</v>
      </c>
      <c r="G30">
        <v>600</v>
      </c>
    </row>
    <row r="31" spans="1:15" x14ac:dyDescent="0.25">
      <c r="A31" s="261" t="s">
        <v>361</v>
      </c>
      <c r="B31" s="261" t="s">
        <v>362</v>
      </c>
      <c r="C31">
        <v>4913</v>
      </c>
      <c r="E31" s="261" t="s">
        <v>272</v>
      </c>
      <c r="F31" s="261" t="s">
        <v>273</v>
      </c>
      <c r="G31">
        <v>3514</v>
      </c>
    </row>
    <row r="32" spans="1:15" x14ac:dyDescent="0.25">
      <c r="A32" s="261" t="s">
        <v>291</v>
      </c>
      <c r="B32" s="261" t="s">
        <v>292</v>
      </c>
      <c r="C32">
        <v>6546</v>
      </c>
      <c r="E32" s="261" t="s">
        <v>701</v>
      </c>
      <c r="F32" s="261" t="s">
        <v>702</v>
      </c>
      <c r="G32">
        <v>900</v>
      </c>
    </row>
    <row r="33" spans="1:7" x14ac:dyDescent="0.25">
      <c r="A33" s="261" t="s">
        <v>324</v>
      </c>
      <c r="B33" s="261" t="s">
        <v>325</v>
      </c>
      <c r="C33">
        <v>4095</v>
      </c>
      <c r="E33" s="261" t="s">
        <v>530</v>
      </c>
      <c r="F33" s="261" t="s">
        <v>531</v>
      </c>
      <c r="G33">
        <v>1575</v>
      </c>
    </row>
    <row r="34" spans="1:7" x14ac:dyDescent="0.25">
      <c r="A34" s="261" t="s">
        <v>500</v>
      </c>
      <c r="B34" s="261" t="s">
        <v>501</v>
      </c>
      <c r="C34">
        <v>600</v>
      </c>
      <c r="E34" s="261" t="s">
        <v>703</v>
      </c>
      <c r="F34" s="261" t="s">
        <v>704</v>
      </c>
      <c r="G34">
        <v>3840</v>
      </c>
    </row>
    <row r="35" spans="1:7" x14ac:dyDescent="0.25">
      <c r="A35" s="261" t="s">
        <v>465</v>
      </c>
      <c r="B35" s="261" t="s">
        <v>466</v>
      </c>
      <c r="C35">
        <v>500</v>
      </c>
      <c r="E35" s="261" t="s">
        <v>563</v>
      </c>
      <c r="F35" s="261" t="s">
        <v>564</v>
      </c>
      <c r="G35">
        <v>1925</v>
      </c>
    </row>
    <row r="36" spans="1:7" x14ac:dyDescent="0.25">
      <c r="A36" s="261" t="s">
        <v>479</v>
      </c>
      <c r="B36" s="261" t="s">
        <v>480</v>
      </c>
      <c r="C36">
        <v>3857</v>
      </c>
      <c r="E36" s="261" t="s">
        <v>576</v>
      </c>
      <c r="F36" s="261" t="s">
        <v>577</v>
      </c>
      <c r="G36">
        <v>1250</v>
      </c>
    </row>
    <row r="37" spans="1:7" x14ac:dyDescent="0.25">
      <c r="A37" s="261" t="s">
        <v>471</v>
      </c>
      <c r="B37" s="261" t="s">
        <v>472</v>
      </c>
      <c r="C37">
        <v>2890</v>
      </c>
      <c r="E37" s="261" t="s">
        <v>592</v>
      </c>
      <c r="F37" s="261" t="s">
        <v>593</v>
      </c>
      <c r="G37">
        <v>960</v>
      </c>
    </row>
    <row r="38" spans="1:7" x14ac:dyDescent="0.25">
      <c r="A38" s="261" t="s">
        <v>276</v>
      </c>
      <c r="B38" s="261" t="s">
        <v>277</v>
      </c>
      <c r="C38">
        <v>6246</v>
      </c>
      <c r="E38" s="261" t="s">
        <v>600</v>
      </c>
      <c r="F38" s="261" t="s">
        <v>601</v>
      </c>
      <c r="G38">
        <v>1230</v>
      </c>
    </row>
    <row r="39" spans="1:7" x14ac:dyDescent="0.25">
      <c r="A39" s="261" t="s">
        <v>594</v>
      </c>
      <c r="B39" s="261" t="s">
        <v>595</v>
      </c>
      <c r="C39">
        <v>6546</v>
      </c>
      <c r="E39" s="261" t="s">
        <v>293</v>
      </c>
      <c r="F39" s="261" t="s">
        <v>294</v>
      </c>
      <c r="G39">
        <v>3377</v>
      </c>
    </row>
    <row r="40" spans="1:7" x14ac:dyDescent="0.25">
      <c r="A40" s="261" t="s">
        <v>443</v>
      </c>
      <c r="B40" s="261" t="s">
        <v>444</v>
      </c>
      <c r="C40">
        <v>6546</v>
      </c>
      <c r="E40" s="261" t="s">
        <v>315</v>
      </c>
      <c r="F40" s="261" t="s">
        <v>316</v>
      </c>
      <c r="G40">
        <v>4322</v>
      </c>
    </row>
    <row r="41" spans="1:7" x14ac:dyDescent="0.25">
      <c r="A41" s="261" t="s">
        <v>407</v>
      </c>
      <c r="B41" s="261" t="s">
        <v>408</v>
      </c>
      <c r="C41">
        <v>6546</v>
      </c>
      <c r="E41" s="261" t="s">
        <v>538</v>
      </c>
      <c r="F41" s="261" t="s">
        <v>539</v>
      </c>
      <c r="G41">
        <v>2150</v>
      </c>
    </row>
    <row r="42" spans="1:7" x14ac:dyDescent="0.25">
      <c r="A42" s="261" t="s">
        <v>328</v>
      </c>
      <c r="B42" s="261" t="s">
        <v>329</v>
      </c>
      <c r="C42">
        <v>4760</v>
      </c>
      <c r="E42" s="261" t="s">
        <v>598</v>
      </c>
      <c r="F42" s="261" t="s">
        <v>599</v>
      </c>
      <c r="G42">
        <v>250</v>
      </c>
    </row>
    <row r="43" spans="1:7" x14ac:dyDescent="0.25">
      <c r="A43" s="261" t="s">
        <v>490</v>
      </c>
      <c r="B43" s="261" t="s">
        <v>491</v>
      </c>
      <c r="C43">
        <v>500</v>
      </c>
      <c r="E43" s="261" t="s">
        <v>289</v>
      </c>
      <c r="F43" s="261" t="s">
        <v>290</v>
      </c>
      <c r="G43">
        <v>1680</v>
      </c>
    </row>
    <row r="44" spans="1:7" x14ac:dyDescent="0.25">
      <c r="A44" s="261" t="s">
        <v>542</v>
      </c>
      <c r="B44" s="261" t="s">
        <v>543</v>
      </c>
      <c r="C44">
        <v>1500</v>
      </c>
      <c r="E44" s="261" t="s">
        <v>333</v>
      </c>
      <c r="F44" s="261" t="s">
        <v>334</v>
      </c>
      <c r="G44">
        <v>3727</v>
      </c>
    </row>
    <row r="45" spans="1:7" x14ac:dyDescent="0.25">
      <c r="A45" s="261" t="s">
        <v>388</v>
      </c>
      <c r="B45" s="261" t="s">
        <v>389</v>
      </c>
      <c r="C45">
        <v>6078</v>
      </c>
      <c r="E45" s="261" t="s">
        <v>546</v>
      </c>
      <c r="F45" s="261" t="s">
        <v>547</v>
      </c>
      <c r="G45">
        <v>1500</v>
      </c>
    </row>
    <row r="46" spans="1:7" x14ac:dyDescent="0.25">
      <c r="A46" s="261" t="s">
        <v>295</v>
      </c>
      <c r="B46" s="261" t="s">
        <v>296</v>
      </c>
      <c r="C46">
        <v>6546</v>
      </c>
      <c r="E46" s="261" t="s">
        <v>705</v>
      </c>
      <c r="F46" s="261" t="s">
        <v>706</v>
      </c>
      <c r="G46">
        <v>2530</v>
      </c>
    </row>
    <row r="47" spans="1:7" x14ac:dyDescent="0.25">
      <c r="A47" s="261" t="s">
        <v>675</v>
      </c>
      <c r="B47" s="261" t="s">
        <v>676</v>
      </c>
      <c r="C47">
        <v>1500</v>
      </c>
      <c r="E47" s="261" t="s">
        <v>311</v>
      </c>
      <c r="F47" s="261" t="s">
        <v>312</v>
      </c>
      <c r="G47">
        <v>3430</v>
      </c>
    </row>
    <row r="48" spans="1:7" x14ac:dyDescent="0.25">
      <c r="A48" s="261" t="s">
        <v>381</v>
      </c>
      <c r="B48" s="261" t="s">
        <v>382</v>
      </c>
      <c r="C48">
        <v>6246</v>
      </c>
      <c r="E48" s="261" t="s">
        <v>707</v>
      </c>
      <c r="F48" s="261" t="s">
        <v>708</v>
      </c>
      <c r="G48">
        <v>1000</v>
      </c>
    </row>
    <row r="49" spans="1:7" x14ac:dyDescent="0.25">
      <c r="A49" s="261" t="s">
        <v>409</v>
      </c>
      <c r="B49" s="261" t="s">
        <v>410</v>
      </c>
      <c r="C49">
        <v>1200</v>
      </c>
      <c r="E49" s="261" t="s">
        <v>709</v>
      </c>
      <c r="F49" s="261" t="s">
        <v>710</v>
      </c>
      <c r="G49">
        <v>850</v>
      </c>
    </row>
    <row r="50" spans="1:7" x14ac:dyDescent="0.25">
      <c r="A50" s="261" t="s">
        <v>677</v>
      </c>
      <c r="B50" s="261" t="s">
        <v>678</v>
      </c>
      <c r="C50">
        <v>1000</v>
      </c>
      <c r="E50" s="261" t="s">
        <v>364</v>
      </c>
      <c r="F50" s="261" t="s">
        <v>365</v>
      </c>
      <c r="G50">
        <v>2520</v>
      </c>
    </row>
    <row r="51" spans="1:7" x14ac:dyDescent="0.25">
      <c r="A51" s="261" t="s">
        <v>502</v>
      </c>
      <c r="B51" s="261" t="s">
        <v>503</v>
      </c>
      <c r="C51">
        <v>5646</v>
      </c>
      <c r="E51" s="261" t="s">
        <v>596</v>
      </c>
      <c r="F51" s="261" t="s">
        <v>597</v>
      </c>
      <c r="G51">
        <v>1875</v>
      </c>
    </row>
    <row r="52" spans="1:7" x14ac:dyDescent="0.25">
      <c r="A52" s="261" t="s">
        <v>346</v>
      </c>
      <c r="B52" s="261" t="s">
        <v>347</v>
      </c>
      <c r="C52">
        <v>5757</v>
      </c>
      <c r="E52" s="261" t="s">
        <v>512</v>
      </c>
      <c r="F52" s="261" t="s">
        <v>513</v>
      </c>
      <c r="G52">
        <v>1650</v>
      </c>
    </row>
    <row r="53" spans="1:7" x14ac:dyDescent="0.25">
      <c r="A53" s="261" t="s">
        <v>302</v>
      </c>
      <c r="B53" s="261" t="s">
        <v>303</v>
      </c>
      <c r="C53">
        <v>8546</v>
      </c>
      <c r="E53" s="261" t="s">
        <v>532</v>
      </c>
      <c r="F53" s="261" t="s">
        <v>533</v>
      </c>
      <c r="G53">
        <v>1150</v>
      </c>
    </row>
    <row r="54" spans="1:7" x14ac:dyDescent="0.25">
      <c r="A54" s="261" t="s">
        <v>420</v>
      </c>
      <c r="B54" s="261" t="s">
        <v>421</v>
      </c>
      <c r="C54">
        <v>2885</v>
      </c>
      <c r="E54" s="261" t="s">
        <v>402</v>
      </c>
      <c r="F54" s="261" t="s">
        <v>403</v>
      </c>
      <c r="G54">
        <v>1250</v>
      </c>
    </row>
    <row r="55" spans="1:7" x14ac:dyDescent="0.25">
      <c r="A55" s="261" t="s">
        <v>373</v>
      </c>
      <c r="B55" s="261" t="s">
        <v>374</v>
      </c>
      <c r="C55">
        <v>2887</v>
      </c>
      <c r="E55" s="261" t="s">
        <v>711</v>
      </c>
      <c r="F55" s="261" t="s">
        <v>712</v>
      </c>
      <c r="G55">
        <v>13443</v>
      </c>
    </row>
    <row r="56" spans="1:7" x14ac:dyDescent="0.25">
      <c r="A56" s="261" t="s">
        <v>308</v>
      </c>
      <c r="B56" s="261" t="s">
        <v>309</v>
      </c>
      <c r="C56">
        <v>5488</v>
      </c>
      <c r="E56" s="261" t="s">
        <v>602</v>
      </c>
      <c r="F56" s="261" t="s">
        <v>603</v>
      </c>
      <c r="G56">
        <v>1540</v>
      </c>
    </row>
    <row r="57" spans="1:7" x14ac:dyDescent="0.25">
      <c r="A57" s="261" t="s">
        <v>305</v>
      </c>
      <c r="B57" s="261" t="s">
        <v>306</v>
      </c>
      <c r="C57">
        <v>4795</v>
      </c>
      <c r="E57" s="261" t="s">
        <v>553</v>
      </c>
      <c r="F57" s="261" t="s">
        <v>554</v>
      </c>
      <c r="G57">
        <v>6500</v>
      </c>
    </row>
    <row r="58" spans="1:7" x14ac:dyDescent="0.25">
      <c r="A58" s="261" t="s">
        <v>390</v>
      </c>
      <c r="B58" s="261" t="s">
        <v>391</v>
      </c>
      <c r="C58">
        <v>5220</v>
      </c>
      <c r="E58" s="261" t="s">
        <v>548</v>
      </c>
      <c r="F58" s="261" t="s">
        <v>549</v>
      </c>
      <c r="G58">
        <v>2000</v>
      </c>
    </row>
    <row r="59" spans="1:7" x14ac:dyDescent="0.25">
      <c r="A59" s="261" t="s">
        <v>492</v>
      </c>
      <c r="B59" s="261" t="s">
        <v>493</v>
      </c>
      <c r="C59">
        <v>3115</v>
      </c>
      <c r="E59" s="261" t="s">
        <v>473</v>
      </c>
      <c r="F59" s="261" t="s">
        <v>474</v>
      </c>
      <c r="G59">
        <v>500</v>
      </c>
    </row>
    <row r="60" spans="1:7" x14ac:dyDescent="0.25">
      <c r="A60" s="261" t="s">
        <v>400</v>
      </c>
      <c r="B60" s="261" t="s">
        <v>401</v>
      </c>
      <c r="C60">
        <v>5095</v>
      </c>
      <c r="E60" s="261" t="s">
        <v>496</v>
      </c>
      <c r="F60" s="261" t="s">
        <v>497</v>
      </c>
      <c r="G60">
        <v>500</v>
      </c>
    </row>
    <row r="61" spans="1:7" x14ac:dyDescent="0.25">
      <c r="A61" s="261" t="s">
        <v>394</v>
      </c>
      <c r="B61" s="261" t="s">
        <v>395</v>
      </c>
      <c r="C61">
        <v>4060</v>
      </c>
      <c r="E61" s="261" t="s">
        <v>607</v>
      </c>
      <c r="F61" s="261" t="s">
        <v>608</v>
      </c>
      <c r="G61">
        <v>128</v>
      </c>
    </row>
    <row r="62" spans="1:7" x14ac:dyDescent="0.25">
      <c r="A62" s="261" t="s">
        <v>392</v>
      </c>
      <c r="B62" s="261" t="s">
        <v>393</v>
      </c>
      <c r="C62">
        <v>5555</v>
      </c>
      <c r="E62" s="261" t="s">
        <v>557</v>
      </c>
      <c r="F62" s="261" t="s">
        <v>558</v>
      </c>
      <c r="G62">
        <v>8140</v>
      </c>
    </row>
    <row r="63" spans="1:7" x14ac:dyDescent="0.25">
      <c r="A63" s="261" t="s">
        <v>349</v>
      </c>
      <c r="B63" s="261" t="s">
        <v>350</v>
      </c>
      <c r="C63">
        <v>4375</v>
      </c>
      <c r="E63" s="261" t="s">
        <v>525</v>
      </c>
      <c r="F63" s="261" t="s">
        <v>526</v>
      </c>
      <c r="G63">
        <v>1800</v>
      </c>
    </row>
    <row r="64" spans="1:7" x14ac:dyDescent="0.25">
      <c r="A64" s="261" t="s">
        <v>665</v>
      </c>
      <c r="B64" s="261" t="s">
        <v>666</v>
      </c>
      <c r="C64">
        <v>3074</v>
      </c>
      <c r="E64" s="261" t="s">
        <v>536</v>
      </c>
      <c r="F64" s="261" t="s">
        <v>537</v>
      </c>
      <c r="G64">
        <v>3000</v>
      </c>
    </row>
    <row r="65" spans="1:7" x14ac:dyDescent="0.25">
      <c r="A65" s="261" t="s">
        <v>278</v>
      </c>
      <c r="B65" s="261" t="s">
        <v>279</v>
      </c>
      <c r="C65">
        <v>2240</v>
      </c>
      <c r="E65" s="261" t="s">
        <v>550</v>
      </c>
      <c r="F65" s="261" t="s">
        <v>551</v>
      </c>
      <c r="G65">
        <v>1500</v>
      </c>
    </row>
    <row r="66" spans="1:7" x14ac:dyDescent="0.25">
      <c r="A66" s="261" t="s">
        <v>320</v>
      </c>
      <c r="B66" s="261" t="s">
        <v>321</v>
      </c>
      <c r="C66">
        <v>2835</v>
      </c>
      <c r="E66" s="261" t="s">
        <v>578</v>
      </c>
      <c r="F66" s="261" t="s">
        <v>579</v>
      </c>
      <c r="G66">
        <v>1900</v>
      </c>
    </row>
    <row r="67" spans="1:7" x14ac:dyDescent="0.25">
      <c r="A67" s="261" t="s">
        <v>516</v>
      </c>
      <c r="B67" s="261" t="s">
        <v>517</v>
      </c>
      <c r="C67">
        <v>6675</v>
      </c>
      <c r="E67" s="261" t="s">
        <v>566</v>
      </c>
      <c r="F67" s="261" t="s">
        <v>567</v>
      </c>
      <c r="G67">
        <v>6900</v>
      </c>
    </row>
    <row r="68" spans="1:7" x14ac:dyDescent="0.25">
      <c r="A68" s="261" t="s">
        <v>540</v>
      </c>
      <c r="B68" s="261" t="s">
        <v>541</v>
      </c>
      <c r="C68">
        <v>1200</v>
      </c>
      <c r="E68" s="261" t="s">
        <v>555</v>
      </c>
      <c r="F68" s="261" t="s">
        <v>556</v>
      </c>
      <c r="G68">
        <v>1875</v>
      </c>
    </row>
    <row r="69" spans="1:7" x14ac:dyDescent="0.25">
      <c r="A69" s="261" t="s">
        <v>518</v>
      </c>
      <c r="B69" s="261" t="s">
        <v>519</v>
      </c>
      <c r="C69">
        <v>12000</v>
      </c>
      <c r="E69" s="261" t="s">
        <v>561</v>
      </c>
      <c r="F69" s="261" t="s">
        <v>562</v>
      </c>
      <c r="G69">
        <v>1175</v>
      </c>
    </row>
    <row r="70" spans="1:7" x14ac:dyDescent="0.25">
      <c r="A70" s="261" t="s">
        <v>669</v>
      </c>
      <c r="B70" s="261" t="s">
        <v>670</v>
      </c>
      <c r="C70">
        <v>10500</v>
      </c>
      <c r="E70" s="261" t="s">
        <v>559</v>
      </c>
      <c r="F70" s="261" t="s">
        <v>560</v>
      </c>
      <c r="G70">
        <v>5250</v>
      </c>
    </row>
    <row r="71" spans="1:7" x14ac:dyDescent="0.25">
      <c r="A71" s="261" t="s">
        <v>574</v>
      </c>
      <c r="B71" s="261" t="s">
        <v>575</v>
      </c>
      <c r="C71">
        <v>2375</v>
      </c>
      <c r="E71" s="261" t="s">
        <v>344</v>
      </c>
      <c r="F71" s="261" t="s">
        <v>345</v>
      </c>
      <c r="G71">
        <v>3150</v>
      </c>
    </row>
    <row r="72" spans="1:7" x14ac:dyDescent="0.25">
      <c r="A72" s="261" t="s">
        <v>521</v>
      </c>
      <c r="B72" s="261" t="s">
        <v>522</v>
      </c>
      <c r="C72">
        <v>2200</v>
      </c>
      <c r="E72" s="261" t="s">
        <v>585</v>
      </c>
      <c r="F72" s="261" t="s">
        <v>586</v>
      </c>
      <c r="G72">
        <v>500</v>
      </c>
    </row>
    <row r="73" spans="1:7" x14ac:dyDescent="0.25">
      <c r="A73" s="261" t="s">
        <v>544</v>
      </c>
      <c r="B73" s="261" t="s">
        <v>545</v>
      </c>
      <c r="C73">
        <v>1850</v>
      </c>
      <c r="E73" s="261" t="s">
        <v>572</v>
      </c>
      <c r="F73" s="261" t="s">
        <v>573</v>
      </c>
      <c r="G73">
        <v>7000</v>
      </c>
    </row>
    <row r="74" spans="1:7" x14ac:dyDescent="0.25">
      <c r="A74" s="261" t="s">
        <v>422</v>
      </c>
      <c r="B74" s="261" t="s">
        <v>423</v>
      </c>
      <c r="C74">
        <v>1500</v>
      </c>
      <c r="E74" s="261" t="s">
        <v>713</v>
      </c>
      <c r="F74" s="261" t="s">
        <v>714</v>
      </c>
      <c r="G74">
        <v>3325</v>
      </c>
    </row>
    <row r="75" spans="1:7" x14ac:dyDescent="0.25">
      <c r="A75" s="261" t="s">
        <v>671</v>
      </c>
      <c r="B75" s="261" t="s">
        <v>672</v>
      </c>
      <c r="C75">
        <v>7500</v>
      </c>
      <c r="E75" s="261" t="s">
        <v>351</v>
      </c>
      <c r="F75" s="261" t="s">
        <v>352</v>
      </c>
      <c r="G75">
        <v>3692</v>
      </c>
    </row>
    <row r="76" spans="1:7" x14ac:dyDescent="0.25">
      <c r="A76" s="261" t="s">
        <v>431</v>
      </c>
      <c r="B76" s="261" t="s">
        <v>432</v>
      </c>
      <c r="C76">
        <v>3410</v>
      </c>
      <c r="E76" s="261" t="s">
        <v>715</v>
      </c>
      <c r="F76" s="261" t="s">
        <v>716</v>
      </c>
      <c r="G76">
        <v>1000</v>
      </c>
    </row>
    <row r="77" spans="1:7" x14ac:dyDescent="0.25">
      <c r="A77" s="261" t="s">
        <v>673</v>
      </c>
      <c r="B77" s="261" t="s">
        <v>674</v>
      </c>
      <c r="C77">
        <v>5460</v>
      </c>
      <c r="E77" s="261" t="s">
        <v>717</v>
      </c>
      <c r="F77" s="261" t="s">
        <v>718</v>
      </c>
      <c r="G77">
        <v>500</v>
      </c>
    </row>
    <row r="78" spans="1:7" x14ac:dyDescent="0.25">
      <c r="A78" s="261" t="s">
        <v>438</v>
      </c>
      <c r="B78" s="261" t="s">
        <v>439</v>
      </c>
      <c r="C78">
        <v>2080</v>
      </c>
      <c r="E78" s="261" t="s">
        <v>719</v>
      </c>
      <c r="F78" s="261" t="s">
        <v>720</v>
      </c>
      <c r="G78">
        <v>2590</v>
      </c>
    </row>
    <row r="79" spans="1:7" x14ac:dyDescent="0.25">
      <c r="A79" s="261" t="s">
        <v>486</v>
      </c>
      <c r="B79" s="261" t="s">
        <v>487</v>
      </c>
      <c r="C79">
        <v>2100</v>
      </c>
      <c r="E79" s="261" t="s">
        <v>721</v>
      </c>
      <c r="F79" s="261" t="s">
        <v>722</v>
      </c>
      <c r="G79">
        <v>800</v>
      </c>
    </row>
    <row r="80" spans="1:7" x14ac:dyDescent="0.25">
      <c r="A80" s="261" t="s">
        <v>679</v>
      </c>
      <c r="B80" s="261" t="s">
        <v>680</v>
      </c>
      <c r="C80">
        <v>6760</v>
      </c>
      <c r="E80" s="261" t="s">
        <v>723</v>
      </c>
      <c r="F80" s="261" t="s">
        <v>724</v>
      </c>
      <c r="G80">
        <v>300</v>
      </c>
    </row>
    <row r="81" spans="1:7" x14ac:dyDescent="0.25">
      <c r="A81" s="261" t="s">
        <v>433</v>
      </c>
      <c r="B81" s="261" t="s">
        <v>725</v>
      </c>
      <c r="C81">
        <v>2600</v>
      </c>
      <c r="E81" s="261" t="s">
        <v>726</v>
      </c>
      <c r="F81" s="261" t="s">
        <v>727</v>
      </c>
      <c r="G81">
        <v>800</v>
      </c>
    </row>
    <row r="82" spans="1:7" x14ac:dyDescent="0.25">
      <c r="A82" s="261" t="s">
        <v>570</v>
      </c>
      <c r="B82" s="261" t="s">
        <v>571</v>
      </c>
      <c r="C82">
        <v>9000</v>
      </c>
      <c r="E82" s="261" t="s">
        <v>728</v>
      </c>
      <c r="F82" s="261" t="s">
        <v>729</v>
      </c>
      <c r="G82">
        <v>1330</v>
      </c>
    </row>
    <row r="83" spans="1:7" x14ac:dyDescent="0.25">
      <c r="A83" s="261" t="s">
        <v>605</v>
      </c>
      <c r="B83" s="261" t="s">
        <v>606</v>
      </c>
      <c r="C83">
        <v>200</v>
      </c>
    </row>
    <row r="84" spans="1:7" x14ac:dyDescent="0.25">
      <c r="A84" s="261" t="s">
        <v>685</v>
      </c>
      <c r="B84" s="261" t="s">
        <v>686</v>
      </c>
      <c r="C84">
        <v>2800</v>
      </c>
    </row>
    <row r="85" spans="1:7" x14ac:dyDescent="0.25">
      <c r="A85" s="261" t="s">
        <v>687</v>
      </c>
      <c r="B85" s="261" t="s">
        <v>688</v>
      </c>
      <c r="C85">
        <v>2680</v>
      </c>
    </row>
    <row r="86" spans="1:7" x14ac:dyDescent="0.25">
      <c r="A86" s="261" t="s">
        <v>568</v>
      </c>
      <c r="B86" s="261" t="s">
        <v>569</v>
      </c>
      <c r="C86">
        <v>9000</v>
      </c>
    </row>
    <row r="87" spans="1:7" x14ac:dyDescent="0.25">
      <c r="A87" s="261" t="s">
        <v>689</v>
      </c>
      <c r="B87" s="261" t="s">
        <v>690</v>
      </c>
      <c r="C87">
        <v>5750</v>
      </c>
    </row>
    <row r="88" spans="1:7" x14ac:dyDescent="0.25">
      <c r="A88" s="261" t="s">
        <v>590</v>
      </c>
      <c r="B88" s="261" t="s">
        <v>591</v>
      </c>
      <c r="C88">
        <v>7020</v>
      </c>
    </row>
    <row r="89" spans="1:7" x14ac:dyDescent="0.25">
      <c r="A89" s="261" t="s">
        <v>523</v>
      </c>
      <c r="B89" s="261" t="s">
        <v>524</v>
      </c>
      <c r="C89">
        <v>1700</v>
      </c>
    </row>
    <row r="90" spans="1:7" x14ac:dyDescent="0.25">
      <c r="A90" s="261" t="s">
        <v>447</v>
      </c>
      <c r="B90" s="261" t="s">
        <v>448</v>
      </c>
      <c r="C90">
        <v>8000</v>
      </c>
    </row>
    <row r="91" spans="1:7" x14ac:dyDescent="0.25">
      <c r="A91" s="261" t="s">
        <v>699</v>
      </c>
      <c r="B91" s="261" t="s">
        <v>700</v>
      </c>
      <c r="C91">
        <v>600</v>
      </c>
    </row>
    <row r="92" spans="1:7" x14ac:dyDescent="0.25">
      <c r="A92" s="261" t="s">
        <v>272</v>
      </c>
      <c r="B92" s="261" t="s">
        <v>273</v>
      </c>
      <c r="C92">
        <v>3514</v>
      </c>
    </row>
    <row r="93" spans="1:7" x14ac:dyDescent="0.25">
      <c r="A93" s="261" t="s">
        <v>701</v>
      </c>
      <c r="B93" s="261" t="s">
        <v>702</v>
      </c>
      <c r="C93">
        <v>900</v>
      </c>
    </row>
    <row r="94" spans="1:7" x14ac:dyDescent="0.25">
      <c r="A94" s="261" t="s">
        <v>530</v>
      </c>
      <c r="B94" s="261" t="s">
        <v>531</v>
      </c>
      <c r="C94">
        <v>1575</v>
      </c>
    </row>
    <row r="95" spans="1:7" x14ac:dyDescent="0.25">
      <c r="A95" s="261" t="s">
        <v>703</v>
      </c>
      <c r="B95" s="261" t="s">
        <v>704</v>
      </c>
      <c r="C95">
        <v>3840</v>
      </c>
    </row>
    <row r="96" spans="1:7" x14ac:dyDescent="0.25">
      <c r="A96" s="261" t="s">
        <v>563</v>
      </c>
      <c r="B96" s="261" t="s">
        <v>564</v>
      </c>
      <c r="C96">
        <v>1925</v>
      </c>
    </row>
    <row r="97" spans="1:3" x14ac:dyDescent="0.25">
      <c r="A97" s="261" t="s">
        <v>576</v>
      </c>
      <c r="B97" s="261" t="s">
        <v>577</v>
      </c>
      <c r="C97">
        <v>1250</v>
      </c>
    </row>
    <row r="98" spans="1:3" x14ac:dyDescent="0.25">
      <c r="A98" s="261" t="s">
        <v>592</v>
      </c>
      <c r="B98" s="261" t="s">
        <v>593</v>
      </c>
      <c r="C98">
        <v>960</v>
      </c>
    </row>
    <row r="99" spans="1:3" x14ac:dyDescent="0.25">
      <c r="A99" s="261" t="s">
        <v>600</v>
      </c>
      <c r="B99" s="261" t="s">
        <v>601</v>
      </c>
      <c r="C99">
        <v>1230</v>
      </c>
    </row>
    <row r="100" spans="1:3" x14ac:dyDescent="0.25">
      <c r="A100" s="261" t="s">
        <v>730</v>
      </c>
      <c r="B100" s="261" t="s">
        <v>731</v>
      </c>
      <c r="C100">
        <v>2976</v>
      </c>
    </row>
    <row r="101" spans="1:3" x14ac:dyDescent="0.25">
      <c r="A101" s="261" t="s">
        <v>293</v>
      </c>
      <c r="B101" s="261" t="s">
        <v>294</v>
      </c>
      <c r="C101">
        <v>3377</v>
      </c>
    </row>
    <row r="102" spans="1:3" x14ac:dyDescent="0.25">
      <c r="A102" s="261" t="s">
        <v>315</v>
      </c>
      <c r="B102" s="261" t="s">
        <v>316</v>
      </c>
      <c r="C102">
        <v>4322</v>
      </c>
    </row>
    <row r="103" spans="1:3" x14ac:dyDescent="0.25">
      <c r="A103" s="261" t="s">
        <v>538</v>
      </c>
      <c r="B103" s="261" t="s">
        <v>539</v>
      </c>
      <c r="C103">
        <v>2150</v>
      </c>
    </row>
    <row r="104" spans="1:3" x14ac:dyDescent="0.25">
      <c r="A104" s="261" t="s">
        <v>598</v>
      </c>
      <c r="B104" s="261" t="s">
        <v>599</v>
      </c>
      <c r="C104">
        <v>250</v>
      </c>
    </row>
    <row r="105" spans="1:3" x14ac:dyDescent="0.25">
      <c r="A105" s="261" t="s">
        <v>580</v>
      </c>
      <c r="B105" s="261" t="s">
        <v>581</v>
      </c>
      <c r="C105">
        <v>500</v>
      </c>
    </row>
    <row r="106" spans="1:3" x14ac:dyDescent="0.25">
      <c r="A106" s="261" t="s">
        <v>289</v>
      </c>
      <c r="B106" s="261" t="s">
        <v>290</v>
      </c>
      <c r="C106">
        <v>1680</v>
      </c>
    </row>
    <row r="107" spans="1:3" x14ac:dyDescent="0.25">
      <c r="A107" s="261" t="s">
        <v>333</v>
      </c>
      <c r="B107" s="261" t="s">
        <v>334</v>
      </c>
      <c r="C107">
        <v>3727</v>
      </c>
    </row>
    <row r="108" spans="1:3" x14ac:dyDescent="0.25">
      <c r="A108" s="261" t="s">
        <v>546</v>
      </c>
      <c r="B108" s="261" t="s">
        <v>547</v>
      </c>
      <c r="C108">
        <v>1500</v>
      </c>
    </row>
    <row r="109" spans="1:3" x14ac:dyDescent="0.25">
      <c r="A109" s="261" t="s">
        <v>527</v>
      </c>
      <c r="B109" s="261" t="s">
        <v>528</v>
      </c>
      <c r="C109">
        <v>2200</v>
      </c>
    </row>
    <row r="110" spans="1:3" x14ac:dyDescent="0.25">
      <c r="A110" s="261" t="s">
        <v>705</v>
      </c>
      <c r="B110" s="261" t="s">
        <v>706</v>
      </c>
      <c r="C110">
        <v>2530</v>
      </c>
    </row>
    <row r="111" spans="1:3" x14ac:dyDescent="0.25">
      <c r="A111" s="261" t="s">
        <v>311</v>
      </c>
      <c r="B111" s="261" t="s">
        <v>312</v>
      </c>
      <c r="C111">
        <v>3430</v>
      </c>
    </row>
    <row r="112" spans="1:3" x14ac:dyDescent="0.25">
      <c r="A112" s="261" t="s">
        <v>467</v>
      </c>
      <c r="B112" s="261" t="s">
        <v>468</v>
      </c>
      <c r="C112">
        <v>5046</v>
      </c>
    </row>
    <row r="113" spans="1:3" x14ac:dyDescent="0.25">
      <c r="A113" s="261" t="s">
        <v>707</v>
      </c>
      <c r="B113" s="261" t="s">
        <v>708</v>
      </c>
      <c r="C113">
        <v>1000</v>
      </c>
    </row>
    <row r="114" spans="1:3" x14ac:dyDescent="0.25">
      <c r="A114" s="261" t="s">
        <v>709</v>
      </c>
      <c r="B114" s="261" t="s">
        <v>710</v>
      </c>
      <c r="C114">
        <v>850</v>
      </c>
    </row>
    <row r="115" spans="1:3" x14ac:dyDescent="0.25">
      <c r="A115" s="261" t="s">
        <v>364</v>
      </c>
      <c r="B115" s="261" t="s">
        <v>365</v>
      </c>
      <c r="C115">
        <v>2520</v>
      </c>
    </row>
    <row r="116" spans="1:3" x14ac:dyDescent="0.25">
      <c r="A116" s="261" t="s">
        <v>596</v>
      </c>
      <c r="B116" s="261" t="s">
        <v>597</v>
      </c>
      <c r="C116">
        <v>1875</v>
      </c>
    </row>
    <row r="117" spans="1:3" x14ac:dyDescent="0.25">
      <c r="A117" s="261" t="s">
        <v>512</v>
      </c>
      <c r="B117" s="261" t="s">
        <v>513</v>
      </c>
      <c r="C117">
        <v>1650</v>
      </c>
    </row>
    <row r="118" spans="1:3" x14ac:dyDescent="0.25">
      <c r="A118" s="261" t="s">
        <v>732</v>
      </c>
      <c r="B118" s="261" t="s">
        <v>733</v>
      </c>
      <c r="C118">
        <v>3888</v>
      </c>
    </row>
    <row r="119" spans="1:3" x14ac:dyDescent="0.25">
      <c r="A119" s="261" t="s">
        <v>532</v>
      </c>
      <c r="B119" s="261" t="s">
        <v>533</v>
      </c>
      <c r="C119">
        <v>1150</v>
      </c>
    </row>
    <row r="120" spans="1:3" x14ac:dyDescent="0.25">
      <c r="A120" s="261" t="s">
        <v>402</v>
      </c>
      <c r="B120" s="261" t="s">
        <v>403</v>
      </c>
      <c r="C120">
        <v>1250</v>
      </c>
    </row>
    <row r="121" spans="1:3" x14ac:dyDescent="0.25">
      <c r="A121" s="261" t="s">
        <v>711</v>
      </c>
      <c r="B121" s="261" t="s">
        <v>712</v>
      </c>
      <c r="C121">
        <v>13443</v>
      </c>
    </row>
    <row r="122" spans="1:3" x14ac:dyDescent="0.25">
      <c r="A122" s="261" t="s">
        <v>602</v>
      </c>
      <c r="B122" s="261" t="s">
        <v>603</v>
      </c>
      <c r="C122">
        <v>1540</v>
      </c>
    </row>
    <row r="123" spans="1:3" x14ac:dyDescent="0.25">
      <c r="A123" s="261" t="s">
        <v>553</v>
      </c>
      <c r="B123" s="261" t="s">
        <v>554</v>
      </c>
      <c r="C123">
        <v>6500</v>
      </c>
    </row>
    <row r="124" spans="1:3" x14ac:dyDescent="0.25">
      <c r="A124" s="261" t="s">
        <v>548</v>
      </c>
      <c r="B124" s="261" t="s">
        <v>549</v>
      </c>
      <c r="C124">
        <v>2000</v>
      </c>
    </row>
    <row r="125" spans="1:3" x14ac:dyDescent="0.25">
      <c r="A125" s="261" t="s">
        <v>473</v>
      </c>
      <c r="B125" s="261" t="s">
        <v>474</v>
      </c>
      <c r="C125">
        <v>500</v>
      </c>
    </row>
    <row r="126" spans="1:3" x14ac:dyDescent="0.25">
      <c r="A126" s="261" t="s">
        <v>734</v>
      </c>
      <c r="B126" s="261" t="s">
        <v>735</v>
      </c>
      <c r="C126">
        <v>7873</v>
      </c>
    </row>
    <row r="127" spans="1:3" x14ac:dyDescent="0.25">
      <c r="A127" s="261" t="s">
        <v>583</v>
      </c>
      <c r="B127" s="261" t="s">
        <v>584</v>
      </c>
      <c r="C127">
        <v>500</v>
      </c>
    </row>
    <row r="128" spans="1:3" x14ac:dyDescent="0.25">
      <c r="A128" s="261" t="s">
        <v>496</v>
      </c>
      <c r="B128" s="261" t="s">
        <v>497</v>
      </c>
      <c r="C128">
        <v>500</v>
      </c>
    </row>
    <row r="129" spans="1:3" x14ac:dyDescent="0.25">
      <c r="A129" s="261" t="s">
        <v>607</v>
      </c>
      <c r="B129" s="261" t="s">
        <v>608</v>
      </c>
      <c r="C129">
        <v>128</v>
      </c>
    </row>
    <row r="130" spans="1:3" x14ac:dyDescent="0.25">
      <c r="A130" s="261" t="s">
        <v>557</v>
      </c>
      <c r="B130" s="261" t="s">
        <v>558</v>
      </c>
      <c r="C130">
        <v>8140</v>
      </c>
    </row>
    <row r="131" spans="1:3" x14ac:dyDescent="0.25">
      <c r="A131" s="261" t="s">
        <v>525</v>
      </c>
      <c r="B131" s="261" t="s">
        <v>526</v>
      </c>
      <c r="C131">
        <v>1800</v>
      </c>
    </row>
    <row r="132" spans="1:3" x14ac:dyDescent="0.25">
      <c r="A132" s="261" t="s">
        <v>536</v>
      </c>
      <c r="B132" s="261" t="s">
        <v>537</v>
      </c>
      <c r="C132">
        <v>3000</v>
      </c>
    </row>
    <row r="133" spans="1:3" x14ac:dyDescent="0.25">
      <c r="A133" s="261" t="s">
        <v>550</v>
      </c>
      <c r="B133" s="261" t="s">
        <v>551</v>
      </c>
      <c r="C133">
        <v>1500</v>
      </c>
    </row>
    <row r="134" spans="1:3" x14ac:dyDescent="0.25">
      <c r="A134" s="261" t="s">
        <v>578</v>
      </c>
      <c r="B134" s="261" t="s">
        <v>579</v>
      </c>
      <c r="C134">
        <v>1900</v>
      </c>
    </row>
    <row r="135" spans="1:3" x14ac:dyDescent="0.25">
      <c r="A135" s="261" t="s">
        <v>566</v>
      </c>
      <c r="B135" s="261" t="s">
        <v>567</v>
      </c>
      <c r="C135">
        <v>6900</v>
      </c>
    </row>
    <row r="136" spans="1:3" x14ac:dyDescent="0.25">
      <c r="A136" s="261" t="s">
        <v>555</v>
      </c>
      <c r="B136" s="261" t="s">
        <v>556</v>
      </c>
      <c r="C136">
        <v>1875</v>
      </c>
    </row>
    <row r="137" spans="1:3" x14ac:dyDescent="0.25">
      <c r="A137" s="261" t="s">
        <v>561</v>
      </c>
      <c r="B137" s="261" t="s">
        <v>562</v>
      </c>
      <c r="C137">
        <v>1175</v>
      </c>
    </row>
    <row r="138" spans="1:3" x14ac:dyDescent="0.25">
      <c r="A138" s="261" t="s">
        <v>559</v>
      </c>
      <c r="B138" s="261" t="s">
        <v>560</v>
      </c>
      <c r="C138">
        <v>5250</v>
      </c>
    </row>
    <row r="139" spans="1:3" x14ac:dyDescent="0.25">
      <c r="A139" s="261" t="s">
        <v>344</v>
      </c>
      <c r="B139" s="261" t="s">
        <v>345</v>
      </c>
      <c r="C139">
        <v>3150</v>
      </c>
    </row>
    <row r="140" spans="1:3" x14ac:dyDescent="0.25">
      <c r="A140" s="261" t="s">
        <v>585</v>
      </c>
      <c r="B140" s="261" t="s">
        <v>586</v>
      </c>
      <c r="C140">
        <v>500</v>
      </c>
    </row>
    <row r="141" spans="1:3" x14ac:dyDescent="0.25">
      <c r="A141" s="261" t="s">
        <v>572</v>
      </c>
      <c r="B141" s="261" t="s">
        <v>573</v>
      </c>
      <c r="C141">
        <v>7000</v>
      </c>
    </row>
    <row r="142" spans="1:3" x14ac:dyDescent="0.25">
      <c r="A142" s="261" t="s">
        <v>713</v>
      </c>
      <c r="B142" s="261" t="s">
        <v>714</v>
      </c>
      <c r="C142">
        <v>3325</v>
      </c>
    </row>
    <row r="143" spans="1:3" x14ac:dyDescent="0.25">
      <c r="A143" s="261" t="s">
        <v>414</v>
      </c>
      <c r="B143" s="261" t="s">
        <v>415</v>
      </c>
      <c r="C143">
        <v>2559</v>
      </c>
    </row>
    <row r="144" spans="1:3" x14ac:dyDescent="0.25">
      <c r="A144" s="261" t="s">
        <v>514</v>
      </c>
      <c r="B144" s="261" t="s">
        <v>515</v>
      </c>
      <c r="C144">
        <v>2964</v>
      </c>
    </row>
    <row r="145" spans="1:3" x14ac:dyDescent="0.25">
      <c r="A145" s="261" t="s">
        <v>351</v>
      </c>
      <c r="B145" s="261" t="s">
        <v>352</v>
      </c>
      <c r="C145">
        <v>3692</v>
      </c>
    </row>
    <row r="146" spans="1:3" x14ac:dyDescent="0.25">
      <c r="A146" s="261" t="s">
        <v>715</v>
      </c>
      <c r="B146" s="261" t="s">
        <v>716</v>
      </c>
      <c r="C146">
        <v>1000</v>
      </c>
    </row>
    <row r="147" spans="1:3" x14ac:dyDescent="0.25">
      <c r="A147" s="261" t="s">
        <v>717</v>
      </c>
      <c r="B147" s="261" t="s">
        <v>718</v>
      </c>
      <c r="C147">
        <v>500</v>
      </c>
    </row>
    <row r="148" spans="1:3" x14ac:dyDescent="0.25">
      <c r="A148" s="261" t="s">
        <v>719</v>
      </c>
      <c r="B148" s="261" t="s">
        <v>720</v>
      </c>
      <c r="C148">
        <v>2590</v>
      </c>
    </row>
    <row r="149" spans="1:3" x14ac:dyDescent="0.25">
      <c r="A149" s="261" t="s">
        <v>721</v>
      </c>
      <c r="B149" s="261" t="s">
        <v>722</v>
      </c>
      <c r="C149">
        <v>800</v>
      </c>
    </row>
    <row r="150" spans="1:3" x14ac:dyDescent="0.25">
      <c r="A150" s="261" t="s">
        <v>691</v>
      </c>
      <c r="B150" s="261" t="s">
        <v>692</v>
      </c>
      <c r="C150">
        <v>6546</v>
      </c>
    </row>
    <row r="151" spans="1:3" x14ac:dyDescent="0.25">
      <c r="A151" s="261" t="s">
        <v>693</v>
      </c>
      <c r="B151" s="261" t="s">
        <v>694</v>
      </c>
      <c r="C151">
        <v>5346</v>
      </c>
    </row>
    <row r="152" spans="1:3" x14ac:dyDescent="0.25">
      <c r="A152" s="261" t="s">
        <v>695</v>
      </c>
      <c r="B152" s="261" t="s">
        <v>696</v>
      </c>
      <c r="C152">
        <v>5946</v>
      </c>
    </row>
    <row r="153" spans="1:3" x14ac:dyDescent="0.25">
      <c r="A153" s="261" t="s">
        <v>697</v>
      </c>
      <c r="B153" s="261" t="s">
        <v>698</v>
      </c>
      <c r="C153">
        <v>4862</v>
      </c>
    </row>
    <row r="154" spans="1:3" x14ac:dyDescent="0.25">
      <c r="A154" s="261" t="s">
        <v>723</v>
      </c>
      <c r="B154" s="261" t="s">
        <v>724</v>
      </c>
      <c r="C154">
        <v>300</v>
      </c>
    </row>
    <row r="155" spans="1:3" x14ac:dyDescent="0.25">
      <c r="A155" s="261" t="s">
        <v>726</v>
      </c>
      <c r="B155" s="261" t="s">
        <v>727</v>
      </c>
      <c r="C155">
        <v>800</v>
      </c>
    </row>
    <row r="156" spans="1:3" x14ac:dyDescent="0.25">
      <c r="A156" s="261" t="s">
        <v>681</v>
      </c>
      <c r="B156" s="261" t="s">
        <v>682</v>
      </c>
      <c r="C156">
        <v>3920</v>
      </c>
    </row>
    <row r="157" spans="1:3" x14ac:dyDescent="0.25">
      <c r="A157" s="261" t="s">
        <v>728</v>
      </c>
      <c r="B157" s="261" t="s">
        <v>729</v>
      </c>
      <c r="C157">
        <v>1330</v>
      </c>
    </row>
  </sheetData>
  <customSheetViews>
    <customSheetView guid="{40DAEB26-20D3-4AB4-B94D-0ED6F1AA8B5C}" state="hidden">
      <selection activeCell="H22" sqref="H22"/>
      <pageMargins left="0.7" right="0.7" top="0.75" bottom="0.75" header="0.3" footer="0.3"/>
    </customSheetView>
    <customSheetView guid="{DD1F7198-8B36-4512-8BBD-8050BD05AADA}">
      <selection activeCell="I25" sqref="I2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Intent Map</vt:lpstr>
      <vt:lpstr>Org Structure</vt:lpstr>
      <vt:lpstr>TSF Prasadam Overall</vt:lpstr>
      <vt:lpstr>HT Express BSC </vt:lpstr>
      <vt:lpstr>HT Stores BSC</vt:lpstr>
      <vt:lpstr>HT Fine Dining</vt:lpstr>
      <vt:lpstr>Strategic Intent Map</vt:lpstr>
      <vt:lpstr>Incentive 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Gowri R</cp:lastModifiedBy>
  <dcterms:created xsi:type="dcterms:W3CDTF">2013-10-19T06:48:37Z</dcterms:created>
  <dcterms:modified xsi:type="dcterms:W3CDTF">2015-01-05T13:04:40Z</dcterms:modified>
</cp:coreProperties>
</file>