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885" windowWidth="11475" windowHeight="4380" tabRatio="802" firstSheet="1" activeTab="1"/>
  </bookViews>
  <sheets>
    <sheet name="Intent Map" sheetId="1" state="hidden" r:id="rId1"/>
    <sheet name="Overall Revenue Dashboard   (4)" sheetId="16" r:id="rId2"/>
    <sheet name="Strategic Intent Map" sheetId="8" state="hidden" r:id="rId3"/>
    <sheet name="Revenue Spilt IB" sheetId="13" r:id="rId4"/>
    <sheet name="Overall Revenue Dashboard " sheetId="10" state="hidden" r:id="rId5"/>
    <sheet name="YMG" sheetId="11" state="hidden" r:id="rId6"/>
    <sheet name="IB" sheetId="6" state="hidden" r:id="rId7"/>
    <sheet name="IBP Heads" sheetId="7" state="hidden" r:id="rId8"/>
    <sheet name="Sheet1" sheetId="15" state="hidden" r:id="rId9"/>
    <sheet name="Overall Revenue Dashboard  (3)" sheetId="14" state="hidden" r:id="rId10"/>
    <sheet name="Sheet2" sheetId="17" r:id="rId11"/>
  </sheets>
  <externalReferences>
    <externalReference r:id="rId12"/>
    <externalReference r:id="rId13"/>
    <externalReference r:id="rId14"/>
  </externalReferences>
  <definedNames>
    <definedName name="_xlnm._FilterDatabase" localSheetId="6" hidden="1">IB!$A$1:$I$111</definedName>
    <definedName name="_xlnm._FilterDatabase" localSheetId="4" hidden="1">'Overall Revenue Dashboard '!$A$1:$I$111</definedName>
    <definedName name="_xlnm._FilterDatabase" localSheetId="1" hidden="1">'Overall Revenue Dashboard   (4)'!$A$1:$L$170</definedName>
    <definedName name="_xlnm._FilterDatabase" localSheetId="9" hidden="1">'Overall Revenue Dashboard  (3)'!$A$1:$I$166</definedName>
    <definedName name="_xlnm._FilterDatabase" localSheetId="5" hidden="1">YMG!$A$1:$I$109</definedName>
  </definedNames>
  <calcPr calcId="145621"/>
</workbook>
</file>

<file path=xl/calcChain.xml><?xml version="1.0" encoding="utf-8"?>
<calcChain xmlns="http://schemas.openxmlformats.org/spreadsheetml/2006/main">
  <c r="P88" i="16" l="1"/>
  <c r="O88" i="16"/>
  <c r="P84" i="16"/>
  <c r="P85" i="16" s="1"/>
  <c r="O84" i="16"/>
  <c r="O85" i="16" s="1"/>
  <c r="P82" i="16"/>
  <c r="O82" i="16"/>
  <c r="P79" i="16"/>
  <c r="O79" i="16"/>
  <c r="O72" i="16"/>
  <c r="O90" i="16" s="1"/>
  <c r="O91" i="16" s="1"/>
  <c r="O70" i="16"/>
  <c r="P69" i="16"/>
  <c r="P70" i="16" s="1"/>
  <c r="P67" i="16"/>
  <c r="O67" i="16"/>
  <c r="P66" i="16"/>
  <c r="P64" i="16"/>
  <c r="O64" i="16"/>
  <c r="P63" i="16"/>
  <c r="O61" i="16"/>
  <c r="P60" i="16"/>
  <c r="P61" i="16" s="1"/>
  <c r="O58" i="16"/>
  <c r="P57" i="16"/>
  <c r="P72" i="16" s="1"/>
  <c r="L90" i="16"/>
  <c r="L91" i="16" s="1"/>
  <c r="M88" i="16"/>
  <c r="L88" i="16"/>
  <c r="M85" i="16"/>
  <c r="L85" i="16"/>
  <c r="M84" i="16"/>
  <c r="L84" i="16"/>
  <c r="M82" i="16"/>
  <c r="L82" i="16"/>
  <c r="M79" i="16"/>
  <c r="L79" i="16"/>
  <c r="L73" i="16"/>
  <c r="L72" i="16"/>
  <c r="M70" i="16"/>
  <c r="L70" i="16"/>
  <c r="M69" i="16"/>
  <c r="L67" i="16"/>
  <c r="M66" i="16"/>
  <c r="M67" i="16" s="1"/>
  <c r="L64" i="16"/>
  <c r="M63" i="16"/>
  <c r="M64" i="16" s="1"/>
  <c r="M61" i="16"/>
  <c r="L61" i="16"/>
  <c r="M60" i="16"/>
  <c r="M58" i="16"/>
  <c r="L58" i="16"/>
  <c r="M57" i="16"/>
  <c r="M72" i="16" s="1"/>
  <c r="O34" i="16"/>
  <c r="P28" i="16"/>
  <c r="P29" i="16" s="1"/>
  <c r="O28" i="16"/>
  <c r="P20" i="16"/>
  <c r="O20" i="16"/>
  <c r="P16" i="16"/>
  <c r="O16" i="16"/>
  <c r="P12" i="16"/>
  <c r="O12" i="16"/>
  <c r="P8" i="16"/>
  <c r="P24" i="16" s="1"/>
  <c r="O8" i="16"/>
  <c r="O24" i="16" s="1"/>
  <c r="O38" i="16" s="1"/>
  <c r="L34" i="16"/>
  <c r="M28" i="16"/>
  <c r="M34" i="16" s="1"/>
  <c r="L28" i="16"/>
  <c r="M29" i="16" s="1"/>
  <c r="M20" i="16"/>
  <c r="L20" i="16"/>
  <c r="M16" i="16"/>
  <c r="L16" i="16"/>
  <c r="M12" i="16"/>
  <c r="L12" i="16"/>
  <c r="M8" i="16"/>
  <c r="M24" i="16" s="1"/>
  <c r="M38" i="16" s="1"/>
  <c r="L8" i="16"/>
  <c r="L24" i="16" s="1"/>
  <c r="L38" i="16" s="1"/>
  <c r="P90" i="16" l="1"/>
  <c r="P91" i="16" s="1"/>
  <c r="P73" i="16"/>
  <c r="O73" i="16"/>
  <c r="P58" i="16"/>
  <c r="M73" i="16"/>
  <c r="M90" i="16"/>
  <c r="M91" i="16" s="1"/>
  <c r="P38" i="16"/>
  <c r="P34" i="16"/>
  <c r="K70" i="13"/>
  <c r="H70" i="13"/>
  <c r="H33" i="13"/>
  <c r="K27" i="13"/>
  <c r="H27" i="13"/>
  <c r="H20" i="13"/>
  <c r="L95" i="13"/>
  <c r="K95" i="13"/>
  <c r="L94" i="13"/>
  <c r="K94" i="13"/>
  <c r="L92" i="13"/>
  <c r="K92" i="13"/>
  <c r="L86" i="13"/>
  <c r="L73" i="13"/>
  <c r="K73" i="13"/>
  <c r="L68" i="13"/>
  <c r="L70" i="13" s="1"/>
  <c r="K68" i="13"/>
  <c r="L61" i="13"/>
  <c r="K61" i="13"/>
  <c r="K57" i="13"/>
  <c r="L41" i="13"/>
  <c r="K41" i="13"/>
  <c r="K32" i="13"/>
  <c r="L31" i="13"/>
  <c r="K31" i="13"/>
  <c r="L30" i="13"/>
  <c r="K30" i="13"/>
  <c r="K33" i="13" s="1"/>
  <c r="L25" i="13"/>
  <c r="K25" i="13"/>
  <c r="L24" i="13"/>
  <c r="K24" i="13"/>
  <c r="L23" i="13"/>
  <c r="K23" i="13"/>
  <c r="L22" i="13"/>
  <c r="L27" i="13" s="1"/>
  <c r="K22" i="13"/>
  <c r="L19" i="13"/>
  <c r="K19" i="13"/>
  <c r="L18" i="13"/>
  <c r="K18" i="13"/>
  <c r="L17" i="13"/>
  <c r="K17" i="13"/>
  <c r="L16" i="13"/>
  <c r="K16" i="13"/>
  <c r="L15" i="13"/>
  <c r="K15" i="13"/>
  <c r="K14" i="13"/>
  <c r="K20" i="13" s="1"/>
  <c r="L10" i="13"/>
  <c r="K10" i="13"/>
  <c r="L9" i="13"/>
  <c r="K9" i="13"/>
  <c r="L8" i="13"/>
  <c r="K8" i="13"/>
  <c r="L6" i="13"/>
  <c r="K6" i="13"/>
  <c r="K4" i="13"/>
  <c r="M92" i="13" l="1"/>
  <c r="I14" i="13" l="1"/>
  <c r="L14" i="13" s="1"/>
  <c r="L20" i="13" s="1"/>
  <c r="M20" i="13" s="1"/>
  <c r="I43" i="13"/>
  <c r="L43" i="13" s="1"/>
  <c r="G44" i="13"/>
  <c r="E44" i="13"/>
  <c r="H44" i="13"/>
  <c r="F44" i="13"/>
  <c r="D44" i="13"/>
  <c r="K44" i="13" l="1"/>
  <c r="R78" i="16" l="1"/>
  <c r="S87" i="16" l="1"/>
  <c r="R87" i="16"/>
  <c r="S81" i="16"/>
  <c r="S78" i="16"/>
  <c r="S75" i="16"/>
  <c r="R52" i="16"/>
  <c r="S52" i="16"/>
  <c r="R53" i="16"/>
  <c r="S53" i="16"/>
  <c r="S51" i="16"/>
  <c r="J79" i="16"/>
  <c r="J82" i="16" l="1"/>
  <c r="J88" i="16" l="1"/>
  <c r="J84" i="16" l="1"/>
  <c r="S84" i="16" l="1"/>
  <c r="F109" i="13"/>
  <c r="D109" i="13"/>
  <c r="E109" i="13"/>
  <c r="I44" i="13" l="1"/>
  <c r="L44" i="13" s="1"/>
  <c r="I40" i="13"/>
  <c r="I101" i="13" s="1"/>
  <c r="I116" i="13" l="1"/>
  <c r="G116" i="13"/>
  <c r="E116" i="13"/>
  <c r="I113" i="13"/>
  <c r="G113" i="13"/>
  <c r="E113" i="13"/>
  <c r="I81" i="13" l="1"/>
  <c r="G81" i="13"/>
  <c r="E81" i="13"/>
  <c r="L81" i="13" l="1"/>
  <c r="L83" i="13" s="1"/>
  <c r="I79" i="16"/>
  <c r="O130" i="16" l="1"/>
  <c r="L130" i="16"/>
  <c r="I130" i="16"/>
  <c r="Q32" i="16" l="1"/>
  <c r="Q30" i="16"/>
  <c r="O131" i="16" l="1"/>
  <c r="L131" i="16"/>
  <c r="I131" i="16"/>
  <c r="S36" i="16"/>
  <c r="S88" i="16" s="1"/>
  <c r="R36" i="16"/>
  <c r="R88" i="16" s="1"/>
  <c r="S32" i="16"/>
  <c r="S82" i="16" s="1"/>
  <c r="R32" i="16"/>
  <c r="S30" i="16"/>
  <c r="S79" i="16" s="1"/>
  <c r="R30" i="16"/>
  <c r="R79" i="16" s="1"/>
  <c r="S27" i="16"/>
  <c r="R27" i="16"/>
  <c r="S26" i="16"/>
  <c r="R26" i="16"/>
  <c r="S22" i="16"/>
  <c r="S18" i="16"/>
  <c r="S14" i="16"/>
  <c r="T27" i="16" l="1"/>
  <c r="T26" i="16"/>
  <c r="T36" i="16"/>
  <c r="T30" i="16"/>
  <c r="T32" i="16"/>
  <c r="S11" i="16"/>
  <c r="R11" i="16"/>
  <c r="S10" i="16"/>
  <c r="R10" i="16"/>
  <c r="S5" i="16"/>
  <c r="S6" i="16"/>
  <c r="S7" i="16"/>
  <c r="S4" i="16"/>
  <c r="T11" i="16" l="1"/>
  <c r="T10" i="16"/>
  <c r="Q36" i="16"/>
  <c r="Q26" i="16"/>
  <c r="Q22" i="16" l="1"/>
  <c r="Q11" i="16"/>
  <c r="Q10" i="16"/>
  <c r="O129" i="16" l="1"/>
  <c r="Q12" i="16"/>
  <c r="Q28" i="16"/>
  <c r="H81" i="13"/>
  <c r="Q34" i="16" l="1"/>
  <c r="H96" i="13"/>
  <c r="H40" i="13"/>
  <c r="H46" i="13" s="1"/>
  <c r="H56" i="13"/>
  <c r="H58" i="13" s="1"/>
  <c r="H7" i="13"/>
  <c r="H12" i="13" s="1"/>
  <c r="N4" i="16"/>
  <c r="H35" i="13" l="1"/>
  <c r="H50" i="13" s="1"/>
  <c r="I28" i="11"/>
  <c r="H28" i="11"/>
  <c r="J28" i="11"/>
  <c r="J63" i="6" l="1"/>
  <c r="J23" i="6" l="1"/>
  <c r="J9" i="6"/>
  <c r="J76" i="6" l="1"/>
  <c r="I27" i="13"/>
  <c r="I20" i="13"/>
  <c r="I4" i="13"/>
  <c r="L4" i="13" s="1"/>
  <c r="I46" i="13"/>
  <c r="I75" i="13"/>
  <c r="R6" i="16" l="1"/>
  <c r="T6" i="16" s="1"/>
  <c r="Q6" i="16"/>
  <c r="J77" i="6"/>
  <c r="I63" i="13"/>
  <c r="I96" i="13"/>
  <c r="I32" i="13"/>
  <c r="I7" i="13"/>
  <c r="I12" i="13" s="1"/>
  <c r="R4" i="16" l="1"/>
  <c r="T4" i="16" s="1"/>
  <c r="Q4" i="16"/>
  <c r="L32" i="13"/>
  <c r="L33" i="13" s="1"/>
  <c r="I33" i="13"/>
  <c r="R5" i="16"/>
  <c r="T5" i="16" s="1"/>
  <c r="Q5" i="16"/>
  <c r="H75" i="13"/>
  <c r="H77" i="13" s="1"/>
  <c r="I35" i="13" l="1"/>
  <c r="I98" i="13"/>
  <c r="H98" i="13"/>
  <c r="H88" i="13"/>
  <c r="I88" i="13"/>
  <c r="I83" i="13"/>
  <c r="H83" i="13"/>
  <c r="H110" i="13" s="1"/>
  <c r="I70" i="13"/>
  <c r="H63" i="13"/>
  <c r="H65" i="13" s="1"/>
  <c r="I58" i="13"/>
  <c r="I102" i="13"/>
  <c r="H101" i="13"/>
  <c r="BF36" i="16"/>
  <c r="BF32" i="16"/>
  <c r="BF30" i="16"/>
  <c r="BF27" i="16"/>
  <c r="BF26" i="16"/>
  <c r="BE36" i="16"/>
  <c r="BE32" i="16"/>
  <c r="BE30" i="16"/>
  <c r="BE27" i="16"/>
  <c r="BE26" i="16"/>
  <c r="N36" i="16"/>
  <c r="N32" i="16"/>
  <c r="N30" i="16"/>
  <c r="N27" i="16"/>
  <c r="N26" i="16"/>
  <c r="K36" i="16"/>
  <c r="K32" i="16"/>
  <c r="K30" i="16"/>
  <c r="J28" i="16"/>
  <c r="I28" i="16"/>
  <c r="K27" i="16"/>
  <c r="K26" i="16"/>
  <c r="BF22" i="16"/>
  <c r="BF19" i="16"/>
  <c r="BE19" i="16"/>
  <c r="BF18" i="16"/>
  <c r="BE18" i="16"/>
  <c r="J20" i="16"/>
  <c r="S20" i="16" s="1"/>
  <c r="I20" i="16"/>
  <c r="N18" i="16"/>
  <c r="K18" i="16"/>
  <c r="J16" i="16"/>
  <c r="I16" i="16"/>
  <c r="BF15" i="16"/>
  <c r="BE15" i="16"/>
  <c r="BF14" i="16"/>
  <c r="BE14" i="16"/>
  <c r="R18" i="16" l="1"/>
  <c r="T18" i="16" s="1"/>
  <c r="Q18" i="16"/>
  <c r="Q20" i="16"/>
  <c r="J29" i="16"/>
  <c r="I129" i="16"/>
  <c r="I100" i="13"/>
  <c r="I103" i="13" s="1"/>
  <c r="I115" i="13" s="1"/>
  <c r="I118" i="13" s="1"/>
  <c r="J34" i="16"/>
  <c r="J85" i="16" s="1"/>
  <c r="S28" i="16"/>
  <c r="R14" i="16"/>
  <c r="T14" i="16" s="1"/>
  <c r="R7" i="16"/>
  <c r="T7" i="16" s="1"/>
  <c r="Q7" i="16"/>
  <c r="S16" i="16"/>
  <c r="I77" i="13"/>
  <c r="I110" i="13"/>
  <c r="I65" i="13"/>
  <c r="H90" i="13"/>
  <c r="H100" i="13"/>
  <c r="I90" i="13"/>
  <c r="I50" i="13"/>
  <c r="H102" i="13"/>
  <c r="BF16" i="16"/>
  <c r="BE20" i="16"/>
  <c r="BG14" i="16"/>
  <c r="K28" i="16"/>
  <c r="BG27" i="16"/>
  <c r="BG32" i="16"/>
  <c r="BF28" i="16"/>
  <c r="BF34" i="16" s="1"/>
  <c r="BG30" i="16"/>
  <c r="K16" i="16"/>
  <c r="N20" i="16"/>
  <c r="BG26" i="16"/>
  <c r="BG36" i="16"/>
  <c r="BE28" i="16"/>
  <c r="BE16" i="16"/>
  <c r="N16" i="16"/>
  <c r="BF20" i="16"/>
  <c r="K20" i="16"/>
  <c r="BG18" i="16"/>
  <c r="H105" i="13" l="1"/>
  <c r="Q8" i="16"/>
  <c r="S34" i="16"/>
  <c r="S85" i="16" s="1"/>
  <c r="R16" i="16"/>
  <c r="T16" i="16" s="1"/>
  <c r="Q16" i="16"/>
  <c r="R20" i="16"/>
  <c r="T20" i="16" s="1"/>
  <c r="I108" i="13"/>
  <c r="BG20" i="16"/>
  <c r="BG16" i="16"/>
  <c r="I105" i="13"/>
  <c r="I106" i="13" s="1"/>
  <c r="H103" i="13"/>
  <c r="BG28" i="16"/>
  <c r="BE34" i="16"/>
  <c r="BG34" i="16" s="1"/>
  <c r="Q24" i="16" l="1"/>
  <c r="Q38" i="16"/>
  <c r="O153" i="16"/>
  <c r="H108" i="13"/>
  <c r="H106" i="13"/>
  <c r="BF11" i="16"/>
  <c r="BF10" i="16"/>
  <c r="BE11" i="16"/>
  <c r="BE10" i="16"/>
  <c r="N11" i="16"/>
  <c r="N10" i="16"/>
  <c r="K11" i="16"/>
  <c r="K10" i="16"/>
  <c r="J12" i="16"/>
  <c r="S12" i="16" s="1"/>
  <c r="I12" i="16"/>
  <c r="BF7" i="16"/>
  <c r="BE7" i="16"/>
  <c r="BF6" i="16"/>
  <c r="BE6" i="16"/>
  <c r="BF5" i="16"/>
  <c r="BE5" i="16"/>
  <c r="J8" i="16"/>
  <c r="I8" i="16"/>
  <c r="BF4" i="16"/>
  <c r="K12" i="16" l="1"/>
  <c r="R12" i="16"/>
  <c r="T12" i="16" s="1"/>
  <c r="R8" i="16"/>
  <c r="J24" i="16"/>
  <c r="S8" i="16"/>
  <c r="BG6" i="16"/>
  <c r="BF8" i="16"/>
  <c r="BG11" i="16"/>
  <c r="BG5" i="16"/>
  <c r="BG7" i="16"/>
  <c r="BF12" i="16"/>
  <c r="BE12" i="16"/>
  <c r="BG10" i="16"/>
  <c r="N12" i="16"/>
  <c r="BC4" i="16"/>
  <c r="AQ4" i="16"/>
  <c r="AE4" i="16"/>
  <c r="O98" i="16"/>
  <c r="N98" i="16"/>
  <c r="M98" i="16"/>
  <c r="L97" i="16"/>
  <c r="I97" i="16"/>
  <c r="L96" i="16"/>
  <c r="I96" i="16"/>
  <c r="L95" i="16"/>
  <c r="I95" i="16"/>
  <c r="L94" i="16"/>
  <c r="I94" i="16"/>
  <c r="I88" i="16"/>
  <c r="BE87" i="16"/>
  <c r="I82" i="16"/>
  <c r="L51" i="16"/>
  <c r="I51" i="16"/>
  <c r="BE37" i="16"/>
  <c r="BF37" i="16" s="1"/>
  <c r="BE35" i="16"/>
  <c r="BF35" i="16" s="1"/>
  <c r="BE33" i="16"/>
  <c r="BF33" i="16" s="1"/>
  <c r="N22" i="16"/>
  <c r="N7" i="16"/>
  <c r="K6" i="16"/>
  <c r="N5" i="16"/>
  <c r="G20" i="15"/>
  <c r="F20" i="15"/>
  <c r="E20" i="15"/>
  <c r="D20" i="15"/>
  <c r="G18" i="15"/>
  <c r="F18" i="15"/>
  <c r="E18" i="15"/>
  <c r="D18" i="15"/>
  <c r="G15" i="15"/>
  <c r="F15" i="15"/>
  <c r="E15" i="15"/>
  <c r="D15" i="15"/>
  <c r="Q11" i="15"/>
  <c r="P9" i="15"/>
  <c r="P13" i="15" s="1"/>
  <c r="O9" i="15"/>
  <c r="O13" i="15" s="1"/>
  <c r="Q5" i="15"/>
  <c r="Q4" i="15"/>
  <c r="G4" i="15"/>
  <c r="G6" i="15" s="1"/>
  <c r="F4" i="15"/>
  <c r="F19" i="15" s="1"/>
  <c r="E4" i="15"/>
  <c r="E6" i="15" s="1"/>
  <c r="D4" i="15"/>
  <c r="D19" i="15" s="1"/>
  <c r="Q3" i="15"/>
  <c r="I153" i="14"/>
  <c r="I156" i="14" s="1"/>
  <c r="H153" i="14"/>
  <c r="H156" i="14" s="1"/>
  <c r="I118" i="14"/>
  <c r="H118" i="14"/>
  <c r="H119" i="14" s="1"/>
  <c r="I71" i="14"/>
  <c r="H71" i="14"/>
  <c r="I70" i="14"/>
  <c r="H70" i="14"/>
  <c r="I69" i="14"/>
  <c r="H69" i="14"/>
  <c r="I66" i="14"/>
  <c r="H66" i="14"/>
  <c r="I65" i="14"/>
  <c r="H65" i="14"/>
  <c r="I64" i="14"/>
  <c r="H64" i="14"/>
  <c r="I46" i="14"/>
  <c r="H46" i="14"/>
  <c r="I45" i="14"/>
  <c r="I55" i="14" s="1"/>
  <c r="H45" i="14"/>
  <c r="H55" i="14" s="1"/>
  <c r="T40" i="14"/>
  <c r="T38" i="14"/>
  <c r="T36" i="14"/>
  <c r="T35" i="14"/>
  <c r="I33" i="14"/>
  <c r="H33" i="14"/>
  <c r="I29" i="14"/>
  <c r="I31" i="14" s="1"/>
  <c r="H29" i="14"/>
  <c r="H56" i="14" s="1"/>
  <c r="I25" i="14"/>
  <c r="H25" i="14"/>
  <c r="I21" i="14"/>
  <c r="I23" i="14" s="1"/>
  <c r="H21" i="14"/>
  <c r="H23" i="14" s="1"/>
  <c r="I17" i="14"/>
  <c r="I19" i="14" s="1"/>
  <c r="H17" i="14"/>
  <c r="T8" i="16" l="1"/>
  <c r="T17" i="14"/>
  <c r="T33" i="14"/>
  <c r="R51" i="16"/>
  <c r="I24" i="16"/>
  <c r="I153" i="16" s="1"/>
  <c r="R22" i="16"/>
  <c r="T22" i="16" s="1"/>
  <c r="Q9" i="15"/>
  <c r="F21" i="15"/>
  <c r="J38" i="16"/>
  <c r="S38" i="16" s="1"/>
  <c r="S24" i="16"/>
  <c r="BF24" i="16"/>
  <c r="BF38" i="16" s="1"/>
  <c r="R75" i="16"/>
  <c r="BE75" i="16" s="1"/>
  <c r="R81" i="16"/>
  <c r="BE81" i="16" s="1"/>
  <c r="BE82" i="16" s="1"/>
  <c r="I37" i="14"/>
  <c r="D21" i="15"/>
  <c r="BG12" i="16"/>
  <c r="BE22" i="16"/>
  <c r="BG22" i="16" s="1"/>
  <c r="K22" i="16"/>
  <c r="K8" i="16"/>
  <c r="K4" i="16"/>
  <c r="K5" i="16"/>
  <c r="K7" i="16"/>
  <c r="N6" i="16"/>
  <c r="BE4" i="16"/>
  <c r="BE88" i="16"/>
  <c r="I84" i="16"/>
  <c r="BE94" i="16"/>
  <c r="BE95" i="16"/>
  <c r="BE96" i="16"/>
  <c r="BE97" i="16"/>
  <c r="N8" i="16"/>
  <c r="BE78" i="16"/>
  <c r="BE79" i="16" s="1"/>
  <c r="Q13" i="15"/>
  <c r="D6" i="15"/>
  <c r="F6" i="15"/>
  <c r="E19" i="15"/>
  <c r="E21" i="15" s="1"/>
  <c r="G19" i="15"/>
  <c r="G21" i="15" s="1"/>
  <c r="I119" i="14"/>
  <c r="H19" i="14"/>
  <c r="T21" i="14"/>
  <c r="H31" i="14"/>
  <c r="H37" i="14" s="1"/>
  <c r="T37" i="14" s="1"/>
  <c r="I56" i="14"/>
  <c r="T29" i="14"/>
  <c r="K24" i="16" l="1"/>
  <c r="N28" i="16"/>
  <c r="L129" i="16"/>
  <c r="R28" i="16"/>
  <c r="R24" i="16"/>
  <c r="R84" i="16"/>
  <c r="R82" i="16"/>
  <c r="N24" i="16"/>
  <c r="L153" i="16"/>
  <c r="BE8" i="16"/>
  <c r="BG4" i="16"/>
  <c r="I34" i="16"/>
  <c r="K34" i="16" s="1"/>
  <c r="BE76" i="16"/>
  <c r="BE84" i="16"/>
  <c r="T28" i="16" l="1"/>
  <c r="BH28" i="16"/>
  <c r="BH24" i="16"/>
  <c r="T24" i="16"/>
  <c r="N34" i="16"/>
  <c r="R34" i="16"/>
  <c r="BG8" i="16"/>
  <c r="BE24" i="16"/>
  <c r="I85" i="16"/>
  <c r="I38" i="16"/>
  <c r="N38" i="16"/>
  <c r="R85" i="16" l="1"/>
  <c r="T34" i="16"/>
  <c r="R38" i="16"/>
  <c r="T38" i="16" s="1"/>
  <c r="K38" i="16"/>
  <c r="BG24" i="16"/>
  <c r="BE38" i="16"/>
  <c r="BG38" i="16" s="1"/>
  <c r="BE85" i="16"/>
  <c r="E96" i="13" l="1"/>
  <c r="F96" i="13"/>
  <c r="F98" i="13" s="1"/>
  <c r="G96" i="13"/>
  <c r="G98" i="13" s="1"/>
  <c r="D96" i="13"/>
  <c r="D98" i="13" l="1"/>
  <c r="J69" i="16" s="1"/>
  <c r="K96" i="13"/>
  <c r="K98" i="13" s="1"/>
  <c r="E98" i="13"/>
  <c r="L96" i="13"/>
  <c r="L98" i="13" s="1"/>
  <c r="R69" i="16"/>
  <c r="R70" i="16" s="1"/>
  <c r="I70" i="16"/>
  <c r="G87" i="13"/>
  <c r="G88" i="13" s="1"/>
  <c r="E87" i="13"/>
  <c r="D87" i="13"/>
  <c r="F86" i="13"/>
  <c r="D86" i="13"/>
  <c r="K86" i="13" s="1"/>
  <c r="G83" i="13"/>
  <c r="E83" i="13"/>
  <c r="F81" i="13"/>
  <c r="F83" i="13" s="1"/>
  <c r="D81" i="13"/>
  <c r="D75" i="13"/>
  <c r="G74" i="13"/>
  <c r="G75" i="13" s="1"/>
  <c r="F74" i="13"/>
  <c r="E74" i="13"/>
  <c r="G70" i="13"/>
  <c r="G77" i="13" s="1"/>
  <c r="F70" i="13"/>
  <c r="E70" i="13"/>
  <c r="D70" i="13"/>
  <c r="D63" i="13"/>
  <c r="G62" i="13"/>
  <c r="G63" i="13" s="1"/>
  <c r="F62" i="13"/>
  <c r="E62" i="13"/>
  <c r="G57" i="13"/>
  <c r="I14" i="14" s="1"/>
  <c r="E57" i="13"/>
  <c r="G56" i="13"/>
  <c r="F56" i="13"/>
  <c r="F58" i="13" s="1"/>
  <c r="E56" i="13"/>
  <c r="L56" i="13" s="1"/>
  <c r="D56" i="13"/>
  <c r="D43" i="13"/>
  <c r="G40" i="13"/>
  <c r="F40" i="13"/>
  <c r="E40" i="13"/>
  <c r="G33" i="13"/>
  <c r="I10" i="14" s="1"/>
  <c r="F33" i="13"/>
  <c r="E33" i="13"/>
  <c r="H10" i="14" s="1"/>
  <c r="D33" i="13"/>
  <c r="G27" i="13"/>
  <c r="I9" i="14" s="1"/>
  <c r="F27" i="13"/>
  <c r="E27" i="13"/>
  <c r="H9" i="14" s="1"/>
  <c r="D27" i="13"/>
  <c r="G20" i="13"/>
  <c r="I8" i="14" s="1"/>
  <c r="F20" i="13"/>
  <c r="E20" i="13"/>
  <c r="H8" i="14" s="1"/>
  <c r="D20" i="13"/>
  <c r="G7" i="13"/>
  <c r="G12" i="13" s="1"/>
  <c r="F7" i="13"/>
  <c r="F12" i="13" s="1"/>
  <c r="F110" i="13" s="1"/>
  <c r="E7" i="13"/>
  <c r="D7" i="13"/>
  <c r="I7" i="14" l="1"/>
  <c r="D102" i="13"/>
  <c r="K43" i="13"/>
  <c r="E63" i="13"/>
  <c r="L63" i="13" s="1"/>
  <c r="L62" i="13"/>
  <c r="E75" i="13"/>
  <c r="L75" i="13" s="1"/>
  <c r="L77" i="13" s="1"/>
  <c r="L74" i="13"/>
  <c r="D83" i="13"/>
  <c r="K81" i="13"/>
  <c r="K83" i="13" s="1"/>
  <c r="D12" i="13"/>
  <c r="K7" i="13"/>
  <c r="K12" i="13" s="1"/>
  <c r="K35" i="13" s="1"/>
  <c r="L40" i="13"/>
  <c r="L101" i="13" s="1"/>
  <c r="G102" i="13"/>
  <c r="F63" i="13"/>
  <c r="K63" i="13" s="1"/>
  <c r="K62" i="13"/>
  <c r="F75" i="13"/>
  <c r="K75" i="13" s="1"/>
  <c r="K77" i="13" s="1"/>
  <c r="K74" i="13"/>
  <c r="E12" i="13"/>
  <c r="L7" i="13"/>
  <c r="L12" i="13" s="1"/>
  <c r="L35" i="13" s="1"/>
  <c r="F101" i="13"/>
  <c r="K40" i="13"/>
  <c r="K101" i="13" s="1"/>
  <c r="D58" i="13"/>
  <c r="K56" i="13"/>
  <c r="K58" i="13" s="1"/>
  <c r="H14" i="14"/>
  <c r="L57" i="13"/>
  <c r="L58" i="13"/>
  <c r="L65" i="13" s="1"/>
  <c r="G90" i="13"/>
  <c r="E88" i="13"/>
  <c r="L88" i="13" s="1"/>
  <c r="L90" i="13" s="1"/>
  <c r="L87" i="13"/>
  <c r="S69" i="16"/>
  <c r="S70" i="16" s="1"/>
  <c r="J70" i="16"/>
  <c r="I11" i="14"/>
  <c r="D88" i="13"/>
  <c r="D101" i="13"/>
  <c r="G58" i="13"/>
  <c r="G65" i="13" s="1"/>
  <c r="I13" i="14"/>
  <c r="E58" i="13"/>
  <c r="E65" i="13" s="1"/>
  <c r="H13" i="14"/>
  <c r="I93" i="16"/>
  <c r="E101" i="13"/>
  <c r="D77" i="13"/>
  <c r="J63" i="16" s="1"/>
  <c r="L93" i="16"/>
  <c r="L98" i="16" s="1"/>
  <c r="G101" i="13"/>
  <c r="E102" i="13"/>
  <c r="D65" i="13"/>
  <c r="J60" i="16" s="1"/>
  <c r="D35" i="13"/>
  <c r="D100" i="13" s="1"/>
  <c r="F35" i="13"/>
  <c r="F100" i="13" s="1"/>
  <c r="E35" i="13"/>
  <c r="E100" i="13" s="1"/>
  <c r="G35" i="13"/>
  <c r="G100" i="13" s="1"/>
  <c r="F65" i="13"/>
  <c r="F77" i="13"/>
  <c r="E90" i="13"/>
  <c r="R66" i="16" s="1"/>
  <c r="R67" i="16" s="1"/>
  <c r="E46" i="13"/>
  <c r="L46" i="13" s="1"/>
  <c r="G46" i="13"/>
  <c r="D46" i="13"/>
  <c r="F46" i="13"/>
  <c r="F87" i="13"/>
  <c r="F88" i="13" s="1"/>
  <c r="F90" i="13" s="1"/>
  <c r="K87" i="13" l="1"/>
  <c r="H7" i="14"/>
  <c r="E110" i="13"/>
  <c r="D110" i="13"/>
  <c r="K46" i="13"/>
  <c r="S63" i="16"/>
  <c r="S64" i="16" s="1"/>
  <c r="J64" i="16"/>
  <c r="R60" i="16"/>
  <c r="R61" i="16" s="1"/>
  <c r="L102" i="13"/>
  <c r="G110" i="13"/>
  <c r="E77" i="13"/>
  <c r="R63" i="16" s="1"/>
  <c r="R64" i="16" s="1"/>
  <c r="D90" i="13"/>
  <c r="J66" i="16" s="1"/>
  <c r="K88" i="13"/>
  <c r="K90" i="13" s="1"/>
  <c r="J61" i="16"/>
  <c r="S60" i="16"/>
  <c r="S61" i="16" s="1"/>
  <c r="K65" i="13"/>
  <c r="M65" i="13" s="1"/>
  <c r="L100" i="13"/>
  <c r="L103" i="13" s="1"/>
  <c r="L50" i="13"/>
  <c r="K100" i="13"/>
  <c r="K50" i="13"/>
  <c r="K102" i="13"/>
  <c r="BE69" i="16"/>
  <c r="BE70" i="16" s="1"/>
  <c r="T13" i="14"/>
  <c r="H15" i="14"/>
  <c r="H132" i="14"/>
  <c r="I132" i="14"/>
  <c r="I15" i="14"/>
  <c r="I27" i="14" s="1"/>
  <c r="I41" i="14" s="1"/>
  <c r="H131" i="14"/>
  <c r="I61" i="16"/>
  <c r="I98" i="16"/>
  <c r="BE93" i="16"/>
  <c r="BE98" i="16" s="1"/>
  <c r="I67" i="16"/>
  <c r="E103" i="13"/>
  <c r="E115" i="13" s="1"/>
  <c r="E118" i="13" s="1"/>
  <c r="F102" i="13"/>
  <c r="F103" i="13" s="1"/>
  <c r="I131" i="14"/>
  <c r="E50" i="13"/>
  <c r="F50" i="13"/>
  <c r="G103" i="13"/>
  <c r="G115" i="13" s="1"/>
  <c r="G118" i="13" s="1"/>
  <c r="G50" i="13"/>
  <c r="G108" i="13" s="1"/>
  <c r="D103" i="13"/>
  <c r="D50" i="13"/>
  <c r="BE63" i="16" l="1"/>
  <c r="BE64" i="16" s="1"/>
  <c r="T7" i="14"/>
  <c r="H11" i="14"/>
  <c r="H27" i="14" s="1"/>
  <c r="H41" i="14" s="1"/>
  <c r="T41" i="14" s="1"/>
  <c r="BE60" i="16"/>
  <c r="BE61" i="16" s="1"/>
  <c r="I64" i="16"/>
  <c r="K103" i="13"/>
  <c r="S66" i="16"/>
  <c r="J67" i="16"/>
  <c r="D108" i="13"/>
  <c r="D105" i="13"/>
  <c r="D106" i="13" s="1"/>
  <c r="J57" i="16"/>
  <c r="F105" i="13"/>
  <c r="F106" i="13" s="1"/>
  <c r="F108" i="13"/>
  <c r="G105" i="13"/>
  <c r="G106" i="13" s="1"/>
  <c r="I3" i="14"/>
  <c r="E105" i="13"/>
  <c r="E106" i="13" s="1"/>
  <c r="H3" i="14" l="1"/>
  <c r="S67" i="16"/>
  <c r="BE66" i="16"/>
  <c r="BE67" i="16" s="1"/>
  <c r="R57" i="16"/>
  <c r="R72" i="16" s="1"/>
  <c r="R90" i="16" s="1"/>
  <c r="I72" i="16"/>
  <c r="I90" i="16" s="1"/>
  <c r="J72" i="16"/>
  <c r="J90" i="16" s="1"/>
  <c r="S57" i="16"/>
  <c r="S72" i="16" s="1"/>
  <c r="S90" i="16" s="1"/>
  <c r="R58" i="16"/>
  <c r="J58" i="16"/>
  <c r="T3" i="14"/>
  <c r="H120" i="14"/>
  <c r="I120" i="14"/>
  <c r="I58" i="16"/>
  <c r="H28" i="10"/>
  <c r="S58" i="16" l="1"/>
  <c r="BE57" i="16"/>
  <c r="BE72" i="16" s="1"/>
  <c r="I91" i="16"/>
  <c r="I73" i="16"/>
  <c r="J73" i="16"/>
  <c r="J91" i="16"/>
  <c r="I28" i="10"/>
  <c r="H13" i="10"/>
  <c r="I13" i="10"/>
  <c r="BE58" i="16" l="1"/>
  <c r="R91" i="16"/>
  <c r="R73" i="16"/>
  <c r="S73" i="16"/>
  <c r="S91" i="16"/>
  <c r="BE90" i="16"/>
  <c r="BE91" i="16" s="1"/>
  <c r="BE73" i="16"/>
  <c r="I51" i="10"/>
  <c r="H51" i="10"/>
  <c r="I52" i="10"/>
  <c r="H52" i="10"/>
  <c r="I29" i="10" l="1"/>
  <c r="H29" i="10"/>
  <c r="H22" i="10"/>
  <c r="I22" i="10" l="1"/>
  <c r="I58" i="10" s="1"/>
  <c r="H58" i="10"/>
  <c r="I61" i="10"/>
  <c r="H61" i="10"/>
  <c r="I57" i="10"/>
  <c r="H57" i="10"/>
  <c r="I56" i="10"/>
  <c r="H56" i="10"/>
  <c r="I35" i="10"/>
  <c r="H35" i="10"/>
  <c r="I34" i="10"/>
  <c r="I33" i="10"/>
  <c r="H34" i="10"/>
  <c r="H33" i="10"/>
  <c r="I30" i="10"/>
  <c r="H30" i="10"/>
  <c r="H23" i="10"/>
  <c r="I23" i="10" s="1"/>
  <c r="H24" i="10"/>
  <c r="I24" i="10" s="1"/>
  <c r="H25" i="10"/>
  <c r="I25" i="10" s="1"/>
  <c r="H21" i="10"/>
  <c r="I21" i="10" s="1"/>
  <c r="H20" i="10"/>
  <c r="I20" i="10" s="1"/>
  <c r="I98" i="10" l="1"/>
  <c r="I101" i="10" s="1"/>
  <c r="H98" i="10"/>
  <c r="H101" i="10" s="1"/>
  <c r="I60" i="10"/>
  <c r="H60" i="10"/>
  <c r="I59" i="10"/>
  <c r="H59" i="10"/>
  <c r="I55" i="10"/>
  <c r="I63" i="10" s="1"/>
  <c r="H55" i="10"/>
  <c r="H63" i="10" s="1"/>
  <c r="H64" i="10" s="1"/>
  <c r="I48" i="10"/>
  <c r="H48" i="10"/>
  <c r="I47" i="10"/>
  <c r="H47" i="10"/>
  <c r="I43" i="10"/>
  <c r="I41" i="10" s="1"/>
  <c r="H43" i="10"/>
  <c r="H41" i="10" s="1"/>
  <c r="I10" i="10"/>
  <c r="I77" i="10" s="1"/>
  <c r="H10" i="10"/>
  <c r="H77" i="10" s="1"/>
  <c r="I9" i="10"/>
  <c r="H9" i="10"/>
  <c r="I55" i="6"/>
  <c r="H55" i="6"/>
  <c r="I43" i="6"/>
  <c r="H43" i="6"/>
  <c r="I28" i="6"/>
  <c r="H28" i="6"/>
  <c r="I10" i="6"/>
  <c r="I9" i="6"/>
  <c r="H9" i="6"/>
  <c r="H18" i="6" s="1"/>
  <c r="I18" i="6" s="1"/>
  <c r="J18" i="6" s="1"/>
  <c r="I98" i="6"/>
  <c r="H98" i="6"/>
  <c r="H54" i="10" l="1"/>
  <c r="I76" i="10"/>
  <c r="I3" i="10"/>
  <c r="H76" i="10"/>
  <c r="H3" i="10"/>
  <c r="H4" i="10" s="1"/>
  <c r="H65" i="10" s="1"/>
  <c r="I54" i="10"/>
  <c r="I64" i="10"/>
  <c r="H18" i="10"/>
  <c r="I18" i="10" s="1"/>
  <c r="H19" i="10"/>
  <c r="I19" i="10" s="1"/>
  <c r="H10" i="6"/>
  <c r="H19" i="6" s="1"/>
  <c r="I19" i="6" s="1"/>
  <c r="J19" i="6" s="1"/>
  <c r="I59" i="6"/>
  <c r="I60" i="6"/>
  <c r="H60" i="6"/>
  <c r="H59" i="6"/>
  <c r="I65" i="10" l="1"/>
  <c r="I4" i="10"/>
  <c r="I52" i="6"/>
  <c r="I76" i="6" s="1"/>
  <c r="H52" i="6"/>
  <c r="H76" i="6" s="1"/>
  <c r="I51" i="6" l="1"/>
  <c r="H51" i="6"/>
  <c r="H48" i="6"/>
  <c r="I48" i="6"/>
  <c r="I47" i="6"/>
  <c r="H47" i="6"/>
  <c r="H63" i="6" l="1"/>
  <c r="H64" i="6" s="1"/>
  <c r="H65" i="6" s="1"/>
  <c r="H77" i="6"/>
  <c r="I63" i="6"/>
  <c r="I77" i="6"/>
  <c r="I64" i="6" l="1"/>
  <c r="I65" i="6" l="1"/>
  <c r="J64" i="6"/>
  <c r="J65" i="6" s="1"/>
</calcChain>
</file>

<file path=xl/comments1.xml><?xml version="1.0" encoding="utf-8"?>
<comments xmlns="http://schemas.openxmlformats.org/spreadsheetml/2006/main">
  <authors>
    <author>Krishna Murthy BG.</author>
  </authors>
  <commentList>
    <comment ref="C43" authorId="0">
      <text>
        <r>
          <rPr>
            <sz val="9"/>
            <color indexed="81"/>
            <rFont val="Tahoma"/>
            <family val="2"/>
          </rPr>
          <t xml:space="preserve">only of YMG
</t>
        </r>
      </text>
    </comment>
    <comment ref="C49" authorId="0">
      <text>
        <r>
          <rPr>
            <sz val="9"/>
            <color indexed="81"/>
            <rFont val="Tahoma"/>
            <family val="2"/>
          </rPr>
          <t xml:space="preserve">only temple counters revenue considered
</t>
        </r>
      </text>
    </comment>
    <comment ref="C50" authorId="0">
      <text>
        <r>
          <rPr>
            <sz val="9"/>
            <color indexed="81"/>
            <rFont val="Tahoma"/>
            <family val="2"/>
          </rPr>
          <t xml:space="preserve">only temple counter revenue is considered
</t>
        </r>
      </text>
    </comment>
  </commentList>
</comments>
</file>

<file path=xl/comments2.xml><?xml version="1.0" encoding="utf-8"?>
<comments xmlns="http://schemas.openxmlformats.org/spreadsheetml/2006/main">
  <authors>
    <author>Gowri R</author>
  </authors>
  <commentList>
    <comment ref="I14" authorId="0">
      <text>
        <r>
          <rPr>
            <b/>
            <sz val="9"/>
            <color indexed="81"/>
            <rFont val="Tahoma"/>
            <family val="2"/>
          </rPr>
          <t xml:space="preserve">From GST received 20 lakh donation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>
      <text>
        <r>
          <rPr>
            <sz val="9"/>
            <color indexed="81"/>
            <rFont val="Tahoma"/>
            <family val="2"/>
          </rPr>
          <t xml:space="preserve">Included 4.75lakh magazine subscription expenses
</t>
        </r>
      </text>
    </comment>
    <comment ref="E44" authorId="0">
      <text>
        <r>
          <rPr>
            <sz val="9"/>
            <color indexed="81"/>
            <rFont val="Tahoma"/>
            <family val="2"/>
          </rPr>
          <t xml:space="preserve">Included 5 lakh magazine subscription expenses
</t>
        </r>
      </text>
    </comment>
    <comment ref="I86" authorId="0">
      <text>
        <r>
          <rPr>
            <sz val="9"/>
            <color indexed="81"/>
            <rFont val="Tahoma"/>
            <family val="2"/>
          </rPr>
          <t xml:space="preserve">F&amp;F of Ajay Parik  Rs.11.25 lakh
</t>
        </r>
      </text>
    </comment>
  </commentList>
</comments>
</file>

<file path=xl/comments3.xml><?xml version="1.0" encoding="utf-8"?>
<comments xmlns="http://schemas.openxmlformats.org/spreadsheetml/2006/main">
  <authors>
    <author>Krishna Murthy BG.</author>
    <author>Sangeetha Ramesh V</author>
    <author>Windows User</author>
  </authors>
  <commentList>
    <comment ref="H13" authorId="0">
      <text>
        <r>
          <rPr>
            <sz val="9"/>
            <color indexed="81"/>
            <rFont val="Tahoma"/>
            <family val="2"/>
          </rPr>
          <t xml:space="preserve">net of vat
</t>
        </r>
      </text>
    </comment>
    <comment ref="I13" authorId="0">
      <text>
        <r>
          <rPr>
            <sz val="9"/>
            <color indexed="81"/>
            <rFont val="Tahoma"/>
            <family val="2"/>
          </rPr>
          <t xml:space="preserve">net of vat
</t>
        </r>
      </text>
    </comment>
    <comment ref="J13" authorId="0">
      <text>
        <r>
          <rPr>
            <sz val="9"/>
            <color indexed="81"/>
            <rFont val="Tahoma"/>
            <family val="2"/>
          </rPr>
          <t xml:space="preserve">net of vat
</t>
        </r>
      </text>
    </comment>
    <comment ref="H28" authorId="1">
      <text>
        <r>
          <rPr>
            <sz val="9"/>
            <color indexed="81"/>
            <rFont val="Tahoma"/>
            <family val="2"/>
          </rPr>
          <t xml:space="preserve">entire donation income has considered as temple revenue &amp; corpus donation is not considered as revenue.
</t>
        </r>
      </text>
    </comment>
    <comment ref="C30" authorId="0">
      <text>
        <r>
          <rPr>
            <sz val="9"/>
            <color indexed="81"/>
            <rFont val="Tahoma"/>
            <family val="2"/>
          </rPr>
          <t xml:space="preserve">only of YMG
</t>
        </r>
      </text>
    </comment>
    <comment ref="C33" authorId="0">
      <text>
        <r>
          <rPr>
            <sz val="9"/>
            <color indexed="81"/>
            <rFont val="Tahoma"/>
            <family val="2"/>
          </rPr>
          <t xml:space="preserve">only temple counters revenue considered
</t>
        </r>
      </text>
    </comment>
    <comment ref="C34" authorId="0">
      <text>
        <r>
          <rPr>
            <sz val="9"/>
            <color indexed="81"/>
            <rFont val="Tahoma"/>
            <family val="2"/>
          </rPr>
          <t xml:space="preserve">only temple counter revenue is considered
</t>
        </r>
      </text>
    </comment>
    <comment ref="A91" authorId="2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an indicator of what value customer is ready to give to your services/product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A8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an indicator of what value customer is ready to give to your services/product</t>
        </r>
      </text>
    </comment>
  </commentList>
</comments>
</file>

<file path=xl/comments5.xml><?xml version="1.0" encoding="utf-8"?>
<comments xmlns="http://schemas.openxmlformats.org/spreadsheetml/2006/main">
  <authors>
    <author>Sangeetha Ramesh V</author>
    <author>Windows User</author>
  </authors>
  <commentList>
    <comment ref="H28" authorId="0">
      <text>
        <r>
          <rPr>
            <sz val="9"/>
            <color indexed="81"/>
            <rFont val="Tahoma"/>
            <family val="2"/>
          </rPr>
          <t xml:space="preserve">entire donation income has considered as temple revenue &amp; corpus donation is not considered as revenue.
</t>
        </r>
      </text>
    </comment>
    <comment ref="A91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an indicator of what value customer is ready to give to your services/product</t>
        </r>
      </text>
    </comment>
  </commentList>
</comments>
</file>

<file path=xl/comments6.xml><?xml version="1.0" encoding="utf-8"?>
<comments xmlns="http://schemas.openxmlformats.org/spreadsheetml/2006/main">
  <authors>
    <author>Sangeetha Ramesh V</author>
    <author>Krishna Murthy BG.</author>
    <author>Windows User</author>
  </authors>
  <commentList>
    <comment ref="H64" authorId="0">
      <text>
        <r>
          <rPr>
            <sz val="9"/>
            <color indexed="81"/>
            <rFont val="Tahoma"/>
            <family val="2"/>
          </rPr>
          <t xml:space="preserve">entire donation income has considered as temple revenue &amp; corpus donation is not considered as revenue.
</t>
        </r>
      </text>
    </comment>
    <comment ref="C66" authorId="1">
      <text>
        <r>
          <rPr>
            <sz val="9"/>
            <color indexed="81"/>
            <rFont val="Tahoma"/>
            <family val="2"/>
          </rPr>
          <t xml:space="preserve">only of YMG
</t>
        </r>
      </text>
    </comment>
    <comment ref="C69" authorId="1">
      <text>
        <r>
          <rPr>
            <sz val="9"/>
            <color indexed="81"/>
            <rFont val="Tahoma"/>
            <family val="2"/>
          </rPr>
          <t xml:space="preserve">only temple counters revenue considered
</t>
        </r>
      </text>
    </comment>
    <comment ref="C70" authorId="1">
      <text>
        <r>
          <rPr>
            <sz val="9"/>
            <color indexed="81"/>
            <rFont val="Tahoma"/>
            <family val="2"/>
          </rPr>
          <t xml:space="preserve">only temple counter revenue is considered
</t>
        </r>
      </text>
    </comment>
    <comment ref="A146" authorId="2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an indicator of what value customer is ready to give to your services/product</t>
        </r>
      </text>
    </comment>
  </commentList>
</comments>
</file>

<file path=xl/sharedStrings.xml><?xml version="1.0" encoding="utf-8"?>
<sst xmlns="http://schemas.openxmlformats.org/spreadsheetml/2006/main" count="1041" uniqueCount="308">
  <si>
    <t xml:space="preserve">AUTHORISED BY: </t>
  </si>
  <si>
    <t>Strategic Objective</t>
  </si>
  <si>
    <t>Measures</t>
  </si>
  <si>
    <t>Target</t>
  </si>
  <si>
    <t>PREPARED BY: Autumn Leaf</t>
  </si>
  <si>
    <t>MAINTAINED BY:</t>
  </si>
  <si>
    <t>Owner</t>
  </si>
  <si>
    <t>VERSION DATED : 12th NOVEMBER, 2013</t>
  </si>
  <si>
    <t>Data Provider</t>
  </si>
  <si>
    <t>LEARNING &amp; DEVELOPMENT</t>
  </si>
  <si>
    <t>Devotee Training Manhours</t>
  </si>
  <si>
    <t>April</t>
  </si>
  <si>
    <t>May</t>
  </si>
  <si>
    <t>Total Revenue for the Month</t>
  </si>
  <si>
    <t>Donations</t>
  </si>
  <si>
    <t>IC</t>
  </si>
  <si>
    <t>Guest House (Yatri Niwas)</t>
  </si>
  <si>
    <t>Kalyana Mantapa</t>
  </si>
  <si>
    <t>GST</t>
  </si>
  <si>
    <t>Temple Revenue</t>
  </si>
  <si>
    <t>External Revenue</t>
  </si>
  <si>
    <t>Temple : External Ratio: Online</t>
  </si>
  <si>
    <t>Total Weekend Revenue for the month</t>
  </si>
  <si>
    <t>Total Weekday Revenue for the month</t>
  </si>
  <si>
    <r>
      <t xml:space="preserve">Overall Revenue &amp; </t>
    </r>
    <r>
      <rPr>
        <b/>
        <u/>
        <sz val="9"/>
        <color theme="1"/>
        <rFont val="Calibri"/>
        <family val="2"/>
        <scheme val="minor"/>
      </rPr>
      <t>Split across units</t>
    </r>
  </si>
  <si>
    <r>
      <t xml:space="preserve">Revenue Split </t>
    </r>
    <r>
      <rPr>
        <b/>
        <u/>
        <sz val="9"/>
        <color theme="1"/>
        <rFont val="Calibri"/>
        <family val="2"/>
        <scheme val="minor"/>
      </rPr>
      <t>Temple, External and Online</t>
    </r>
  </si>
  <si>
    <t>Total Visitors</t>
  </si>
  <si>
    <t>Revenue per visitor</t>
  </si>
  <si>
    <r>
      <t xml:space="preserve">Revenue based on Temple Visitors
 </t>
    </r>
    <r>
      <rPr>
        <b/>
        <u/>
        <sz val="9"/>
        <color theme="1"/>
        <rFont val="Calibri"/>
        <family val="2"/>
        <scheme val="minor"/>
      </rPr>
      <t>Weekend vs Week day</t>
    </r>
  </si>
  <si>
    <t>FINANCIAL- Revenue</t>
  </si>
  <si>
    <t>FINANCIAL- Profitability</t>
  </si>
  <si>
    <t>Profit after Tax- PAT</t>
  </si>
  <si>
    <t>Asset Utilization Ratio and People Productivity</t>
  </si>
  <si>
    <t>Total Revenue/ Total Number of people ( Devotee + Employed)</t>
  </si>
  <si>
    <t>Total Revenue (Donation excluded)/ Total Salary</t>
  </si>
  <si>
    <t>CUSTOMER-DONOR &amp; VISITOR</t>
  </si>
  <si>
    <t>Pricing</t>
  </si>
  <si>
    <t>Highest Performing Schemes- YTD Collection- actuals &amp; %</t>
  </si>
  <si>
    <t>Worst Performing Schemes- YTD Collection- actuals &amp; %</t>
  </si>
  <si>
    <t>Products contributing to 80% of the revenue</t>
  </si>
  <si>
    <t>Lowest performing SKUs</t>
  </si>
  <si>
    <t>Yatri Niwas</t>
  </si>
  <si>
    <t>Employee Training Manhours</t>
  </si>
  <si>
    <t>Employee Retention</t>
  </si>
  <si>
    <t>Operations Management Process</t>
  </si>
  <si>
    <t>Customer Management Process</t>
  </si>
  <si>
    <t>Innovation Process</t>
  </si>
  <si>
    <t>Partnership Process</t>
  </si>
  <si>
    <t>Regulatory &amp; Social Process</t>
  </si>
  <si>
    <t>Oppurtunity Identification</t>
  </si>
  <si>
    <t>Portfolio Management</t>
  </si>
  <si>
    <t>Product Design &amp; Development</t>
  </si>
  <si>
    <t>Product Launch</t>
  </si>
  <si>
    <t>Weekend: Weekday Revenue</t>
  </si>
  <si>
    <t>Weekend Visitors</t>
  </si>
  <si>
    <t>Weekday Visitors</t>
  </si>
  <si>
    <t>Manpower Cost with breakup</t>
  </si>
  <si>
    <t>No of Staff Members(Devotees &amp; Employed) with breakup</t>
  </si>
  <si>
    <t xml:space="preserve">Net Donation for Charitable Activities </t>
  </si>
  <si>
    <t>Net Donation for Charitable Activities  YTD</t>
  </si>
  <si>
    <t>Donation for Charitable Activities
SST, IC all six</t>
  </si>
  <si>
    <t>No of SKUs giving 80%</t>
  </si>
  <si>
    <t>Total No of Active SKUs</t>
  </si>
  <si>
    <t>No of SKUs giving less than 2% Sales</t>
  </si>
  <si>
    <t>Total Roomdays available</t>
  </si>
  <si>
    <t>Total Roomdays aoccupied (Patron) (%)</t>
  </si>
  <si>
    <t>Total Roomdays aoccupied (Non Patron) (%)</t>
  </si>
  <si>
    <t>Total Roomdays unused (%)</t>
  </si>
  <si>
    <t>No of Mandays of training YTD</t>
  </si>
  <si>
    <t>No of training program orgainzed</t>
  </si>
  <si>
    <t>Total people Joined YTD</t>
  </si>
  <si>
    <t>Total left YTD</t>
  </si>
  <si>
    <t>Total Revenue YTD last FY</t>
  </si>
  <si>
    <t>Total Revenue YTD this FY</t>
  </si>
  <si>
    <t>Total Revenue YTD this year as against last year(%)</t>
  </si>
  <si>
    <t>Total Donations</t>
  </si>
  <si>
    <t>Total for the Month</t>
  </si>
  <si>
    <t>Total YTD</t>
  </si>
  <si>
    <t>PAT and Splits across Units</t>
  </si>
  <si>
    <t>Overall PAT</t>
  </si>
  <si>
    <t>PAT Split across Units</t>
  </si>
  <si>
    <t>Overall Cost</t>
  </si>
  <si>
    <t>Manpower cost</t>
  </si>
  <si>
    <t>Total Cost and split across units</t>
  </si>
  <si>
    <t xml:space="preserve">Total Cost </t>
  </si>
  <si>
    <t>Net YTD Amount given for temple activities/ total revenue YTD (%)</t>
  </si>
  <si>
    <t>Net Donation from the Block</t>
  </si>
  <si>
    <t>Net Donation split by Unit</t>
  </si>
  <si>
    <t xml:space="preserve">Net YTD GST amount given for temple activities </t>
  </si>
  <si>
    <t xml:space="preserve">Net YTD GST amount given for temple activities/Total GST YTD Revenue (%) </t>
  </si>
  <si>
    <t>Attrition Rate
(Employees Left)/
(Average of opening employee count and closing employee count)</t>
  </si>
  <si>
    <t>Quality of Service Offering and Visitor/Donor/Patron Satisfaction on Same</t>
  </si>
  <si>
    <t>Number of complaints received (Quaterly)</t>
  </si>
  <si>
    <t>VERSION DATED : 13th NOVEMBER, 2013</t>
  </si>
  <si>
    <t>Distribute Holy Name</t>
  </si>
  <si>
    <t>No of oppurtunities of identified and implemented</t>
  </si>
  <si>
    <t>No of books distributed in the month</t>
  </si>
  <si>
    <t>No of events and exhibition where Srila Prabhupada's books were displayed for sale</t>
  </si>
  <si>
    <t>No of books and /or book distribution events sponsored</t>
  </si>
  <si>
    <t>No of visual aids prepared &amp; circulated</t>
  </si>
  <si>
    <t>Promotion Expense against budget</t>
  </si>
  <si>
    <t>Engagement activities &amp; promotion efforts made to increase sales that helps to further Krishna Consciousness</t>
  </si>
  <si>
    <t>No of mass events planned or promotions planned and executed</t>
  </si>
  <si>
    <t>Increase in number of books distributed to a desired target audience- SEC A, B, C</t>
  </si>
  <si>
    <t>INTERNAL BUSINESS PROCESS</t>
  </si>
  <si>
    <t>Revenue Block Initiatives</t>
  </si>
  <si>
    <t>Reduction in usage of material that spreads environmental pollution</t>
  </si>
  <si>
    <t>YTD Revenue Achievement against YTD Target (%)</t>
  </si>
  <si>
    <t>SST</t>
  </si>
  <si>
    <r>
      <t>Overall Revenue
-</t>
    </r>
    <r>
      <rPr>
        <sz val="9"/>
        <color theme="1"/>
        <rFont val="Calibri"/>
        <family val="2"/>
        <scheme val="minor"/>
      </rPr>
      <t>Donation
-TSF Gifts Books (mag incl)
-TSF Gifts Non Books
- TSF Prasadam
- Guest House
- Kalyana Mantapa
- GST</t>
    </r>
  </si>
  <si>
    <t>TSF Gifts Books (Magazines Included)</t>
  </si>
  <si>
    <t>TSF Gifts Non books</t>
  </si>
  <si>
    <t xml:space="preserve">Net YTD TSF Gifts amount given for temple activities </t>
  </si>
  <si>
    <t xml:space="preserve">Net YTD TSF Gifts amount given for temple activities/Total TSF Gifts YTD Revenue (%) </t>
  </si>
  <si>
    <t>TSF Prasadam</t>
  </si>
  <si>
    <t xml:space="preserve">Net YTD TSF Prasadam amount given for temple activities </t>
  </si>
  <si>
    <t xml:space="preserve">Net YTD TSF Prasadam amount given for temple activities/Total TSF Prasadam YTD Revenue (%) </t>
  </si>
  <si>
    <t>Online Revenue/ BM Revenue</t>
  </si>
  <si>
    <t xml:space="preserve">Other Income-IB </t>
  </si>
  <si>
    <r>
      <t xml:space="preserve">Overall Revenue &amp; </t>
    </r>
    <r>
      <rPr>
        <b/>
        <u/>
        <sz val="9"/>
        <color theme="1"/>
        <rFont val="Arial"/>
        <family val="2"/>
      </rPr>
      <t>Split across units</t>
    </r>
  </si>
  <si>
    <r>
      <t>Overall Revenue
-</t>
    </r>
    <r>
      <rPr>
        <sz val="9"/>
        <color theme="1"/>
        <rFont val="Arial"/>
        <family val="2"/>
      </rPr>
      <t>Donation
-TSF Gifts Books (mag incl)
-TSF Gifts Non Books
- TSF Prasadam
- Guest House
- Kalyana Mantapa
- GST</t>
    </r>
  </si>
  <si>
    <r>
      <t xml:space="preserve">Revenue Split </t>
    </r>
    <r>
      <rPr>
        <b/>
        <u/>
        <sz val="9"/>
        <color theme="1"/>
        <rFont val="Arial"/>
        <family val="2"/>
      </rPr>
      <t>Temple, External and Online</t>
    </r>
  </si>
  <si>
    <r>
      <t xml:space="preserve">Revenue based on Temple Visitors
 </t>
    </r>
    <r>
      <rPr>
        <b/>
        <u/>
        <sz val="9"/>
        <color theme="1"/>
        <rFont val="Arial"/>
        <family val="2"/>
      </rPr>
      <t>Weekend vs Week day</t>
    </r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</si>
  <si>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</si>
  <si>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</si>
  <si>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</si>
  <si>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</si>
  <si>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</si>
  <si>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</si>
  <si>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</si>
  <si>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</si>
  <si>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</si>
  <si>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</si>
  <si>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 FY 14-15</t>
  </si>
  <si>
    <t>Kalyana Mantapa-Catering</t>
  </si>
  <si>
    <r>
      <t xml:space="preserve">Overall Revenue &amp; </t>
    </r>
    <r>
      <rPr>
        <b/>
        <u/>
        <sz val="10"/>
        <color theme="1"/>
        <rFont val="Calibri"/>
        <family val="2"/>
        <scheme val="minor"/>
      </rPr>
      <t>Split across units</t>
    </r>
  </si>
  <si>
    <r>
      <t xml:space="preserve">Revenue Split </t>
    </r>
    <r>
      <rPr>
        <b/>
        <u/>
        <sz val="10"/>
        <color theme="1"/>
        <rFont val="Calibri"/>
        <family val="2"/>
        <scheme val="minor"/>
      </rPr>
      <t>Temple, External and Online</t>
    </r>
  </si>
  <si>
    <r>
      <t xml:space="preserve">Revenue based on Temple Visitors
 </t>
    </r>
    <r>
      <rPr>
        <b/>
        <u/>
        <sz val="10"/>
        <color theme="1"/>
        <rFont val="Calibri"/>
        <family val="2"/>
        <scheme val="minor"/>
      </rPr>
      <t>Weekend vs Week day</t>
    </r>
  </si>
  <si>
    <t>% increase or decrease over last year</t>
  </si>
  <si>
    <t>Total for the Month
This FY ( in lacs)</t>
  </si>
  <si>
    <t>Total for the Month
Last FY (in lacs)</t>
  </si>
  <si>
    <r>
      <t>Overall Revenue (in lacs)
-</t>
    </r>
    <r>
      <rPr>
        <sz val="10"/>
        <color theme="1"/>
        <rFont val="Calibri"/>
        <family val="2"/>
        <scheme val="minor"/>
      </rPr>
      <t>Donation
-TSF Gifts Books (mag incl)
-TSF Gifts Non Books
- TSF Prasadam
- Guest House
- Kalyana Mantapa
- GST</t>
    </r>
  </si>
  <si>
    <t>Category</t>
  </si>
  <si>
    <t>Group</t>
  </si>
  <si>
    <t>FY 13-14</t>
  </si>
  <si>
    <t>FY 14-15</t>
  </si>
  <si>
    <t>Total Corpus Donation - FYI</t>
  </si>
  <si>
    <t>HK HILL</t>
  </si>
  <si>
    <t>Hundi Donation</t>
  </si>
  <si>
    <t>Temple Donation</t>
  </si>
  <si>
    <t>Nitya Seva Donation</t>
  </si>
  <si>
    <t>Pushpanjali Donation</t>
  </si>
  <si>
    <t>Samskara Donation</t>
  </si>
  <si>
    <t>Deity Worship Donation</t>
  </si>
  <si>
    <t>Festival Donation</t>
  </si>
  <si>
    <t>Total Temple Donation</t>
  </si>
  <si>
    <t>General Donation</t>
  </si>
  <si>
    <t>Non Corpus Donation</t>
  </si>
  <si>
    <t>Educational Donation</t>
  </si>
  <si>
    <t>Cow Protection</t>
  </si>
  <si>
    <t>Annadana Donation</t>
  </si>
  <si>
    <t>Kind Donation</t>
  </si>
  <si>
    <t>Book Distribution</t>
  </si>
  <si>
    <t>Total Non Corpus</t>
  </si>
  <si>
    <t>Non 80G General Donation</t>
  </si>
  <si>
    <t>Sponsorship Income</t>
  </si>
  <si>
    <t>Anonymous Donation</t>
  </si>
  <si>
    <t>Vyasa Pooja Donation</t>
  </si>
  <si>
    <t>Other  Donations</t>
  </si>
  <si>
    <t>Other Income</t>
  </si>
  <si>
    <t>Rental Income</t>
  </si>
  <si>
    <t>Fees &amp; Tickets</t>
  </si>
  <si>
    <t>Misc</t>
  </si>
  <si>
    <t>Total</t>
  </si>
  <si>
    <t>Grand Total</t>
  </si>
  <si>
    <t>A</t>
  </si>
  <si>
    <t>Manpower cost - HK Hill</t>
  </si>
  <si>
    <t>Manpower cost - HO</t>
  </si>
  <si>
    <t>Other Cost - HK Hill</t>
  </si>
  <si>
    <t>Other Cost - HO</t>
  </si>
  <si>
    <t>TOTAL COST</t>
  </si>
  <si>
    <t>PAT</t>
  </si>
  <si>
    <t>E</t>
  </si>
  <si>
    <t>Note: Salary for april 2013 accounted in May 2013 in tally and for may 2013 it is accounted in June 2013</t>
  </si>
  <si>
    <t>B</t>
  </si>
  <si>
    <t>Less: Cost</t>
  </si>
  <si>
    <t>Man Power Cost</t>
  </si>
  <si>
    <t>Other Cost</t>
  </si>
  <si>
    <t>F</t>
  </si>
  <si>
    <t>Dharmashala</t>
  </si>
  <si>
    <t>C</t>
  </si>
  <si>
    <t>G</t>
  </si>
  <si>
    <t>Values Plus</t>
  </si>
  <si>
    <t>D</t>
  </si>
  <si>
    <t>H</t>
  </si>
  <si>
    <t>Consolidated</t>
  </si>
  <si>
    <t>Revenue (excludind corpus</t>
  </si>
  <si>
    <t>A+B+C+D</t>
  </si>
  <si>
    <t>Manpower</t>
  </si>
  <si>
    <t>E+F+G+H</t>
  </si>
  <si>
    <r>
      <t xml:space="preserve">Temple Donations 
</t>
    </r>
    <r>
      <rPr>
        <sz val="10"/>
        <color theme="1"/>
        <rFont val="Calibri"/>
        <family val="2"/>
        <scheme val="minor"/>
      </rPr>
      <t>(Hundi, Nitya, Pushpanjali, Festival, Samskara &amp; Deity Worship)</t>
    </r>
  </si>
  <si>
    <r>
      <t xml:space="preserve">Other Donation
</t>
    </r>
    <r>
      <rPr>
        <sz val="10"/>
        <color theme="1"/>
        <rFont val="Calibri"/>
        <family val="2"/>
        <scheme val="minor"/>
      </rPr>
      <t>(Non 80 G, Sponsorship, Anonymous, Vyasa)</t>
    </r>
  </si>
  <si>
    <r>
      <t xml:space="preserve">Other Income-IB 
</t>
    </r>
    <r>
      <rPr>
        <sz val="10"/>
        <color theme="1"/>
        <rFont val="Calibri"/>
        <family val="2"/>
        <scheme val="minor"/>
      </rPr>
      <t>(Rental, Fees &amp; Tickets, Misc)</t>
    </r>
  </si>
  <si>
    <t>Kalyana Mantapa Rental Income</t>
  </si>
  <si>
    <t>Kalyana Mantapa Other Income</t>
  </si>
  <si>
    <t>Dharmasala Rental Income</t>
  </si>
  <si>
    <t>Dharmasala Other Income</t>
  </si>
  <si>
    <t>Value Plus Educational Donation</t>
  </si>
  <si>
    <t>Total Temple IB Revenue (A)</t>
  </si>
  <si>
    <t>Total Kalyana Mantapa Income (B)</t>
  </si>
  <si>
    <t>Total Dharmasala Income ( C )</t>
  </si>
  <si>
    <t>Total TSF Gifts</t>
  </si>
  <si>
    <t>Total TSF Income</t>
  </si>
  <si>
    <t>Total Income All Trusts</t>
  </si>
  <si>
    <t>Total Value Plus / CES Income ( D )</t>
  </si>
  <si>
    <t>FOLK ( E)</t>
  </si>
  <si>
    <t>Total IB Income= A+B+C+D+E</t>
  </si>
  <si>
    <t>FOLK</t>
  </si>
  <si>
    <t>Income</t>
  </si>
  <si>
    <t>Manpower Cost</t>
  </si>
  <si>
    <t>Toal FOLK Cost</t>
  </si>
  <si>
    <t>Cost</t>
  </si>
  <si>
    <t>Revenue net of taxes</t>
  </si>
  <si>
    <t>No of Visitors</t>
  </si>
  <si>
    <t>No of Employees</t>
  </si>
  <si>
    <t>Not available</t>
  </si>
  <si>
    <t>Man power cost</t>
  </si>
  <si>
    <t>Total Revenu</t>
  </si>
  <si>
    <t>Total Cost</t>
  </si>
  <si>
    <t>manpower</t>
  </si>
  <si>
    <t>PAT: Temple IB</t>
  </si>
  <si>
    <t>PAT: Kalyana Mantapa</t>
  </si>
  <si>
    <t>PAT%</t>
  </si>
  <si>
    <t>PAT: Dharmasala</t>
  </si>
  <si>
    <t>PAT: CES/Value Plus</t>
  </si>
  <si>
    <t>PAT: FOLK</t>
  </si>
  <si>
    <t>I</t>
  </si>
  <si>
    <t>PAT: Total IB</t>
  </si>
  <si>
    <t>PAT %</t>
  </si>
  <si>
    <t>PAT: TSF Gifts</t>
  </si>
  <si>
    <t>PAT: TSF Prasadam</t>
  </si>
  <si>
    <t>PAT : Kalyana Mantapa Catering</t>
  </si>
  <si>
    <t>PAT: GST</t>
  </si>
  <si>
    <t>PAT: Total TSF</t>
  </si>
  <si>
    <t>PAT: All Trust</t>
  </si>
  <si>
    <t>Temple IB</t>
  </si>
  <si>
    <t>Value Plus/CES</t>
  </si>
  <si>
    <t>Total Temple IB</t>
  </si>
  <si>
    <t>Online Revenue</t>
  </si>
  <si>
    <t>Weekday Visitors (M to Friday)</t>
  </si>
  <si>
    <t>Avg Weekend: Avg Weekday Visitor</t>
  </si>
  <si>
    <t>Weekend: Weekday Avg Revenue</t>
  </si>
  <si>
    <t>Ratio of above (1:1.x)</t>
  </si>
  <si>
    <t>Ratio of above (1:1.y)</t>
  </si>
  <si>
    <t>Total Revenue/ Total No of Employees</t>
  </si>
  <si>
    <t>IB</t>
  </si>
  <si>
    <t>TSF Gifts</t>
  </si>
  <si>
    <t>Total Revenue/ Total Salary</t>
  </si>
  <si>
    <t>Total No of books distributed in the month</t>
  </si>
  <si>
    <t>Number of complaints received (Monthly)</t>
  </si>
  <si>
    <t>Receivables &gt; 90 days</t>
  </si>
  <si>
    <t>Receivables &gt; 180 days</t>
  </si>
  <si>
    <t>Inventory</t>
  </si>
  <si>
    <t>Audit</t>
  </si>
  <si>
    <t>Training Mandays</t>
  </si>
  <si>
    <t>Attrition Rate (spilt ESI and non ESI &amp; trustwise)
(Employees Left)/
(Average of opening employee count and closing employee count)</t>
  </si>
  <si>
    <t>Increase in head count from approved for all</t>
  </si>
  <si>
    <t>Variance %</t>
  </si>
  <si>
    <t>Quarter 1</t>
  </si>
  <si>
    <t>Quarter 2</t>
  </si>
  <si>
    <t>Quarter 3</t>
  </si>
  <si>
    <t>Quarter 4</t>
  </si>
  <si>
    <t>Overall Revenue &amp; Split across units</t>
  </si>
  <si>
    <t>Data Available
Y or N</t>
  </si>
  <si>
    <t>Data Source
Tally/Trend/
Excel</t>
  </si>
  <si>
    <t>Data Provider
Name &amp; Department</t>
  </si>
  <si>
    <t>Jun</t>
  </si>
  <si>
    <t>Online Revenue/ BM Revenue/Magazine</t>
  </si>
  <si>
    <t xml:space="preserve"> </t>
  </si>
  <si>
    <t>Total Income</t>
  </si>
  <si>
    <t>PAT as per tally</t>
  </si>
  <si>
    <t>PAT as per BSC</t>
  </si>
  <si>
    <t>NA</t>
  </si>
  <si>
    <t>TSF -Gift  Division</t>
  </si>
  <si>
    <t>Sales achived  11% growth in 2014-15 q1  by Rs.38 lakhs</t>
  </si>
  <si>
    <t>a. External sales increase 100% with target of 10 lakhs in the month of May and June.14</t>
  </si>
  <si>
    <t>b. Liquidating of non moving items  and sold high margine  items</t>
  </si>
  <si>
    <t>Top 5 overheads</t>
  </si>
  <si>
    <t>a. Salary, PF, ESI   (Personel cost)</t>
  </si>
  <si>
    <t xml:space="preserve">b. Rent </t>
  </si>
  <si>
    <t>c.Food &amp; Bevarages</t>
  </si>
  <si>
    <t>e.Printing charges</t>
  </si>
  <si>
    <t>d.stationary</t>
  </si>
  <si>
    <t xml:space="preserve">Net profit growth by Rs.10.46 lakh ,  percentage wise only 1%  </t>
  </si>
  <si>
    <t>still can do better if :</t>
  </si>
  <si>
    <t>a. Identifying of non moving items every quaterly</t>
  </si>
  <si>
    <t>b. Liquidating of dead stocks</t>
  </si>
  <si>
    <t>c.  Contribution from the BM sales</t>
  </si>
  <si>
    <t>d. Contribution from Magazines</t>
  </si>
  <si>
    <t>TSF -Prasadam Division</t>
  </si>
  <si>
    <t>TSF -Prasadam   Division</t>
  </si>
  <si>
    <t>Sales achived  9% growth in 2014-15 Q1  by Rs.40 lakhs and KM growth by 29%  by 35 lakhs</t>
  </si>
  <si>
    <t>a. Election - sales billing  70 lakhs in the month of April and May.</t>
  </si>
  <si>
    <t>b. KM   may month collection is increase by 100%.  Avg of month collection 35 lakhs  in the month may Rs.70</t>
  </si>
  <si>
    <t>c. May month Summar voccation  counter collection increase to 1.5 cr. ( PY 75 lakhs)</t>
  </si>
  <si>
    <t>d. Amezon  and Emphasis started in oct.13</t>
  </si>
  <si>
    <t xml:space="preserve">     Amezon  sales Rs.7 lakh and Emphasis Sales avg.2.5 lakhs per month 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</si>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</sst>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\-??_);_(@_)"/>
    <numFmt numFmtId="166" formatCode="_ * #,##0_ ;_ * \-#,##0_ ;_ * &quot;-&quot;??_ ;_ @_ "/>
    <numFmt numFmtId="167" formatCode="0.00_ ;[Red]\-0.00\ "/>
    <numFmt numFmtId="168" formatCode="_ * #,##0.0_ ;_ * \-#,##0.0_ ;_ * &quot;-&quot;??_ ;_ @_ "/>
    <numFmt numFmtId="169" formatCode="0.0"/>
    <numFmt numFmtId="170" formatCode="0.0%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8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0"/>
      <name val="Arial"/>
      <family val="2"/>
    </font>
    <font>
      <b/>
      <sz val="9"/>
      <color rgb="FFFFFF00"/>
      <name val="Arial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2" fillId="0" borderId="0"/>
    <xf numFmtId="0" fontId="3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7" borderId="1" applyNumberFormat="0" applyAlignment="0" applyProtection="0"/>
    <xf numFmtId="0" fontId="8" fillId="18" borderId="2" applyNumberFormat="0" applyAlignment="0" applyProtection="0"/>
    <xf numFmtId="165" fontId="2" fillId="0" borderId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1" applyNumberFormat="0" applyAlignment="0" applyProtection="0"/>
    <xf numFmtId="0" fontId="15" fillId="0" borderId="6" applyNumberFormat="0" applyFill="0" applyAlignment="0" applyProtection="0"/>
    <xf numFmtId="0" fontId="16" fillId="20" borderId="0" applyNumberFormat="0" applyBorder="0" applyAlignment="0" applyProtection="0"/>
    <xf numFmtId="0" fontId="17" fillId="0" borderId="0"/>
    <xf numFmtId="0" fontId="1" fillId="0" borderId="0"/>
    <xf numFmtId="0" fontId="17" fillId="0" borderId="0" applyBorder="0"/>
    <xf numFmtId="0" fontId="18" fillId="0" borderId="0"/>
    <xf numFmtId="0" fontId="2" fillId="21" borderId="7" applyNumberFormat="0" applyAlignment="0" applyProtection="0"/>
    <xf numFmtId="0" fontId="19" fillId="7" borderId="8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17" fillId="0" borderId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7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3" fillId="0" borderId="0" xfId="42" applyFont="1" applyBorder="1"/>
    <xf numFmtId="0" fontId="24" fillId="0" borderId="0" xfId="42" applyFont="1" applyFill="1" applyBorder="1" applyAlignment="1">
      <alignment horizontal="center"/>
    </xf>
    <xf numFmtId="0" fontId="25" fillId="0" borderId="0" xfId="42" applyFont="1" applyFill="1" applyBorder="1" applyAlignment="1">
      <alignment horizontal="left"/>
    </xf>
    <xf numFmtId="0" fontId="26" fillId="0" borderId="0" xfId="0" applyFont="1" applyAlignment="1">
      <alignment vertical="center" wrapText="1"/>
    </xf>
    <xf numFmtId="0" fontId="29" fillId="22" borderId="0" xfId="1" applyFont="1" applyFill="1" applyAlignment="1">
      <alignment horizontal="center" vertical="center" wrapText="1"/>
    </xf>
    <xf numFmtId="0" fontId="30" fillId="22" borderId="0" xfId="1" applyFont="1" applyFill="1" applyAlignment="1">
      <alignment horizontal="center" vertical="center" wrapText="1"/>
    </xf>
    <xf numFmtId="0" fontId="1" fillId="0" borderId="0" xfId="0" applyFont="1"/>
    <xf numFmtId="0" fontId="27" fillId="23" borderId="15" xfId="1" applyFont="1" applyFill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8" fillId="0" borderId="10" xfId="0" applyFont="1" applyBorder="1" applyAlignment="1">
      <alignment horizontal="left" vertical="center" wrapText="1"/>
    </xf>
    <xf numFmtId="0" fontId="27" fillId="23" borderId="15" xfId="1" applyFont="1" applyFill="1" applyBorder="1" applyAlignment="1">
      <alignment vertical="center" wrapText="1"/>
    </xf>
    <xf numFmtId="0" fontId="26" fillId="0" borderId="0" xfId="0" applyFont="1" applyAlignment="1">
      <alignment wrapText="1"/>
    </xf>
    <xf numFmtId="0" fontId="26" fillId="0" borderId="0" xfId="0" applyFont="1"/>
    <xf numFmtId="0" fontId="28" fillId="24" borderId="10" xfId="0" applyFont="1" applyFill="1" applyBorder="1" applyAlignment="1">
      <alignment wrapText="1"/>
    </xf>
    <xf numFmtId="0" fontId="28" fillId="25" borderId="10" xfId="0" applyFont="1" applyFill="1" applyBorder="1" applyAlignment="1">
      <alignment wrapText="1"/>
    </xf>
    <xf numFmtId="0" fontId="28" fillId="26" borderId="10" xfId="0" applyFont="1" applyFill="1" applyBorder="1" applyAlignment="1">
      <alignment wrapText="1"/>
    </xf>
    <xf numFmtId="0" fontId="28" fillId="25" borderId="10" xfId="0" applyFont="1" applyFill="1" applyBorder="1" applyAlignment="1">
      <alignment vertical="center" wrapText="1"/>
    </xf>
    <xf numFmtId="0" fontId="27" fillId="23" borderId="17" xfId="1" applyFont="1" applyFill="1" applyBorder="1" applyAlignment="1">
      <alignment vertical="center"/>
    </xf>
    <xf numFmtId="0" fontId="27" fillId="23" borderId="15" xfId="1" applyFont="1" applyFill="1" applyBorder="1" applyAlignment="1">
      <alignment vertical="center"/>
    </xf>
    <xf numFmtId="0" fontId="27" fillId="23" borderId="19" xfId="1" applyFont="1" applyFill="1" applyBorder="1" applyAlignment="1">
      <alignment vertical="center"/>
    </xf>
    <xf numFmtId="0" fontId="27" fillId="23" borderId="20" xfId="1" applyFont="1" applyFill="1" applyBorder="1" applyAlignment="1">
      <alignment vertical="center"/>
    </xf>
    <xf numFmtId="0" fontId="28" fillId="24" borderId="10" xfId="0" applyFont="1" applyFill="1" applyBorder="1" applyAlignment="1">
      <alignment vertical="center" wrapText="1"/>
    </xf>
    <xf numFmtId="0" fontId="28" fillId="27" borderId="10" xfId="0" applyFont="1" applyFill="1" applyBorder="1" applyAlignment="1">
      <alignment wrapText="1"/>
    </xf>
    <xf numFmtId="0" fontId="28" fillId="27" borderId="17" xfId="0" applyFont="1" applyFill="1" applyBorder="1" applyAlignment="1">
      <alignment vertical="center" wrapText="1"/>
    </xf>
    <xf numFmtId="0" fontId="28" fillId="0" borderId="10" xfId="0" applyFont="1" applyFill="1" applyBorder="1" applyAlignment="1">
      <alignment horizontal="left" vertical="center" wrapText="1"/>
    </xf>
    <xf numFmtId="0" fontId="26" fillId="0" borderId="16" xfId="0" applyFont="1" applyBorder="1" applyAlignment="1">
      <alignment vertical="center" wrapText="1"/>
    </xf>
    <xf numFmtId="0" fontId="28" fillId="27" borderId="21" xfId="0" applyFont="1" applyFill="1" applyBorder="1" applyAlignment="1">
      <alignment wrapText="1"/>
    </xf>
    <xf numFmtId="0" fontId="28" fillId="0" borderId="23" xfId="0" applyFont="1" applyBorder="1" applyAlignment="1">
      <alignment vertical="center" wrapText="1"/>
    </xf>
    <xf numFmtId="0" fontId="28" fillId="0" borderId="21" xfId="0" applyFont="1" applyBorder="1" applyAlignment="1">
      <alignment vertical="center" wrapText="1"/>
    </xf>
    <xf numFmtId="0" fontId="26" fillId="0" borderId="21" xfId="0" applyFont="1" applyBorder="1" applyAlignment="1">
      <alignment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17" xfId="0" applyFont="1" applyFill="1" applyBorder="1" applyAlignment="1">
      <alignment wrapText="1"/>
    </xf>
    <xf numFmtId="0" fontId="28" fillId="0" borderId="17" xfId="0" applyFont="1" applyFill="1" applyBorder="1" applyAlignment="1">
      <alignment vertical="center" wrapText="1"/>
    </xf>
    <xf numFmtId="0" fontId="26" fillId="0" borderId="17" xfId="0" applyFont="1" applyFill="1" applyBorder="1" applyAlignment="1">
      <alignment vertical="center" wrapText="1"/>
    </xf>
    <xf numFmtId="0" fontId="26" fillId="0" borderId="20" xfId="0" applyFont="1" applyFill="1" applyBorder="1" applyAlignment="1">
      <alignment vertical="center" wrapText="1"/>
    </xf>
    <xf numFmtId="0" fontId="28" fillId="27" borderId="16" xfId="0" applyFont="1" applyFill="1" applyBorder="1" applyAlignment="1">
      <alignment wrapText="1"/>
    </xf>
    <xf numFmtId="0" fontId="28" fillId="26" borderId="21" xfId="0" applyFont="1" applyFill="1" applyBorder="1" applyAlignment="1">
      <alignment wrapText="1"/>
    </xf>
    <xf numFmtId="0" fontId="1" fillId="0" borderId="0" xfId="0" applyFont="1" applyFill="1" applyBorder="1"/>
    <xf numFmtId="0" fontId="28" fillId="0" borderId="17" xfId="0" applyFont="1" applyFill="1" applyBorder="1" applyAlignment="1">
      <alignment horizontal="left" vertical="center" wrapText="1"/>
    </xf>
    <xf numFmtId="0" fontId="32" fillId="24" borderId="20" xfId="1" applyFont="1" applyFill="1" applyBorder="1" applyAlignment="1">
      <alignment vertical="center"/>
    </xf>
    <xf numFmtId="0" fontId="28" fillId="27" borderId="10" xfId="0" applyFont="1" applyFill="1" applyBorder="1" applyAlignment="1">
      <alignment vertical="center" wrapText="1"/>
    </xf>
    <xf numFmtId="0" fontId="28" fillId="26" borderId="20" xfId="0" applyFont="1" applyFill="1" applyBorder="1" applyAlignment="1">
      <alignment vertical="center" wrapText="1"/>
    </xf>
    <xf numFmtId="0" fontId="0" fillId="28" borderId="0" xfId="0" applyFill="1"/>
    <xf numFmtId="0" fontId="0" fillId="29" borderId="0" xfId="0" applyFill="1"/>
    <xf numFmtId="0" fontId="0" fillId="24" borderId="0" xfId="0" applyFill="1"/>
    <xf numFmtId="0" fontId="28" fillId="30" borderId="1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 wrapText="1"/>
    </xf>
    <xf numFmtId="0" fontId="1" fillId="0" borderId="0" xfId="0" applyFont="1" applyBorder="1"/>
    <xf numFmtId="0" fontId="29" fillId="0" borderId="0" xfId="1" applyFont="1" applyFill="1" applyBorder="1" applyAlignment="1">
      <alignment horizontal="center" vertical="center" wrapText="1"/>
    </xf>
    <xf numFmtId="0" fontId="27" fillId="0" borderId="0" xfId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wrapText="1"/>
    </xf>
    <xf numFmtId="0" fontId="26" fillId="0" borderId="0" xfId="0" applyFont="1" applyFill="1" applyBorder="1"/>
    <xf numFmtId="0" fontId="29" fillId="22" borderId="18" xfId="1" applyFont="1" applyFill="1" applyBorder="1" applyAlignment="1">
      <alignment horizontal="center" vertical="center" wrapText="1"/>
    </xf>
    <xf numFmtId="0" fontId="27" fillId="23" borderId="14" xfId="1" applyFont="1" applyFill="1" applyBorder="1" applyAlignment="1">
      <alignment horizontal="left" vertical="center" wrapText="1"/>
    </xf>
    <xf numFmtId="0" fontId="27" fillId="23" borderId="20" xfId="1" applyFont="1" applyFill="1" applyBorder="1" applyAlignment="1">
      <alignment horizontal="left" vertical="center" wrapText="1"/>
    </xf>
    <xf numFmtId="0" fontId="26" fillId="31" borderId="10" xfId="0" applyFont="1" applyFill="1" applyBorder="1" applyAlignment="1">
      <alignment vertical="center" wrapText="1"/>
    </xf>
    <xf numFmtId="0" fontId="26" fillId="32" borderId="10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vertical="center" wrapText="1"/>
    </xf>
    <xf numFmtId="2" fontId="28" fillId="0" borderId="10" xfId="0" applyNumberFormat="1" applyFont="1" applyBorder="1" applyAlignment="1">
      <alignment horizontal="right" vertical="center" wrapText="1"/>
    </xf>
    <xf numFmtId="0" fontId="26" fillId="33" borderId="10" xfId="0" applyFont="1" applyFill="1" applyBorder="1" applyAlignment="1">
      <alignment vertical="center" wrapText="1"/>
    </xf>
    <xf numFmtId="0" fontId="29" fillId="22" borderId="0" xfId="1" applyFont="1" applyFill="1" applyAlignment="1">
      <alignment horizontal="center" vertical="center" wrapText="1"/>
    </xf>
    <xf numFmtId="0" fontId="35" fillId="22" borderId="0" xfId="1" applyFont="1" applyFill="1" applyAlignment="1">
      <alignment horizontal="center" vertical="center" wrapText="1"/>
    </xf>
    <xf numFmtId="0" fontId="35" fillId="22" borderId="18" xfId="1" applyFont="1" applyFill="1" applyBorder="1" applyAlignment="1">
      <alignment horizontal="center" vertical="center" wrapText="1"/>
    </xf>
    <xf numFmtId="0" fontId="35" fillId="0" borderId="0" xfId="1" applyFont="1" applyFill="1" applyBorder="1" applyAlignment="1">
      <alignment horizontal="center" vertical="center" wrapText="1"/>
    </xf>
    <xf numFmtId="0" fontId="36" fillId="22" borderId="0" xfId="1" applyFont="1" applyFill="1" applyAlignment="1">
      <alignment horizontal="center" vertical="center" wrapText="1"/>
    </xf>
    <xf numFmtId="0" fontId="37" fillId="27" borderId="10" xfId="0" applyFont="1" applyFill="1" applyBorder="1" applyAlignment="1">
      <alignment wrapText="1"/>
    </xf>
    <xf numFmtId="0" fontId="37" fillId="0" borderId="10" xfId="0" applyFont="1" applyBorder="1" applyAlignment="1">
      <alignment vertical="center" wrapText="1"/>
    </xf>
    <xf numFmtId="0" fontId="39" fillId="0" borderId="10" xfId="0" applyFont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37" fillId="0" borderId="16" xfId="0" applyFont="1" applyBorder="1" applyAlignment="1">
      <alignment vertical="center" wrapText="1"/>
    </xf>
    <xf numFmtId="0" fontId="37" fillId="27" borderId="16" xfId="0" applyFont="1" applyFill="1" applyBorder="1" applyAlignment="1">
      <alignment wrapText="1"/>
    </xf>
    <xf numFmtId="0" fontId="39" fillId="0" borderId="16" xfId="0" applyFont="1" applyBorder="1" applyAlignment="1">
      <alignment vertical="center" wrapText="1"/>
    </xf>
    <xf numFmtId="0" fontId="37" fillId="0" borderId="19" xfId="0" applyFont="1" applyFill="1" applyBorder="1" applyAlignment="1">
      <alignment horizontal="left" vertical="center" wrapText="1"/>
    </xf>
    <xf numFmtId="0" fontId="37" fillId="0" borderId="17" xfId="0" applyFont="1" applyFill="1" applyBorder="1" applyAlignment="1">
      <alignment wrapText="1"/>
    </xf>
    <xf numFmtId="0" fontId="37" fillId="0" borderId="17" xfId="0" applyFont="1" applyFill="1" applyBorder="1" applyAlignment="1">
      <alignment vertical="center" wrapText="1"/>
    </xf>
    <xf numFmtId="0" fontId="39" fillId="0" borderId="17" xfId="0" applyFont="1" applyFill="1" applyBorder="1" applyAlignment="1">
      <alignment vertical="center" wrapText="1"/>
    </xf>
    <xf numFmtId="0" fontId="39" fillId="0" borderId="20" xfId="0" applyFont="1" applyFill="1" applyBorder="1" applyAlignment="1">
      <alignment vertical="center" wrapText="1"/>
    </xf>
    <xf numFmtId="0" fontId="37" fillId="27" borderId="21" xfId="0" applyFont="1" applyFill="1" applyBorder="1" applyAlignment="1">
      <alignment wrapText="1"/>
    </xf>
    <xf numFmtId="0" fontId="37" fillId="0" borderId="23" xfId="0" applyFont="1" applyBorder="1" applyAlignment="1">
      <alignment vertical="center" wrapText="1"/>
    </xf>
    <xf numFmtId="0" fontId="37" fillId="0" borderId="21" xfId="0" applyFont="1" applyBorder="1" applyAlignment="1">
      <alignment vertical="center" wrapText="1"/>
    </xf>
    <xf numFmtId="0" fontId="40" fillId="0" borderId="21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37" fillId="0" borderId="17" xfId="0" applyFont="1" applyFill="1" applyBorder="1" applyAlignment="1">
      <alignment horizontal="left" vertical="center" wrapText="1"/>
    </xf>
    <xf numFmtId="0" fontId="37" fillId="26" borderId="21" xfId="0" applyFont="1" applyFill="1" applyBorder="1" applyAlignment="1">
      <alignment wrapText="1"/>
    </xf>
    <xf numFmtId="0" fontId="39" fillId="0" borderId="21" xfId="0" applyFont="1" applyBorder="1" applyAlignment="1">
      <alignment vertical="center" wrapText="1"/>
    </xf>
    <xf numFmtId="0" fontId="37" fillId="26" borderId="10" xfId="0" applyFont="1" applyFill="1" applyBorder="1" applyAlignment="1">
      <alignment wrapText="1"/>
    </xf>
    <xf numFmtId="0" fontId="37" fillId="25" borderId="10" xfId="0" applyFont="1" applyFill="1" applyBorder="1" applyAlignment="1">
      <alignment wrapText="1"/>
    </xf>
    <xf numFmtId="1" fontId="39" fillId="0" borderId="10" xfId="0" applyNumberFormat="1" applyFont="1" applyBorder="1" applyAlignment="1">
      <alignment vertical="center" wrapText="1"/>
    </xf>
    <xf numFmtId="0" fontId="41" fillId="24" borderId="20" xfId="1" applyFont="1" applyFill="1" applyBorder="1" applyAlignment="1">
      <alignment vertical="center"/>
    </xf>
    <xf numFmtId="0" fontId="37" fillId="25" borderId="10" xfId="0" applyFont="1" applyFill="1" applyBorder="1" applyAlignment="1">
      <alignment vertical="center" wrapText="1"/>
    </xf>
    <xf numFmtId="0" fontId="37" fillId="0" borderId="10" xfId="0" applyFont="1" applyBorder="1" applyAlignment="1">
      <alignment horizontal="left" vertical="center" wrapText="1"/>
    </xf>
    <xf numFmtId="0" fontId="39" fillId="0" borderId="10" xfId="0" applyFont="1" applyFill="1" applyBorder="1" applyAlignment="1">
      <alignment vertical="center" wrapText="1"/>
    </xf>
    <xf numFmtId="0" fontId="37" fillId="27" borderId="10" xfId="0" applyFont="1" applyFill="1" applyBorder="1" applyAlignment="1">
      <alignment vertical="center" wrapText="1"/>
    </xf>
    <xf numFmtId="0" fontId="37" fillId="26" borderId="20" xfId="0" applyFont="1" applyFill="1" applyBorder="1" applyAlignment="1">
      <alignment vertical="center" wrapText="1"/>
    </xf>
    <xf numFmtId="0" fontId="37" fillId="0" borderId="10" xfId="0" applyFont="1" applyFill="1" applyBorder="1" applyAlignment="1">
      <alignment horizontal="left" vertical="center" wrapText="1"/>
    </xf>
    <xf numFmtId="0" fontId="37" fillId="27" borderId="17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left" vertical="center" wrapText="1"/>
    </xf>
    <xf numFmtId="2" fontId="37" fillId="0" borderId="10" xfId="0" applyNumberFormat="1" applyFont="1" applyBorder="1" applyAlignment="1">
      <alignment horizontal="right" vertical="center" wrapText="1"/>
    </xf>
    <xf numFmtId="0" fontId="37" fillId="30" borderId="10" xfId="0" applyFont="1" applyFill="1" applyBorder="1" applyAlignment="1">
      <alignment vertical="center" wrapText="1"/>
    </xf>
    <xf numFmtId="0" fontId="39" fillId="31" borderId="10" xfId="0" applyFont="1" applyFill="1" applyBorder="1" applyAlignment="1">
      <alignment vertical="center" wrapText="1"/>
    </xf>
    <xf numFmtId="0" fontId="37" fillId="0" borderId="0" xfId="0" applyFont="1" applyBorder="1" applyAlignment="1">
      <alignment horizontal="left" vertical="center" wrapText="1"/>
    </xf>
    <xf numFmtId="0" fontId="37" fillId="0" borderId="0" xfId="0" applyFont="1" applyBorder="1" applyAlignment="1">
      <alignment vertical="center" wrapText="1"/>
    </xf>
    <xf numFmtId="0" fontId="39" fillId="0" borderId="0" xfId="0" applyFont="1" applyBorder="1" applyAlignment="1">
      <alignment vertical="center" wrapText="1"/>
    </xf>
    <xf numFmtId="0" fontId="37" fillId="24" borderId="10" xfId="0" applyFont="1" applyFill="1" applyBorder="1" applyAlignment="1">
      <alignment vertical="center" wrapText="1"/>
    </xf>
    <xf numFmtId="0" fontId="39" fillId="33" borderId="10" xfId="0" applyFont="1" applyFill="1" applyBorder="1" applyAlignment="1">
      <alignment vertical="center" wrapText="1"/>
    </xf>
    <xf numFmtId="0" fontId="39" fillId="32" borderId="10" xfId="0" applyFont="1" applyFill="1" applyBorder="1" applyAlignment="1">
      <alignment vertical="center" wrapText="1"/>
    </xf>
    <xf numFmtId="9" fontId="39" fillId="0" borderId="10" xfId="53" applyFont="1" applyFill="1" applyBorder="1" applyAlignment="1">
      <alignment vertical="center" wrapText="1"/>
    </xf>
    <xf numFmtId="0" fontId="37" fillId="24" borderId="10" xfId="0" applyFont="1" applyFill="1" applyBorder="1" applyAlignment="1">
      <alignment wrapText="1"/>
    </xf>
    <xf numFmtId="0" fontId="37" fillId="0" borderId="0" xfId="0" applyFont="1" applyFill="1" applyBorder="1" applyAlignment="1">
      <alignment vertical="center" wrapText="1"/>
    </xf>
    <xf numFmtId="0" fontId="39" fillId="0" borderId="0" xfId="0" applyFont="1" applyAlignment="1">
      <alignment vertical="center" wrapText="1"/>
    </xf>
    <xf numFmtId="0" fontId="39" fillId="0" borderId="0" xfId="0" applyFont="1" applyAlignment="1">
      <alignment wrapText="1"/>
    </xf>
    <xf numFmtId="0" fontId="39" fillId="0" borderId="0" xfId="0" applyFont="1" applyFill="1" applyBorder="1" applyAlignment="1">
      <alignment wrapText="1"/>
    </xf>
    <xf numFmtId="0" fontId="39" fillId="0" borderId="0" xfId="0" applyFont="1"/>
    <xf numFmtId="0" fontId="39" fillId="0" borderId="0" xfId="0" applyFont="1" applyFill="1" applyBorder="1"/>
    <xf numFmtId="0" fontId="41" fillId="23" borderId="15" xfId="1" applyFont="1" applyFill="1" applyBorder="1" applyAlignment="1">
      <alignment vertical="center"/>
    </xf>
    <xf numFmtId="0" fontId="41" fillId="23" borderId="15" xfId="1" applyFont="1" applyFill="1" applyBorder="1" applyAlignment="1">
      <alignment horizontal="left" vertical="center" wrapText="1"/>
    </xf>
    <xf numFmtId="0" fontId="41" fillId="23" borderId="14" xfId="1" applyFont="1" applyFill="1" applyBorder="1" applyAlignment="1">
      <alignment horizontal="left" vertical="center" wrapText="1"/>
    </xf>
    <xf numFmtId="0" fontId="41" fillId="0" borderId="0" xfId="1" applyFont="1" applyFill="1" applyBorder="1" applyAlignment="1">
      <alignment horizontal="left" vertical="center" wrapText="1"/>
    </xf>
    <xf numFmtId="0" fontId="41" fillId="23" borderId="17" xfId="1" applyFont="1" applyFill="1" applyBorder="1" applyAlignment="1">
      <alignment vertical="center"/>
    </xf>
    <xf numFmtId="0" fontId="41" fillId="23" borderId="20" xfId="1" applyFont="1" applyFill="1" applyBorder="1" applyAlignment="1">
      <alignment horizontal="left" vertical="center" wrapText="1"/>
    </xf>
    <xf numFmtId="0" fontId="39" fillId="0" borderId="0" xfId="0" applyFont="1" applyBorder="1"/>
    <xf numFmtId="0" fontId="41" fillId="23" borderId="19" xfId="1" applyFont="1" applyFill="1" applyBorder="1" applyAlignment="1">
      <alignment vertical="center"/>
    </xf>
    <xf numFmtId="0" fontId="41" fillId="23" borderId="20" xfId="1" applyFont="1" applyFill="1" applyBorder="1" applyAlignment="1">
      <alignment vertical="center"/>
    </xf>
    <xf numFmtId="0" fontId="41" fillId="23" borderId="15" xfId="1" applyFont="1" applyFill="1" applyBorder="1" applyAlignment="1">
      <alignment vertical="center" wrapText="1"/>
    </xf>
    <xf numFmtId="0" fontId="40" fillId="0" borderId="10" xfId="0" applyFont="1" applyFill="1" applyBorder="1" applyAlignment="1">
      <alignment vertical="center" wrapText="1"/>
    </xf>
    <xf numFmtId="9" fontId="39" fillId="0" borderId="10" xfId="53" applyFont="1" applyBorder="1" applyAlignment="1">
      <alignment vertical="center" wrapText="1"/>
    </xf>
    <xf numFmtId="0" fontId="42" fillId="22" borderId="18" xfId="1" applyFont="1" applyFill="1" applyBorder="1" applyAlignment="1">
      <alignment horizontal="center" vertical="center" wrapText="1"/>
    </xf>
    <xf numFmtId="0" fontId="42" fillId="0" borderId="0" xfId="1" applyFont="1" applyFill="1" applyBorder="1" applyAlignment="1">
      <alignment horizontal="center" vertical="center" wrapText="1"/>
    </xf>
    <xf numFmtId="0" fontId="43" fillId="22" borderId="0" xfId="1" applyFont="1" applyFill="1" applyAlignment="1">
      <alignment horizontal="center" vertical="center" wrapText="1"/>
    </xf>
    <xf numFmtId="0" fontId="45" fillId="23" borderId="15" xfId="1" applyFont="1" applyFill="1" applyBorder="1" applyAlignment="1">
      <alignment vertical="center"/>
    </xf>
    <xf numFmtId="0" fontId="45" fillId="23" borderId="15" xfId="1" applyFont="1" applyFill="1" applyBorder="1" applyAlignment="1">
      <alignment horizontal="left" vertical="center" wrapText="1"/>
    </xf>
    <xf numFmtId="0" fontId="45" fillId="23" borderId="14" xfId="1" applyFont="1" applyFill="1" applyBorder="1" applyAlignment="1">
      <alignment horizontal="left" vertical="center" wrapText="1"/>
    </xf>
    <xf numFmtId="0" fontId="45" fillId="0" borderId="0" xfId="1" applyFont="1" applyFill="1" applyBorder="1" applyAlignment="1">
      <alignment horizontal="left" vertical="center" wrapText="1"/>
    </xf>
    <xf numFmtId="0" fontId="46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4" fillId="0" borderId="0" xfId="0" applyFont="1" applyFill="1" applyBorder="1" applyAlignment="1">
      <alignment vertical="center" wrapText="1"/>
    </xf>
    <xf numFmtId="166" fontId="44" fillId="0" borderId="10" xfId="54" applyNumberFormat="1" applyFont="1" applyBorder="1" applyAlignment="1">
      <alignment vertical="center" wrapText="1"/>
    </xf>
    <xf numFmtId="166" fontId="48" fillId="0" borderId="10" xfId="54" applyNumberFormat="1" applyFont="1" applyBorder="1" applyAlignment="1">
      <alignment vertical="center" wrapText="1"/>
    </xf>
    <xf numFmtId="0" fontId="46" fillId="0" borderId="16" xfId="0" applyFont="1" applyBorder="1" applyAlignment="1">
      <alignment vertical="center" wrapText="1"/>
    </xf>
    <xf numFmtId="0" fontId="48" fillId="0" borderId="10" xfId="0" applyFont="1" applyBorder="1" applyAlignment="1">
      <alignment vertical="center" wrapText="1"/>
    </xf>
    <xf numFmtId="0" fontId="44" fillId="0" borderId="16" xfId="0" applyFont="1" applyBorder="1" applyAlignment="1">
      <alignment vertical="center" wrapText="1"/>
    </xf>
    <xf numFmtId="0" fontId="48" fillId="0" borderId="16" xfId="0" applyFont="1" applyBorder="1" applyAlignment="1">
      <alignment vertical="center" wrapText="1"/>
    </xf>
    <xf numFmtId="0" fontId="46" fillId="0" borderId="19" xfId="0" applyFont="1" applyFill="1" applyBorder="1" applyAlignment="1">
      <alignment horizontal="left" vertical="center" wrapText="1"/>
    </xf>
    <xf numFmtId="0" fontId="46" fillId="0" borderId="17" xfId="0" applyFont="1" applyFill="1" applyBorder="1" applyAlignment="1">
      <alignment vertical="center" wrapText="1"/>
    </xf>
    <xf numFmtId="0" fontId="44" fillId="0" borderId="17" xfId="0" applyFont="1" applyFill="1" applyBorder="1" applyAlignment="1">
      <alignment vertical="center" wrapText="1"/>
    </xf>
    <xf numFmtId="0" fontId="44" fillId="0" borderId="20" xfId="0" applyFont="1" applyFill="1" applyBorder="1" applyAlignment="1">
      <alignment vertical="center" wrapText="1"/>
    </xf>
    <xf numFmtId="0" fontId="48" fillId="0" borderId="20" xfId="0" applyFont="1" applyFill="1" applyBorder="1" applyAlignment="1">
      <alignment vertical="center" wrapText="1"/>
    </xf>
    <xf numFmtId="0" fontId="46" fillId="0" borderId="23" xfId="0" applyFont="1" applyBorder="1" applyAlignment="1">
      <alignment vertical="center" wrapText="1"/>
    </xf>
    <xf numFmtId="0" fontId="46" fillId="0" borderId="21" xfId="0" applyFont="1" applyBorder="1" applyAlignment="1">
      <alignment vertical="center" wrapText="1"/>
    </xf>
    <xf numFmtId="166" fontId="45" fillId="0" borderId="21" xfId="54" applyNumberFormat="1" applyFont="1" applyBorder="1" applyAlignment="1">
      <alignment vertical="center" wrapText="1"/>
    </xf>
    <xf numFmtId="166" fontId="49" fillId="0" borderId="10" xfId="54" applyNumberFormat="1" applyFont="1" applyBorder="1" applyAlignment="1">
      <alignment vertical="center" wrapText="1"/>
    </xf>
    <xf numFmtId="0" fontId="46" fillId="0" borderId="24" xfId="0" applyFont="1" applyBorder="1" applyAlignment="1">
      <alignment vertical="center" wrapText="1"/>
    </xf>
    <xf numFmtId="0" fontId="46" fillId="0" borderId="17" xfId="0" applyFont="1" applyBorder="1" applyAlignment="1">
      <alignment vertical="center" wrapText="1"/>
    </xf>
    <xf numFmtId="0" fontId="44" fillId="0" borderId="17" xfId="0" applyFont="1" applyBorder="1" applyAlignment="1">
      <alignment vertical="center" wrapText="1"/>
    </xf>
    <xf numFmtId="0" fontId="46" fillId="0" borderId="17" xfId="0" applyFont="1" applyFill="1" applyBorder="1" applyAlignment="1">
      <alignment horizontal="left" vertical="center" wrapText="1"/>
    </xf>
    <xf numFmtId="0" fontId="44" fillId="0" borderId="21" xfId="0" applyFont="1" applyBorder="1" applyAlignment="1">
      <alignment vertical="center" wrapText="1"/>
    </xf>
    <xf numFmtId="0" fontId="48" fillId="0" borderId="21" xfId="0" applyFont="1" applyBorder="1" applyAlignment="1">
      <alignment vertical="center" wrapText="1"/>
    </xf>
    <xf numFmtId="0" fontId="45" fillId="0" borderId="10" xfId="0" applyFont="1" applyBorder="1" applyAlignment="1">
      <alignment vertical="center" wrapText="1"/>
    </xf>
    <xf numFmtId="0" fontId="49" fillId="0" borderId="10" xfId="0" applyFont="1" applyBorder="1" applyAlignment="1">
      <alignment vertical="center" wrapText="1"/>
    </xf>
    <xf numFmtId="1" fontId="44" fillId="0" borderId="10" xfId="0" applyNumberFormat="1" applyFont="1" applyBorder="1" applyAlignment="1">
      <alignment vertical="center" wrapText="1"/>
    </xf>
    <xf numFmtId="1" fontId="48" fillId="0" borderId="10" xfId="0" applyNumberFormat="1" applyFont="1" applyBorder="1" applyAlignment="1">
      <alignment vertical="center" wrapText="1"/>
    </xf>
    <xf numFmtId="0" fontId="45" fillId="23" borderId="17" xfId="1" applyFont="1" applyFill="1" applyBorder="1" applyAlignment="1">
      <alignment vertical="center"/>
    </xf>
    <xf numFmtId="0" fontId="45" fillId="23" borderId="20" xfId="1" applyFont="1" applyFill="1" applyBorder="1" applyAlignment="1">
      <alignment horizontal="left" vertical="center" wrapText="1"/>
    </xf>
    <xf numFmtId="0" fontId="45" fillId="24" borderId="20" xfId="1" applyFont="1" applyFill="1" applyBorder="1" applyAlignment="1">
      <alignment vertical="center"/>
    </xf>
    <xf numFmtId="0" fontId="46" fillId="25" borderId="10" xfId="0" applyFont="1" applyFill="1" applyBorder="1" applyAlignment="1">
      <alignment vertical="center" wrapText="1"/>
    </xf>
    <xf numFmtId="0" fontId="46" fillId="0" borderId="10" xfId="0" applyFont="1" applyBorder="1" applyAlignment="1">
      <alignment horizontal="left" vertical="center" wrapText="1"/>
    </xf>
    <xf numFmtId="0" fontId="46" fillId="27" borderId="10" xfId="0" applyFont="1" applyFill="1" applyBorder="1" applyAlignment="1">
      <alignment vertical="center" wrapText="1"/>
    </xf>
    <xf numFmtId="0" fontId="46" fillId="26" borderId="20" xfId="0" applyFont="1" applyFill="1" applyBorder="1" applyAlignment="1">
      <alignment vertical="center" wrapText="1"/>
    </xf>
    <xf numFmtId="9" fontId="44" fillId="0" borderId="10" xfId="53" applyFont="1" applyBorder="1" applyAlignment="1">
      <alignment vertical="center" wrapText="1"/>
    </xf>
    <xf numFmtId="2" fontId="48" fillId="0" borderId="10" xfId="0" applyNumberFormat="1" applyFont="1" applyBorder="1" applyAlignment="1">
      <alignment vertical="center" wrapText="1"/>
    </xf>
    <xf numFmtId="0" fontId="46" fillId="0" borderId="10" xfId="0" applyFont="1" applyFill="1" applyBorder="1" applyAlignment="1">
      <alignment horizontal="left" vertical="center" wrapText="1"/>
    </xf>
    <xf numFmtId="0" fontId="44" fillId="0" borderId="10" xfId="0" applyFont="1" applyFill="1" applyBorder="1" applyAlignment="1">
      <alignment vertical="center" wrapText="1"/>
    </xf>
    <xf numFmtId="0" fontId="48" fillId="0" borderId="10" xfId="0" applyFont="1" applyFill="1" applyBorder="1" applyAlignment="1">
      <alignment vertical="center" wrapText="1"/>
    </xf>
    <xf numFmtId="0" fontId="46" fillId="27" borderId="17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horizontal="left" vertical="center" wrapText="1"/>
    </xf>
    <xf numFmtId="2" fontId="46" fillId="0" borderId="10" xfId="0" applyNumberFormat="1" applyFont="1" applyBorder="1" applyAlignment="1">
      <alignment horizontal="right" vertical="center" wrapText="1"/>
    </xf>
    <xf numFmtId="2" fontId="45" fillId="0" borderId="10" xfId="0" applyNumberFormat="1" applyFont="1" applyBorder="1" applyAlignment="1">
      <alignment horizontal="right" vertical="center" wrapText="1"/>
    </xf>
    <xf numFmtId="0" fontId="46" fillId="30" borderId="10" xfId="0" applyFont="1" applyFill="1" applyBorder="1" applyAlignment="1">
      <alignment vertical="center" wrapText="1"/>
    </xf>
    <xf numFmtId="0" fontId="44" fillId="31" borderId="10" xfId="0" applyFont="1" applyFill="1" applyBorder="1" applyAlignment="1">
      <alignment vertical="center" wrapText="1"/>
    </xf>
    <xf numFmtId="0" fontId="48" fillId="31" borderId="10" xfId="0" applyFont="1" applyFill="1" applyBorder="1" applyAlignment="1">
      <alignment vertical="center" wrapText="1"/>
    </xf>
    <xf numFmtId="0" fontId="46" fillId="0" borderId="0" xfId="0" applyFont="1" applyBorder="1" applyAlignment="1">
      <alignment horizontal="left" vertical="center" wrapText="1"/>
    </xf>
    <xf numFmtId="0" fontId="46" fillId="0" borderId="0" xfId="0" applyFont="1" applyBorder="1" applyAlignment="1">
      <alignment vertical="center" wrapText="1"/>
    </xf>
    <xf numFmtId="0" fontId="44" fillId="0" borderId="0" xfId="0" applyFont="1" applyBorder="1" applyAlignment="1">
      <alignment vertical="center" wrapText="1"/>
    </xf>
    <xf numFmtId="0" fontId="48" fillId="0" borderId="0" xfId="0" applyFont="1" applyFill="1" applyBorder="1" applyAlignment="1">
      <alignment vertical="center" wrapText="1"/>
    </xf>
    <xf numFmtId="0" fontId="46" fillId="24" borderId="10" xfId="0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8" fillId="33" borderId="10" xfId="0" applyFont="1" applyFill="1" applyBorder="1" applyAlignment="1">
      <alignment vertical="center" wrapText="1"/>
    </xf>
    <xf numFmtId="0" fontId="44" fillId="32" borderId="10" xfId="0" applyFont="1" applyFill="1" applyBorder="1" applyAlignment="1">
      <alignment vertical="center" wrapText="1"/>
    </xf>
    <xf numFmtId="0" fontId="48" fillId="32" borderId="10" xfId="0" applyFont="1" applyFill="1" applyBorder="1" applyAlignment="1">
      <alignment vertical="center" wrapText="1"/>
    </xf>
    <xf numFmtId="9" fontId="44" fillId="0" borderId="10" xfId="53" applyFont="1" applyFill="1" applyBorder="1" applyAlignment="1">
      <alignment vertical="center" wrapText="1"/>
    </xf>
    <xf numFmtId="9" fontId="48" fillId="0" borderId="10" xfId="53" applyFont="1" applyFill="1" applyBorder="1" applyAlignment="1">
      <alignment vertical="center" wrapText="1"/>
    </xf>
    <xf numFmtId="0" fontId="45" fillId="23" borderId="19" xfId="1" applyFont="1" applyFill="1" applyBorder="1" applyAlignment="1">
      <alignment vertical="center"/>
    </xf>
    <xf numFmtId="0" fontId="45" fillId="23" borderId="20" xfId="1" applyFont="1" applyFill="1" applyBorder="1" applyAlignment="1">
      <alignment vertical="center"/>
    </xf>
    <xf numFmtId="0" fontId="45" fillId="23" borderId="15" xfId="1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4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4" fillId="0" borderId="0" xfId="0" applyFont="1" applyAlignment="1">
      <alignment vertical="center"/>
    </xf>
    <xf numFmtId="0" fontId="46" fillId="27" borderId="21" xfId="0" applyFont="1" applyFill="1" applyBorder="1" applyAlignment="1">
      <alignment vertical="center" wrapText="1"/>
    </xf>
    <xf numFmtId="0" fontId="44" fillId="0" borderId="0" xfId="0" applyFont="1" applyFill="1" applyBorder="1" applyAlignment="1">
      <alignment vertical="center"/>
    </xf>
    <xf numFmtId="0" fontId="46" fillId="26" borderId="21" xfId="0" applyFont="1" applyFill="1" applyBorder="1" applyAlignment="1">
      <alignment vertical="center" wrapText="1"/>
    </xf>
    <xf numFmtId="0" fontId="46" fillId="26" borderId="10" xfId="0" applyFont="1" applyFill="1" applyBorder="1" applyAlignment="1">
      <alignment vertical="center" wrapText="1"/>
    </xf>
    <xf numFmtId="0" fontId="44" fillId="0" borderId="0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46" fillId="34" borderId="10" xfId="0" applyFont="1" applyFill="1" applyBorder="1" applyAlignment="1">
      <alignment vertical="center" wrapText="1"/>
    </xf>
    <xf numFmtId="0" fontId="46" fillId="34" borderId="21" xfId="0" applyFont="1" applyFill="1" applyBorder="1" applyAlignment="1">
      <alignment vertical="center" wrapText="1"/>
    </xf>
    <xf numFmtId="0" fontId="42" fillId="22" borderId="0" xfId="1" applyFont="1" applyFill="1" applyAlignment="1">
      <alignment horizontal="center" vertical="center" wrapText="1"/>
    </xf>
    <xf numFmtId="166" fontId="41" fillId="0" borderId="0" xfId="54" applyNumberFormat="1" applyFont="1" applyBorder="1"/>
    <xf numFmtId="166" fontId="41" fillId="35" borderId="0" xfId="54" applyNumberFormat="1" applyFont="1" applyFill="1" applyBorder="1" applyAlignment="1">
      <alignment horizontal="center"/>
    </xf>
    <xf numFmtId="166" fontId="41" fillId="0" borderId="0" xfId="54" applyNumberFormat="1" applyFont="1"/>
    <xf numFmtId="166" fontId="41" fillId="0" borderId="25" xfId="54" applyNumberFormat="1" applyFont="1" applyBorder="1"/>
    <xf numFmtId="166" fontId="41" fillId="0" borderId="26" xfId="54" applyNumberFormat="1" applyFont="1" applyBorder="1"/>
    <xf numFmtId="166" fontId="41" fillId="0" borderId="15" xfId="54" applyNumberFormat="1" applyFont="1" applyBorder="1"/>
    <xf numFmtId="166" fontId="50" fillId="0" borderId="0" xfId="54" applyNumberFormat="1" applyFont="1"/>
    <xf numFmtId="166" fontId="41" fillId="0" borderId="27" xfId="54" applyNumberFormat="1" applyFont="1" applyBorder="1"/>
    <xf numFmtId="166" fontId="48" fillId="0" borderId="21" xfId="54" applyNumberFormat="1" applyFont="1" applyBorder="1" applyAlignment="1">
      <alignment vertical="center" wrapText="1"/>
    </xf>
    <xf numFmtId="166" fontId="45" fillId="0" borderId="30" xfId="54" applyNumberFormat="1" applyFont="1" applyBorder="1" applyAlignment="1">
      <alignment vertical="center" wrapText="1"/>
    </xf>
    <xf numFmtId="166" fontId="48" fillId="0" borderId="29" xfId="54" applyNumberFormat="1" applyFont="1" applyBorder="1" applyAlignment="1">
      <alignment vertical="center" wrapText="1"/>
    </xf>
    <xf numFmtId="0" fontId="46" fillId="30" borderId="16" xfId="0" applyFont="1" applyFill="1" applyBorder="1" applyAlignment="1">
      <alignment vertical="center" wrapText="1"/>
    </xf>
    <xf numFmtId="0" fontId="46" fillId="30" borderId="21" xfId="0" applyFont="1" applyFill="1" applyBorder="1" applyAlignment="1">
      <alignment vertical="center" wrapText="1"/>
    </xf>
    <xf numFmtId="0" fontId="46" fillId="30" borderId="29" xfId="0" applyFont="1" applyFill="1" applyBorder="1" applyAlignment="1">
      <alignment vertical="center" wrapText="1"/>
    </xf>
    <xf numFmtId="0" fontId="44" fillId="30" borderId="21" xfId="0" applyFont="1" applyFill="1" applyBorder="1" applyAlignment="1">
      <alignment vertical="center" wrapText="1"/>
    </xf>
    <xf numFmtId="0" fontId="44" fillId="30" borderId="29" xfId="0" applyFont="1" applyFill="1" applyBorder="1" applyAlignment="1">
      <alignment vertical="center" wrapText="1"/>
    </xf>
    <xf numFmtId="0" fontId="46" fillId="29" borderId="30" xfId="0" applyFont="1" applyFill="1" applyBorder="1" applyAlignment="1">
      <alignment vertical="center" wrapText="1"/>
    </xf>
    <xf numFmtId="0" fontId="46" fillId="0" borderId="31" xfId="0" applyFont="1" applyFill="1" applyBorder="1" applyAlignment="1">
      <alignment vertical="center" wrapText="1"/>
    </xf>
    <xf numFmtId="0" fontId="44" fillId="0" borderId="33" xfId="0" applyFont="1" applyFill="1" applyBorder="1" applyAlignment="1">
      <alignment vertical="center" wrapText="1"/>
    </xf>
    <xf numFmtId="0" fontId="44" fillId="0" borderId="32" xfId="0" applyFont="1" applyFill="1" applyBorder="1" applyAlignment="1">
      <alignment vertical="center" wrapText="1"/>
    </xf>
    <xf numFmtId="0" fontId="46" fillId="36" borderId="30" xfId="0" applyFont="1" applyFill="1" applyBorder="1" applyAlignment="1">
      <alignment vertical="center" wrapText="1"/>
    </xf>
    <xf numFmtId="0" fontId="46" fillId="0" borderId="10" xfId="0" applyFont="1" applyFill="1" applyBorder="1" applyAlignment="1">
      <alignment vertical="center" wrapText="1"/>
    </xf>
    <xf numFmtId="166" fontId="44" fillId="0" borderId="10" xfId="54" applyNumberFormat="1" applyFont="1" applyFill="1" applyBorder="1" applyAlignment="1">
      <alignment vertical="center" wrapText="1"/>
    </xf>
    <xf numFmtId="166" fontId="48" fillId="0" borderId="10" xfId="54" applyNumberFormat="1" applyFont="1" applyFill="1" applyBorder="1" applyAlignment="1">
      <alignment vertical="center" wrapText="1"/>
    </xf>
    <xf numFmtId="0" fontId="44" fillId="30" borderId="10" xfId="0" applyFont="1" applyFill="1" applyBorder="1" applyAlignment="1">
      <alignment vertical="center" wrapText="1"/>
    </xf>
    <xf numFmtId="0" fontId="46" fillId="29" borderId="28" xfId="0" applyFont="1" applyFill="1" applyBorder="1" applyAlignment="1">
      <alignment vertical="center" wrapText="1"/>
    </xf>
    <xf numFmtId="166" fontId="46" fillId="0" borderId="28" xfId="54" applyNumberFormat="1" applyFont="1" applyBorder="1" applyAlignment="1">
      <alignment vertical="center" wrapText="1"/>
    </xf>
    <xf numFmtId="166" fontId="46" fillId="0" borderId="10" xfId="54" applyNumberFormat="1" applyFont="1" applyBorder="1" applyAlignment="1">
      <alignment vertical="center" wrapText="1"/>
    </xf>
    <xf numFmtId="166" fontId="46" fillId="0" borderId="30" xfId="54" applyNumberFormat="1" applyFont="1" applyBorder="1" applyAlignment="1">
      <alignment vertical="center" wrapText="1"/>
    </xf>
    <xf numFmtId="166" fontId="44" fillId="0" borderId="34" xfId="54" applyNumberFormat="1" applyFont="1" applyFill="1" applyBorder="1" applyAlignment="1">
      <alignment vertical="center" wrapText="1"/>
    </xf>
    <xf numFmtId="0" fontId="46" fillId="36" borderId="10" xfId="0" applyFont="1" applyFill="1" applyBorder="1" applyAlignment="1">
      <alignment vertical="center" wrapText="1"/>
    </xf>
    <xf numFmtId="0" fontId="42" fillId="37" borderId="10" xfId="0" applyFont="1" applyFill="1" applyBorder="1" applyAlignment="1">
      <alignment vertical="center" wrapText="1"/>
    </xf>
    <xf numFmtId="0" fontId="42" fillId="22" borderId="0" xfId="1" applyFont="1" applyFill="1" applyAlignment="1">
      <alignment horizontal="center" vertical="center" wrapText="1"/>
    </xf>
    <xf numFmtId="0" fontId="29" fillId="22" borderId="0" xfId="1" applyFont="1" applyFill="1" applyAlignment="1">
      <alignment horizontal="center" vertical="center" wrapText="1"/>
    </xf>
    <xf numFmtId="0" fontId="46" fillId="0" borderId="22" xfId="0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0" fontId="48" fillId="0" borderId="14" xfId="0" applyFont="1" applyFill="1" applyBorder="1" applyAlignment="1">
      <alignment vertical="center" wrapText="1"/>
    </xf>
    <xf numFmtId="0" fontId="48" fillId="0" borderId="17" xfId="0" applyFont="1" applyFill="1" applyBorder="1" applyAlignment="1">
      <alignment vertical="center" wrapText="1"/>
    </xf>
    <xf numFmtId="0" fontId="45" fillId="0" borderId="10" xfId="0" applyFont="1" applyFill="1" applyBorder="1" applyAlignment="1">
      <alignment vertical="center" wrapText="1"/>
    </xf>
    <xf numFmtId="166" fontId="45" fillId="0" borderId="10" xfId="0" applyNumberFormat="1" applyFont="1" applyBorder="1" applyAlignment="1">
      <alignment vertical="center" wrapText="1"/>
    </xf>
    <xf numFmtId="167" fontId="41" fillId="0" borderId="0" xfId="0" applyNumberFormat="1" applyFont="1"/>
    <xf numFmtId="167" fontId="41" fillId="35" borderId="25" xfId="0" applyNumberFormat="1" applyFont="1" applyFill="1" applyBorder="1"/>
    <xf numFmtId="167" fontId="41" fillId="35" borderId="0" xfId="0" applyNumberFormat="1" applyFont="1" applyFill="1" applyBorder="1"/>
    <xf numFmtId="167" fontId="41" fillId="0" borderId="26" xfId="0" applyNumberFormat="1" applyFont="1" applyBorder="1"/>
    <xf numFmtId="167" fontId="50" fillId="0" borderId="0" xfId="0" applyNumberFormat="1" applyFont="1"/>
    <xf numFmtId="167" fontId="50" fillId="0" borderId="25" xfId="0" applyNumberFormat="1" applyFont="1" applyBorder="1"/>
    <xf numFmtId="167" fontId="50" fillId="0" borderId="13" xfId="0" applyNumberFormat="1" applyFont="1" applyBorder="1"/>
    <xf numFmtId="167" fontId="50" fillId="0" borderId="15" xfId="0" applyNumberFormat="1" applyFont="1" applyBorder="1"/>
    <xf numFmtId="167" fontId="50" fillId="0" borderId="0" xfId="0" applyNumberFormat="1" applyFont="1" applyBorder="1"/>
    <xf numFmtId="167" fontId="41" fillId="0" borderId="0" xfId="0" applyNumberFormat="1" applyFont="1" applyBorder="1"/>
    <xf numFmtId="0" fontId="46" fillId="27" borderId="30" xfId="0" applyFont="1" applyFill="1" applyBorder="1" applyAlignment="1">
      <alignment vertical="center" wrapText="1"/>
    </xf>
    <xf numFmtId="168" fontId="48" fillId="0" borderId="21" xfId="54" applyNumberFormat="1" applyFont="1" applyBorder="1" applyAlignment="1">
      <alignment vertical="center" wrapText="1"/>
    </xf>
    <xf numFmtId="168" fontId="45" fillId="0" borderId="21" xfId="54" applyNumberFormat="1" applyFont="1" applyBorder="1" applyAlignment="1">
      <alignment vertical="center" wrapText="1"/>
    </xf>
    <xf numFmtId="168" fontId="48" fillId="0" borderId="10" xfId="54" applyNumberFormat="1" applyFont="1" applyBorder="1" applyAlignment="1">
      <alignment vertical="center" wrapText="1"/>
    </xf>
    <xf numFmtId="168" fontId="48" fillId="0" borderId="29" xfId="54" applyNumberFormat="1" applyFont="1" applyBorder="1" applyAlignment="1">
      <alignment vertical="center" wrapText="1"/>
    </xf>
    <xf numFmtId="168" fontId="44" fillId="0" borderId="10" xfId="54" applyNumberFormat="1" applyFont="1" applyBorder="1" applyAlignment="1">
      <alignment vertical="center" wrapText="1"/>
    </xf>
    <xf numFmtId="168" fontId="44" fillId="0" borderId="10" xfId="54" applyNumberFormat="1" applyFont="1" applyFill="1" applyBorder="1" applyAlignment="1">
      <alignment vertical="center" wrapText="1"/>
    </xf>
    <xf numFmtId="168" fontId="48" fillId="0" borderId="10" xfId="54" applyNumberFormat="1" applyFont="1" applyFill="1" applyBorder="1" applyAlignment="1">
      <alignment vertical="center" wrapText="1"/>
    </xf>
    <xf numFmtId="168" fontId="44" fillId="0" borderId="34" xfId="54" applyNumberFormat="1" applyFont="1" applyFill="1" applyBorder="1" applyAlignment="1">
      <alignment vertical="center" wrapText="1"/>
    </xf>
    <xf numFmtId="168" fontId="44" fillId="0" borderId="17" xfId="54" applyNumberFormat="1" applyFont="1" applyFill="1" applyBorder="1" applyAlignment="1">
      <alignment vertical="center" wrapText="1"/>
    </xf>
    <xf numFmtId="168" fontId="48" fillId="0" borderId="20" xfId="54" applyNumberFormat="1" applyFont="1" applyFill="1" applyBorder="1" applyAlignment="1">
      <alignment vertical="center" wrapText="1"/>
    </xf>
    <xf numFmtId="168" fontId="44" fillId="0" borderId="33" xfId="54" applyNumberFormat="1" applyFont="1" applyFill="1" applyBorder="1" applyAlignment="1">
      <alignment vertical="center" wrapText="1"/>
    </xf>
    <xf numFmtId="168" fontId="48" fillId="38" borderId="10" xfId="54" applyNumberFormat="1" applyFont="1" applyFill="1" applyBorder="1" applyAlignment="1">
      <alignment vertical="center" wrapText="1"/>
    </xf>
    <xf numFmtId="168" fontId="45" fillId="29" borderId="21" xfId="54" applyNumberFormat="1" applyFont="1" applyFill="1" applyBorder="1" applyAlignment="1">
      <alignment vertical="center" wrapText="1"/>
    </xf>
    <xf numFmtId="168" fontId="48" fillId="29" borderId="10" xfId="54" applyNumberFormat="1" applyFont="1" applyFill="1" applyBorder="1" applyAlignment="1">
      <alignment vertical="center" wrapText="1"/>
    </xf>
    <xf numFmtId="168" fontId="46" fillId="36" borderId="30" xfId="54" applyNumberFormat="1" applyFont="1" applyFill="1" applyBorder="1" applyAlignment="1">
      <alignment vertical="center" wrapText="1"/>
    </xf>
    <xf numFmtId="168" fontId="42" fillId="39" borderId="10" xfId="54" applyNumberFormat="1" applyFont="1" applyFill="1" applyBorder="1" applyAlignment="1">
      <alignment vertical="center" wrapText="1"/>
    </xf>
    <xf numFmtId="168" fontId="52" fillId="39" borderId="10" xfId="54" applyNumberFormat="1" applyFont="1" applyFill="1" applyBorder="1" applyAlignment="1">
      <alignment vertical="center" wrapText="1"/>
    </xf>
    <xf numFmtId="166" fontId="41" fillId="35" borderId="25" xfId="54" applyNumberFormat="1" applyFont="1" applyFill="1" applyBorder="1" applyAlignment="1">
      <alignment horizontal="center"/>
    </xf>
    <xf numFmtId="17" fontId="51" fillId="0" borderId="0" xfId="0" applyNumberFormat="1" applyFont="1"/>
    <xf numFmtId="0" fontId="0" fillId="0" borderId="10" xfId="0" applyBorder="1"/>
    <xf numFmtId="0" fontId="0" fillId="0" borderId="0" xfId="0" applyBorder="1"/>
    <xf numFmtId="0" fontId="51" fillId="0" borderId="10" xfId="0" applyFont="1" applyBorder="1"/>
    <xf numFmtId="0" fontId="0" fillId="0" borderId="10" xfId="0" applyFill="1" applyBorder="1"/>
    <xf numFmtId="0" fontId="51" fillId="0" borderId="0" xfId="0" applyFont="1"/>
    <xf numFmtId="0" fontId="0" fillId="0" borderId="0" xfId="0" applyFont="1"/>
    <xf numFmtId="1" fontId="51" fillId="0" borderId="10" xfId="0" applyNumberFormat="1" applyFont="1" applyBorder="1"/>
    <xf numFmtId="0" fontId="51" fillId="0" borderId="0" xfId="0" applyFont="1" applyBorder="1"/>
    <xf numFmtId="2" fontId="45" fillId="0" borderId="10" xfId="0" applyNumberFormat="1" applyFont="1" applyBorder="1" applyAlignment="1">
      <alignment vertical="center" wrapText="1"/>
    </xf>
    <xf numFmtId="169" fontId="45" fillId="0" borderId="10" xfId="0" applyNumberFormat="1" applyFont="1" applyBorder="1" applyAlignment="1">
      <alignment vertical="center" wrapText="1"/>
    </xf>
    <xf numFmtId="9" fontId="45" fillId="0" borderId="10" xfId="53" applyFont="1" applyBorder="1" applyAlignment="1">
      <alignment vertical="center" wrapText="1"/>
    </xf>
    <xf numFmtId="9" fontId="49" fillId="0" borderId="10" xfId="53" applyFont="1" applyBorder="1" applyAlignment="1">
      <alignment vertical="center" wrapText="1"/>
    </xf>
    <xf numFmtId="0" fontId="46" fillId="29" borderId="21" xfId="0" applyFont="1" applyFill="1" applyBorder="1" applyAlignment="1">
      <alignment vertical="center" wrapText="1"/>
    </xf>
    <xf numFmtId="0" fontId="45" fillId="36" borderId="21" xfId="0" applyFont="1" applyFill="1" applyBorder="1" applyAlignment="1">
      <alignment vertical="center" wrapText="1"/>
    </xf>
    <xf numFmtId="0" fontId="45" fillId="0" borderId="21" xfId="0" applyFont="1" applyBorder="1" applyAlignment="1">
      <alignment vertical="center" wrapText="1"/>
    </xf>
    <xf numFmtId="0" fontId="46" fillId="27" borderId="29" xfId="0" applyFont="1" applyFill="1" applyBorder="1" applyAlignment="1">
      <alignment vertical="center" wrapText="1"/>
    </xf>
    <xf numFmtId="169" fontId="45" fillId="0" borderId="30" xfId="0" applyNumberFormat="1" applyFont="1" applyBorder="1" applyAlignment="1">
      <alignment vertical="center" wrapText="1"/>
    </xf>
    <xf numFmtId="0" fontId="45" fillId="0" borderId="29" xfId="0" applyFont="1" applyBorder="1" applyAlignment="1">
      <alignment vertical="center" wrapText="1"/>
    </xf>
    <xf numFmtId="169" fontId="44" fillId="0" borderId="10" xfId="0" applyNumberFormat="1" applyFont="1" applyBorder="1" applyAlignment="1">
      <alignment vertical="center" wrapText="1"/>
    </xf>
    <xf numFmtId="0" fontId="46" fillId="0" borderId="10" xfId="0" applyFont="1" applyFill="1" applyBorder="1" applyAlignment="1">
      <alignment horizontal="left" vertical="center" wrapText="1"/>
    </xf>
    <xf numFmtId="0" fontId="45" fillId="42" borderId="15" xfId="1" applyFont="1" applyFill="1" applyBorder="1" applyAlignment="1">
      <alignment horizontal="left" vertical="center" wrapText="1"/>
    </xf>
    <xf numFmtId="168" fontId="45" fillId="40" borderId="30" xfId="54" applyNumberFormat="1" applyFont="1" applyFill="1" applyBorder="1" applyAlignment="1">
      <alignment vertical="center" wrapText="1"/>
    </xf>
    <xf numFmtId="0" fontId="45" fillId="29" borderId="38" xfId="1" applyFont="1" applyFill="1" applyBorder="1" applyAlignment="1">
      <alignment horizontal="left" vertical="center" wrapText="1"/>
    </xf>
    <xf numFmtId="0" fontId="45" fillId="40" borderId="25" xfId="1" applyFont="1" applyFill="1" applyBorder="1" applyAlignment="1">
      <alignment horizontal="left" vertical="center" wrapText="1"/>
    </xf>
    <xf numFmtId="0" fontId="45" fillId="41" borderId="39" xfId="1" applyFont="1" applyFill="1" applyBorder="1" applyAlignment="1">
      <alignment horizontal="left" vertical="center" wrapText="1"/>
    </xf>
    <xf numFmtId="168" fontId="48" fillId="0" borderId="40" xfId="54" applyNumberFormat="1" applyFont="1" applyBorder="1" applyAlignment="1">
      <alignment vertical="center" wrapText="1"/>
    </xf>
    <xf numFmtId="168" fontId="48" fillId="0" borderId="41" xfId="54" applyNumberFormat="1" applyFont="1" applyBorder="1" applyAlignment="1">
      <alignment vertical="center" wrapText="1"/>
    </xf>
    <xf numFmtId="9" fontId="48" fillId="0" borderId="42" xfId="53" applyFont="1" applyBorder="1" applyAlignment="1">
      <alignment vertical="center" wrapText="1"/>
    </xf>
    <xf numFmtId="168" fontId="48" fillId="0" borderId="43" xfId="54" applyNumberFormat="1" applyFont="1" applyBorder="1" applyAlignment="1">
      <alignment vertical="center" wrapText="1"/>
    </xf>
    <xf numFmtId="9" fontId="53" fillId="0" borderId="44" xfId="53" applyFont="1" applyBorder="1" applyAlignment="1">
      <alignment vertical="center" wrapText="1"/>
    </xf>
    <xf numFmtId="168" fontId="48" fillId="0" borderId="45" xfId="54" applyNumberFormat="1" applyFont="1" applyBorder="1" applyAlignment="1">
      <alignment vertical="center" wrapText="1"/>
    </xf>
    <xf numFmtId="9" fontId="48" fillId="0" borderId="46" xfId="53" applyFont="1" applyBorder="1" applyAlignment="1">
      <alignment vertical="center" wrapText="1"/>
    </xf>
    <xf numFmtId="168" fontId="45" fillId="29" borderId="47" xfId="54" applyNumberFormat="1" applyFont="1" applyFill="1" applyBorder="1" applyAlignment="1">
      <alignment vertical="center" wrapText="1"/>
    </xf>
    <xf numFmtId="9" fontId="49" fillId="26" borderId="48" xfId="53" applyFont="1" applyFill="1" applyBorder="1" applyAlignment="1">
      <alignment vertical="center" wrapText="1"/>
    </xf>
    <xf numFmtId="168" fontId="44" fillId="0" borderId="49" xfId="54" applyNumberFormat="1" applyFont="1" applyFill="1" applyBorder="1" applyAlignment="1">
      <alignment vertical="center" wrapText="1"/>
    </xf>
    <xf numFmtId="168" fontId="44" fillId="0" borderId="50" xfId="54" applyNumberFormat="1" applyFont="1" applyFill="1" applyBorder="1" applyAlignment="1">
      <alignment vertical="center" wrapText="1"/>
    </xf>
    <xf numFmtId="9" fontId="48" fillId="0" borderId="44" xfId="53" applyFont="1" applyBorder="1" applyAlignment="1">
      <alignment vertical="center" wrapText="1"/>
    </xf>
    <xf numFmtId="9" fontId="45" fillId="26" borderId="48" xfId="53" applyFont="1" applyFill="1" applyBorder="1" applyAlignment="1">
      <alignment vertical="center" wrapText="1"/>
    </xf>
    <xf numFmtId="168" fontId="48" fillId="0" borderId="44" xfId="54" applyNumberFormat="1" applyFont="1" applyBorder="1" applyAlignment="1">
      <alignment vertical="center" wrapText="1"/>
    </xf>
    <xf numFmtId="168" fontId="48" fillId="0" borderId="46" xfId="54" applyNumberFormat="1" applyFont="1" applyBorder="1" applyAlignment="1">
      <alignment vertical="center" wrapText="1"/>
    </xf>
    <xf numFmtId="168" fontId="44" fillId="0" borderId="51" xfId="54" applyNumberFormat="1" applyFont="1" applyFill="1" applyBorder="1" applyAlignment="1">
      <alignment vertical="center" wrapText="1"/>
    </xf>
    <xf numFmtId="168" fontId="44" fillId="0" borderId="52" xfId="54" applyNumberFormat="1" applyFont="1" applyFill="1" applyBorder="1" applyAlignment="1">
      <alignment vertical="center" wrapText="1"/>
    </xf>
    <xf numFmtId="0" fontId="46" fillId="0" borderId="51" xfId="0" applyFont="1" applyFill="1" applyBorder="1" applyAlignment="1">
      <alignment vertical="center" wrapText="1"/>
    </xf>
    <xf numFmtId="0" fontId="46" fillId="0" borderId="53" xfId="0" applyFont="1" applyFill="1" applyBorder="1" applyAlignment="1">
      <alignment vertical="center" wrapText="1"/>
    </xf>
    <xf numFmtId="168" fontId="46" fillId="36" borderId="47" xfId="54" applyNumberFormat="1" applyFont="1" applyFill="1" applyBorder="1" applyAlignment="1">
      <alignment vertical="center" wrapText="1"/>
    </xf>
    <xf numFmtId="168" fontId="44" fillId="0" borderId="54" xfId="54" applyNumberFormat="1" applyFont="1" applyBorder="1" applyAlignment="1">
      <alignment vertical="center" wrapText="1"/>
    </xf>
    <xf numFmtId="168" fontId="48" fillId="0" borderId="54" xfId="54" applyNumberFormat="1" applyFont="1" applyBorder="1" applyAlignment="1">
      <alignment vertical="center" wrapText="1"/>
    </xf>
    <xf numFmtId="168" fontId="44" fillId="0" borderId="54" xfId="54" applyNumberFormat="1" applyFont="1" applyFill="1" applyBorder="1" applyAlignment="1">
      <alignment vertical="center" wrapText="1"/>
    </xf>
    <xf numFmtId="168" fontId="44" fillId="0" borderId="55" xfId="54" applyNumberFormat="1" applyFont="1" applyFill="1" applyBorder="1" applyAlignment="1">
      <alignment vertical="center" wrapText="1"/>
    </xf>
    <xf numFmtId="168" fontId="44" fillId="0" borderId="56" xfId="54" applyNumberFormat="1" applyFont="1" applyFill="1" applyBorder="1" applyAlignment="1">
      <alignment vertical="center" wrapText="1"/>
    </xf>
    <xf numFmtId="168" fontId="44" fillId="0" borderId="53" xfId="54" applyNumberFormat="1" applyFont="1" applyFill="1" applyBorder="1" applyAlignment="1">
      <alignment vertical="center" wrapText="1"/>
    </xf>
    <xf numFmtId="168" fontId="42" fillId="39" borderId="54" xfId="54" applyNumberFormat="1" applyFont="1" applyFill="1" applyBorder="1" applyAlignment="1">
      <alignment vertical="center" wrapText="1"/>
    </xf>
    <xf numFmtId="0" fontId="44" fillId="0" borderId="49" xfId="0" applyFont="1" applyFill="1" applyBorder="1" applyAlignment="1">
      <alignment vertical="center" wrapText="1"/>
    </xf>
    <xf numFmtId="0" fontId="44" fillId="0" borderId="50" xfId="0" applyFont="1" applyFill="1" applyBorder="1" applyAlignment="1">
      <alignment vertical="center" wrapText="1"/>
    </xf>
    <xf numFmtId="0" fontId="44" fillId="0" borderId="43" xfId="0" applyFont="1" applyBorder="1" applyAlignment="1">
      <alignment vertical="center" wrapText="1"/>
    </xf>
    <xf numFmtId="0" fontId="44" fillId="0" borderId="44" xfId="0" applyFont="1" applyBorder="1" applyAlignment="1">
      <alignment vertical="center" wrapText="1"/>
    </xf>
    <xf numFmtId="166" fontId="49" fillId="0" borderId="54" xfId="54" applyNumberFormat="1" applyFont="1" applyBorder="1" applyAlignment="1">
      <alignment vertical="center" wrapText="1"/>
    </xf>
    <xf numFmtId="166" fontId="49" fillId="0" borderId="55" xfId="54" applyNumberFormat="1" applyFont="1" applyBorder="1" applyAlignment="1">
      <alignment vertical="center" wrapText="1"/>
    </xf>
    <xf numFmtId="166" fontId="44" fillId="0" borderId="54" xfId="54" applyNumberFormat="1" applyFont="1" applyBorder="1" applyAlignment="1">
      <alignment vertical="center" wrapText="1"/>
    </xf>
    <xf numFmtId="166" fontId="44" fillId="0" borderId="55" xfId="54" applyNumberFormat="1" applyFont="1" applyBorder="1" applyAlignment="1">
      <alignment vertical="center" wrapText="1"/>
    </xf>
    <xf numFmtId="0" fontId="44" fillId="0" borderId="54" xfId="0" applyFont="1" applyBorder="1" applyAlignment="1">
      <alignment vertical="center" wrapText="1"/>
    </xf>
    <xf numFmtId="0" fontId="44" fillId="0" borderId="55" xfId="0" applyFont="1" applyBorder="1" applyAlignment="1">
      <alignment vertical="center" wrapText="1"/>
    </xf>
    <xf numFmtId="1" fontId="44" fillId="0" borderId="54" xfId="0" applyNumberFormat="1" applyFont="1" applyBorder="1" applyAlignment="1">
      <alignment vertical="center" wrapText="1"/>
    </xf>
    <xf numFmtId="1" fontId="44" fillId="0" borderId="55" xfId="0" applyNumberFormat="1" applyFont="1" applyBorder="1" applyAlignment="1">
      <alignment vertical="center" wrapText="1"/>
    </xf>
    <xf numFmtId="0" fontId="45" fillId="23" borderId="57" xfId="1" applyFont="1" applyFill="1" applyBorder="1" applyAlignment="1">
      <alignment horizontal="left" vertical="center" wrapText="1"/>
    </xf>
    <xf numFmtId="0" fontId="45" fillId="23" borderId="58" xfId="1" applyFont="1" applyFill="1" applyBorder="1" applyAlignment="1">
      <alignment horizontal="left" vertical="center" wrapText="1"/>
    </xf>
    <xf numFmtId="169" fontId="45" fillId="0" borderId="54" xfId="0" applyNumberFormat="1" applyFont="1" applyBorder="1" applyAlignment="1">
      <alignment vertical="center" wrapText="1"/>
    </xf>
    <xf numFmtId="169" fontId="45" fillId="0" borderId="55" xfId="0" applyNumberFormat="1" applyFont="1" applyBorder="1" applyAlignment="1">
      <alignment vertical="center" wrapText="1"/>
    </xf>
    <xf numFmtId="9" fontId="49" fillId="0" borderId="54" xfId="53" applyFont="1" applyBorder="1" applyAlignment="1">
      <alignment vertical="center" wrapText="1"/>
    </xf>
    <xf numFmtId="9" fontId="49" fillId="0" borderId="55" xfId="53" applyFont="1" applyBorder="1" applyAlignment="1">
      <alignment vertical="center" wrapText="1"/>
    </xf>
    <xf numFmtId="2" fontId="45" fillId="0" borderId="54" xfId="0" applyNumberFormat="1" applyFont="1" applyBorder="1" applyAlignment="1">
      <alignment vertical="center" wrapText="1"/>
    </xf>
    <xf numFmtId="2" fontId="45" fillId="0" borderId="55" xfId="0" applyNumberFormat="1" applyFont="1" applyBorder="1" applyAlignment="1">
      <alignment vertical="center" wrapText="1"/>
    </xf>
    <xf numFmtId="9" fontId="45" fillId="0" borderId="54" xfId="53" applyFont="1" applyBorder="1" applyAlignment="1">
      <alignment vertical="center" wrapText="1"/>
    </xf>
    <xf numFmtId="9" fontId="45" fillId="0" borderId="55" xfId="53" applyFont="1" applyBorder="1" applyAlignment="1">
      <alignment vertical="center" wrapText="1"/>
    </xf>
    <xf numFmtId="0" fontId="45" fillId="0" borderId="54" xfId="0" applyFont="1" applyBorder="1" applyAlignment="1">
      <alignment vertical="center" wrapText="1"/>
    </xf>
    <xf numFmtId="0" fontId="45" fillId="0" borderId="55" xfId="0" applyFont="1" applyBorder="1" applyAlignment="1">
      <alignment vertical="center" wrapText="1"/>
    </xf>
    <xf numFmtId="1" fontId="45" fillId="0" borderId="54" xfId="0" applyNumberFormat="1" applyFont="1" applyBorder="1" applyAlignment="1">
      <alignment vertical="center" wrapText="1"/>
    </xf>
    <xf numFmtId="1" fontId="45" fillId="0" borderId="55" xfId="0" applyNumberFormat="1" applyFont="1" applyBorder="1" applyAlignment="1">
      <alignment vertical="center" wrapText="1"/>
    </xf>
    <xf numFmtId="0" fontId="45" fillId="0" borderId="54" xfId="0" applyFont="1" applyFill="1" applyBorder="1" applyAlignment="1">
      <alignment vertical="center" wrapText="1"/>
    </xf>
    <xf numFmtId="0" fontId="45" fillId="0" borderId="55" xfId="0" applyFont="1" applyFill="1" applyBorder="1" applyAlignment="1">
      <alignment vertical="center" wrapText="1"/>
    </xf>
    <xf numFmtId="0" fontId="48" fillId="0" borderId="49" xfId="0" applyFont="1" applyFill="1" applyBorder="1" applyAlignment="1">
      <alignment vertical="center" wrapText="1"/>
    </xf>
    <xf numFmtId="0" fontId="48" fillId="0" borderId="50" xfId="0" applyFont="1" applyFill="1" applyBorder="1" applyAlignment="1">
      <alignment vertical="center" wrapText="1"/>
    </xf>
    <xf numFmtId="0" fontId="45" fillId="0" borderId="45" xfId="0" applyFont="1" applyBorder="1" applyAlignment="1">
      <alignment vertical="center" wrapText="1"/>
    </xf>
    <xf numFmtId="0" fontId="45" fillId="0" borderId="46" xfId="0" applyFont="1" applyBorder="1" applyAlignment="1">
      <alignment vertical="center" wrapText="1"/>
    </xf>
    <xf numFmtId="169" fontId="45" fillId="0" borderId="47" xfId="0" applyNumberFormat="1" applyFont="1" applyBorder="1" applyAlignment="1">
      <alignment vertical="center" wrapText="1"/>
    </xf>
    <xf numFmtId="169" fontId="45" fillId="0" borderId="48" xfId="0" applyNumberFormat="1" applyFont="1" applyBorder="1" applyAlignment="1">
      <alignment vertical="center" wrapText="1"/>
    </xf>
    <xf numFmtId="0" fontId="45" fillId="0" borderId="43" xfId="0" applyFont="1" applyBorder="1" applyAlignment="1">
      <alignment vertical="center" wrapText="1"/>
    </xf>
    <xf numFmtId="0" fontId="45" fillId="0" borderId="44" xfId="0" applyFont="1" applyBorder="1" applyAlignment="1">
      <alignment vertical="center" wrapText="1"/>
    </xf>
    <xf numFmtId="166" fontId="45" fillId="0" borderId="54" xfId="0" applyNumberFormat="1" applyFont="1" applyBorder="1" applyAlignment="1">
      <alignment vertical="center" wrapText="1"/>
    </xf>
    <xf numFmtId="166" fontId="45" fillId="0" borderId="55" xfId="0" applyNumberFormat="1" applyFont="1" applyBorder="1" applyAlignment="1">
      <alignment vertical="center" wrapText="1"/>
    </xf>
    <xf numFmtId="169" fontId="44" fillId="0" borderId="54" xfId="0" applyNumberFormat="1" applyFont="1" applyBorder="1" applyAlignment="1">
      <alignment vertical="center" wrapText="1"/>
    </xf>
    <xf numFmtId="169" fontId="44" fillId="0" borderId="55" xfId="0" applyNumberFormat="1" applyFont="1" applyBorder="1" applyAlignment="1">
      <alignment vertical="center" wrapText="1"/>
    </xf>
    <xf numFmtId="9" fontId="44" fillId="0" borderId="54" xfId="53" applyFont="1" applyBorder="1" applyAlignment="1">
      <alignment vertical="center" wrapText="1"/>
    </xf>
    <xf numFmtId="9" fontId="44" fillId="0" borderId="55" xfId="53" applyFont="1" applyBorder="1" applyAlignment="1">
      <alignment vertical="center" wrapText="1"/>
    </xf>
    <xf numFmtId="0" fontId="44" fillId="0" borderId="54" xfId="0" applyFont="1" applyFill="1" applyBorder="1" applyAlignment="1">
      <alignment vertical="center" wrapText="1"/>
    </xf>
    <xf numFmtId="0" fontId="44" fillId="0" borderId="55" xfId="0" applyFont="1" applyFill="1" applyBorder="1" applyAlignment="1">
      <alignment vertical="center" wrapText="1"/>
    </xf>
    <xf numFmtId="2" fontId="46" fillId="0" borderId="54" xfId="0" applyNumberFormat="1" applyFont="1" applyBorder="1" applyAlignment="1">
      <alignment horizontal="right" vertical="center" wrapText="1"/>
    </xf>
    <xf numFmtId="2" fontId="46" fillId="0" borderId="55" xfId="0" applyNumberFormat="1" applyFont="1" applyBorder="1" applyAlignment="1">
      <alignment horizontal="right" vertical="center" wrapText="1"/>
    </xf>
    <xf numFmtId="0" fontId="44" fillId="0" borderId="59" xfId="0" applyFont="1" applyBorder="1" applyAlignment="1">
      <alignment vertical="center" wrapText="1"/>
    </xf>
    <xf numFmtId="0" fontId="44" fillId="0" borderId="60" xfId="0" applyFont="1" applyBorder="1" applyAlignment="1">
      <alignment vertical="center" wrapText="1"/>
    </xf>
    <xf numFmtId="0" fontId="44" fillId="0" borderId="45" xfId="0" applyFont="1" applyBorder="1" applyAlignment="1">
      <alignment vertical="center" wrapText="1"/>
    </xf>
    <xf numFmtId="0" fontId="44" fillId="0" borderId="29" xfId="0" applyFont="1" applyBorder="1" applyAlignment="1">
      <alignment vertical="center" wrapText="1"/>
    </xf>
    <xf numFmtId="0" fontId="44" fillId="0" borderId="46" xfId="0" applyFont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9" fontId="53" fillId="0" borderId="46" xfId="53" applyFont="1" applyBorder="1" applyAlignment="1">
      <alignment vertical="center" wrapText="1"/>
    </xf>
    <xf numFmtId="168" fontId="48" fillId="0" borderId="50" xfId="54" applyNumberFormat="1" applyFont="1" applyFill="1" applyBorder="1" applyAlignment="1">
      <alignment vertical="center" wrapText="1"/>
    </xf>
    <xf numFmtId="168" fontId="45" fillId="0" borderId="44" xfId="54" applyNumberFormat="1" applyFont="1" applyBorder="1" applyAlignment="1">
      <alignment vertical="center" wrapText="1"/>
    </xf>
    <xf numFmtId="168" fontId="48" fillId="0" borderId="55" xfId="54" applyNumberFormat="1" applyFont="1" applyFill="1" applyBorder="1" applyAlignment="1">
      <alignment vertical="center" wrapText="1"/>
    </xf>
    <xf numFmtId="0" fontId="48" fillId="0" borderId="44" xfId="0" applyFont="1" applyBorder="1" applyAlignment="1">
      <alignment vertical="center" wrapText="1"/>
    </xf>
    <xf numFmtId="0" fontId="48" fillId="0" borderId="55" xfId="0" applyFont="1" applyBorder="1" applyAlignment="1">
      <alignment vertical="center" wrapText="1"/>
    </xf>
    <xf numFmtId="1" fontId="48" fillId="0" borderId="55" xfId="0" applyNumberFormat="1" applyFont="1" applyBorder="1" applyAlignment="1">
      <alignment vertical="center" wrapText="1"/>
    </xf>
    <xf numFmtId="9" fontId="45" fillId="0" borderId="54" xfId="0" applyNumberFormat="1" applyFont="1" applyBorder="1" applyAlignment="1">
      <alignment vertical="center" wrapText="1"/>
    </xf>
    <xf numFmtId="0" fontId="48" fillId="0" borderId="54" xfId="0" applyFont="1" applyFill="1" applyBorder="1" applyAlignment="1">
      <alignment vertical="center" wrapText="1"/>
    </xf>
    <xf numFmtId="169" fontId="45" fillId="0" borderId="54" xfId="0" quotePrefix="1" applyNumberFormat="1" applyFont="1" applyBorder="1" applyAlignment="1">
      <alignment vertical="center" wrapText="1"/>
    </xf>
    <xf numFmtId="2" fontId="48" fillId="0" borderId="55" xfId="0" applyNumberFormat="1" applyFont="1" applyBorder="1" applyAlignment="1">
      <alignment vertical="center" wrapText="1"/>
    </xf>
    <xf numFmtId="0" fontId="48" fillId="0" borderId="55" xfId="0" applyFont="1" applyFill="1" applyBorder="1" applyAlignment="1">
      <alignment vertical="center" wrapText="1"/>
    </xf>
    <xf numFmtId="2" fontId="45" fillId="0" borderId="55" xfId="0" applyNumberFormat="1" applyFont="1" applyBorder="1" applyAlignment="1">
      <alignment horizontal="right" vertical="center" wrapText="1"/>
    </xf>
    <xf numFmtId="0" fontId="44" fillId="0" borderId="59" xfId="0" applyFont="1" applyFill="1" applyBorder="1" applyAlignment="1">
      <alignment vertical="center" wrapText="1"/>
    </xf>
    <xf numFmtId="0" fontId="48" fillId="0" borderId="60" xfId="0" applyFont="1" applyFill="1" applyBorder="1" applyAlignment="1">
      <alignment vertical="center" wrapText="1"/>
    </xf>
    <xf numFmtId="0" fontId="48" fillId="0" borderId="29" xfId="0" applyFont="1" applyBorder="1" applyAlignment="1">
      <alignment vertical="center" wrapText="1"/>
    </xf>
    <xf numFmtId="0" fontId="48" fillId="0" borderId="46" xfId="0" applyFont="1" applyBorder="1" applyAlignment="1">
      <alignment vertical="center" wrapText="1"/>
    </xf>
    <xf numFmtId="168" fontId="45" fillId="0" borderId="13" xfId="54" applyNumberFormat="1" applyFont="1" applyBorder="1" applyAlignment="1">
      <alignment vertical="center" wrapText="1"/>
    </xf>
    <xf numFmtId="168" fontId="45" fillId="29" borderId="13" xfId="54" applyNumberFormat="1" applyFont="1" applyFill="1" applyBorder="1" applyAlignment="1">
      <alignment vertical="center" wrapText="1"/>
    </xf>
    <xf numFmtId="168" fontId="48" fillId="0" borderId="17" xfId="54" applyNumberFormat="1" applyFont="1" applyFill="1" applyBorder="1" applyAlignment="1">
      <alignment vertical="center" wrapText="1"/>
    </xf>
    <xf numFmtId="168" fontId="46" fillId="36" borderId="61" xfId="54" applyNumberFormat="1" applyFont="1" applyFill="1" applyBorder="1" applyAlignment="1">
      <alignment vertical="center" wrapText="1"/>
    </xf>
    <xf numFmtId="168" fontId="48" fillId="0" borderId="19" xfId="54" applyNumberFormat="1" applyFont="1" applyBorder="1" applyAlignment="1">
      <alignment vertical="center" wrapText="1"/>
    </xf>
    <xf numFmtId="168" fontId="48" fillId="29" borderId="19" xfId="54" applyNumberFormat="1" applyFont="1" applyFill="1" applyBorder="1" applyAlignment="1">
      <alignment vertical="center" wrapText="1"/>
    </xf>
    <xf numFmtId="168" fontId="48" fillId="0" borderId="19" xfId="54" applyNumberFormat="1" applyFont="1" applyFill="1" applyBorder="1" applyAlignment="1">
      <alignment vertical="center" wrapText="1"/>
    </xf>
    <xf numFmtId="168" fontId="48" fillId="38" borderId="19" xfId="54" applyNumberFormat="1" applyFont="1" applyFill="1" applyBorder="1" applyAlignment="1">
      <alignment vertical="center" wrapText="1"/>
    </xf>
    <xf numFmtId="168" fontId="52" fillId="39" borderId="19" xfId="54" applyNumberFormat="1" applyFont="1" applyFill="1" applyBorder="1" applyAlignment="1">
      <alignment vertical="center" wrapText="1"/>
    </xf>
    <xf numFmtId="0" fontId="48" fillId="0" borderId="13" xfId="0" applyFont="1" applyBorder="1" applyAlignment="1">
      <alignment vertical="center" wrapText="1"/>
    </xf>
    <xf numFmtId="0" fontId="45" fillId="0" borderId="19" xfId="0" applyFont="1" applyBorder="1" applyAlignment="1">
      <alignment vertical="center" wrapText="1"/>
    </xf>
    <xf numFmtId="0" fontId="48" fillId="0" borderId="19" xfId="0" applyFont="1" applyBorder="1" applyAlignment="1">
      <alignment vertical="center" wrapText="1"/>
    </xf>
    <xf numFmtId="1" fontId="48" fillId="0" borderId="19" xfId="0" applyNumberFormat="1" applyFont="1" applyBorder="1" applyAlignment="1">
      <alignment vertical="center" wrapText="1"/>
    </xf>
    <xf numFmtId="9" fontId="45" fillId="0" borderId="19" xfId="53" applyFont="1" applyBorder="1" applyAlignment="1">
      <alignment vertical="center" wrapText="1"/>
    </xf>
    <xf numFmtId="9" fontId="49" fillId="0" borderId="19" xfId="53" applyFont="1" applyBorder="1" applyAlignment="1">
      <alignment vertical="center" wrapText="1"/>
    </xf>
    <xf numFmtId="2" fontId="45" fillId="0" borderId="19" xfId="0" applyNumberFormat="1" applyFont="1" applyBorder="1" applyAlignment="1">
      <alignment vertical="center" wrapText="1"/>
    </xf>
    <xf numFmtId="0" fontId="45" fillId="0" borderId="62" xfId="0" applyFont="1" applyBorder="1" applyAlignment="1">
      <alignment vertical="center" wrapText="1"/>
    </xf>
    <xf numFmtId="169" fontId="45" fillId="0" borderId="61" xfId="0" applyNumberFormat="1" applyFont="1" applyBorder="1" applyAlignment="1">
      <alignment vertical="center" wrapText="1"/>
    </xf>
    <xf numFmtId="0" fontId="45" fillId="0" borderId="13" xfId="0" applyFont="1" applyBorder="1" applyAlignment="1">
      <alignment vertical="center" wrapText="1"/>
    </xf>
    <xf numFmtId="2" fontId="48" fillId="0" borderId="19" xfId="0" applyNumberFormat="1" applyFont="1" applyBorder="1" applyAlignment="1">
      <alignment vertical="center" wrapText="1"/>
    </xf>
    <xf numFmtId="0" fontId="48" fillId="0" borderId="19" xfId="0" applyFont="1" applyFill="1" applyBorder="1" applyAlignment="1">
      <alignment vertical="center" wrapText="1"/>
    </xf>
    <xf numFmtId="2" fontId="45" fillId="0" borderId="19" xfId="0" applyNumberFormat="1" applyFont="1" applyBorder="1" applyAlignment="1">
      <alignment horizontal="right" vertical="center" wrapText="1"/>
    </xf>
    <xf numFmtId="9" fontId="46" fillId="36" borderId="48" xfId="53" applyFont="1" applyFill="1" applyBorder="1" applyAlignment="1">
      <alignment vertical="center" wrapText="1"/>
    </xf>
    <xf numFmtId="9" fontId="42" fillId="39" borderId="55" xfId="53" applyFont="1" applyFill="1" applyBorder="1" applyAlignment="1">
      <alignment vertical="center" wrapText="1"/>
    </xf>
    <xf numFmtId="0" fontId="54" fillId="23" borderId="15" xfId="1" applyFont="1" applyFill="1" applyBorder="1" applyAlignment="1">
      <alignment vertical="center"/>
    </xf>
    <xf numFmtId="0" fontId="54" fillId="23" borderId="17" xfId="1" applyFont="1" applyFill="1" applyBorder="1" applyAlignment="1">
      <alignment vertical="center"/>
    </xf>
    <xf numFmtId="0" fontId="54" fillId="23" borderId="19" xfId="1" applyFont="1" applyFill="1" applyBorder="1" applyAlignment="1">
      <alignment vertical="center"/>
    </xf>
    <xf numFmtId="166" fontId="50" fillId="0" borderId="0" xfId="54" applyNumberFormat="1" applyFont="1" applyBorder="1"/>
    <xf numFmtId="166" fontId="50" fillId="35" borderId="0" xfId="54" applyNumberFormat="1" applyFont="1" applyFill="1" applyBorder="1" applyAlignment="1">
      <alignment horizontal="center"/>
    </xf>
    <xf numFmtId="166" fontId="50" fillId="0" borderId="25" xfId="54" applyNumberFormat="1" applyFont="1" applyBorder="1"/>
    <xf numFmtId="166" fontId="50" fillId="0" borderId="26" xfId="54" applyNumberFormat="1" applyFont="1" applyBorder="1"/>
    <xf numFmtId="166" fontId="50" fillId="0" borderId="15" xfId="54" applyNumberFormat="1" applyFont="1" applyBorder="1"/>
    <xf numFmtId="166" fontId="50" fillId="0" borderId="27" xfId="54" applyNumberFormat="1" applyFont="1" applyBorder="1"/>
    <xf numFmtId="2" fontId="44" fillId="0" borderId="54" xfId="0" applyNumberFormat="1" applyFont="1" applyFill="1" applyBorder="1" applyAlignment="1">
      <alignment vertical="center" wrapText="1"/>
    </xf>
    <xf numFmtId="164" fontId="41" fillId="0" borderId="0" xfId="54" applyNumberFormat="1" applyFont="1"/>
    <xf numFmtId="170" fontId="45" fillId="0" borderId="54" xfId="53" applyNumberFormat="1" applyFont="1" applyBorder="1" applyAlignment="1">
      <alignment vertical="center" wrapText="1"/>
    </xf>
    <xf numFmtId="170" fontId="45" fillId="0" borderId="10" xfId="53" applyNumberFormat="1" applyFont="1" applyBorder="1" applyAlignment="1">
      <alignment vertical="center" wrapText="1"/>
    </xf>
    <xf numFmtId="166" fontId="41" fillId="34" borderId="25" xfId="54" applyNumberFormat="1" applyFont="1" applyFill="1" applyBorder="1" applyAlignment="1">
      <alignment horizontal="center"/>
    </xf>
    <xf numFmtId="166" fontId="41" fillId="34" borderId="0" xfId="54" applyNumberFormat="1" applyFont="1" applyFill="1" applyBorder="1" applyAlignment="1">
      <alignment horizontal="center"/>
    </xf>
    <xf numFmtId="166" fontId="41" fillId="34" borderId="0" xfId="54" applyNumberFormat="1" applyFont="1" applyFill="1" applyBorder="1"/>
    <xf numFmtId="166" fontId="41" fillId="34" borderId="0" xfId="54" applyNumberFormat="1" applyFont="1" applyFill="1"/>
    <xf numFmtId="166" fontId="41" fillId="34" borderId="25" xfId="54" applyNumberFormat="1" applyFont="1" applyFill="1" applyBorder="1"/>
    <xf numFmtId="166" fontId="41" fillId="34" borderId="26" xfId="54" applyNumberFormat="1" applyFont="1" applyFill="1" applyBorder="1"/>
    <xf numFmtId="166" fontId="41" fillId="34" borderId="15" xfId="54" applyNumberFormat="1" applyFont="1" applyFill="1" applyBorder="1"/>
    <xf numFmtId="166" fontId="50" fillId="34" borderId="0" xfId="54" applyNumberFormat="1" applyFont="1" applyFill="1"/>
    <xf numFmtId="166" fontId="41" fillId="34" borderId="27" xfId="54" applyNumberFormat="1" applyFont="1" applyFill="1" applyBorder="1"/>
    <xf numFmtId="168" fontId="41" fillId="34" borderId="0" xfId="54" applyNumberFormat="1" applyFont="1" applyFill="1"/>
    <xf numFmtId="164" fontId="45" fillId="0" borderId="10" xfId="54" applyFont="1" applyBorder="1" applyAlignment="1">
      <alignment vertical="center" wrapText="1"/>
    </xf>
    <xf numFmtId="164" fontId="45" fillId="0" borderId="54" xfId="54" applyFont="1" applyBorder="1" applyAlignment="1">
      <alignment vertical="center" wrapText="1"/>
    </xf>
    <xf numFmtId="43" fontId="44" fillId="0" borderId="0" xfId="0" applyNumberFormat="1" applyFont="1" applyAlignment="1">
      <alignment vertical="center"/>
    </xf>
    <xf numFmtId="2" fontId="44" fillId="0" borderId="0" xfId="0" applyNumberFormat="1" applyFont="1" applyAlignment="1">
      <alignment vertical="center"/>
    </xf>
    <xf numFmtId="168" fontId="44" fillId="0" borderId="0" xfId="0" applyNumberFormat="1" applyFont="1" applyAlignment="1">
      <alignment vertical="center"/>
    </xf>
    <xf numFmtId="0" fontId="43" fillId="22" borderId="0" xfId="1" applyFont="1" applyFill="1" applyAlignment="1">
      <alignment horizontal="center" vertical="center" wrapText="1"/>
    </xf>
    <xf numFmtId="0" fontId="46" fillId="24" borderId="16" xfId="0" applyFont="1" applyFill="1" applyBorder="1" applyAlignment="1">
      <alignment horizontal="center" vertical="center" wrapText="1"/>
    </xf>
    <xf numFmtId="0" fontId="46" fillId="24" borderId="23" xfId="0" applyFont="1" applyFill="1" applyBorder="1" applyAlignment="1">
      <alignment horizontal="center" vertical="center" wrapText="1"/>
    </xf>
    <xf numFmtId="0" fontId="43" fillId="22" borderId="35" xfId="1" applyFont="1" applyFill="1" applyBorder="1" applyAlignment="1">
      <alignment horizontal="center" vertical="center" wrapText="1"/>
    </xf>
    <xf numFmtId="0" fontId="43" fillId="22" borderId="36" xfId="1" applyFont="1" applyFill="1" applyBorder="1" applyAlignment="1">
      <alignment horizontal="center" vertical="center" wrapText="1"/>
    </xf>
    <xf numFmtId="0" fontId="43" fillId="22" borderId="37" xfId="1" applyFont="1" applyFill="1" applyBorder="1" applyAlignment="1">
      <alignment horizontal="center" vertical="center" wrapText="1"/>
    </xf>
    <xf numFmtId="0" fontId="42" fillId="22" borderId="0" xfId="1" applyFont="1" applyFill="1" applyAlignment="1">
      <alignment horizontal="center" vertical="center" wrapText="1"/>
    </xf>
    <xf numFmtId="0" fontId="28" fillId="24" borderId="11" xfId="0" applyFont="1" applyFill="1" applyBorder="1" applyAlignment="1">
      <alignment horizontal="left" vertical="center" wrapText="1"/>
    </xf>
    <xf numFmtId="0" fontId="28" fillId="24" borderId="12" xfId="0" applyFont="1" applyFill="1" applyBorder="1" applyAlignment="1">
      <alignment horizontal="left" vertical="center" wrapText="1"/>
    </xf>
    <xf numFmtId="0" fontId="28" fillId="24" borderId="22" xfId="0" applyFont="1" applyFill="1" applyBorder="1" applyAlignment="1">
      <alignment horizontal="left" vertical="center" wrapText="1"/>
    </xf>
    <xf numFmtId="0" fontId="28" fillId="24" borderId="18" xfId="0" applyFont="1" applyFill="1" applyBorder="1" applyAlignment="1">
      <alignment horizontal="left" vertical="center" wrapText="1"/>
    </xf>
    <xf numFmtId="0" fontId="28" fillId="24" borderId="13" xfId="0" applyFont="1" applyFill="1" applyBorder="1" applyAlignment="1">
      <alignment horizontal="left" vertical="center" wrapText="1"/>
    </xf>
    <xf numFmtId="0" fontId="28" fillId="24" borderId="14" xfId="0" applyFont="1" applyFill="1" applyBorder="1" applyAlignment="1">
      <alignment horizontal="left" vertical="center" wrapText="1"/>
    </xf>
    <xf numFmtId="0" fontId="46" fillId="24" borderId="11" xfId="0" applyFont="1" applyFill="1" applyBorder="1" applyAlignment="1">
      <alignment horizontal="left" vertical="center" wrapText="1"/>
    </xf>
    <xf numFmtId="0" fontId="46" fillId="24" borderId="12" xfId="0" applyFont="1" applyFill="1" applyBorder="1" applyAlignment="1">
      <alignment horizontal="left" vertical="center" wrapText="1"/>
    </xf>
    <xf numFmtId="0" fontId="46" fillId="24" borderId="22" xfId="0" applyFont="1" applyFill="1" applyBorder="1" applyAlignment="1">
      <alignment horizontal="left" vertical="center" wrapText="1"/>
    </xf>
    <xf numFmtId="0" fontId="46" fillId="24" borderId="18" xfId="0" applyFont="1" applyFill="1" applyBorder="1" applyAlignment="1">
      <alignment horizontal="left" vertical="center" wrapText="1"/>
    </xf>
    <xf numFmtId="0" fontId="46" fillId="24" borderId="13" xfId="0" applyFont="1" applyFill="1" applyBorder="1" applyAlignment="1">
      <alignment horizontal="left" vertical="center" wrapText="1"/>
    </xf>
    <xf numFmtId="0" fontId="46" fillId="24" borderId="14" xfId="0" applyFont="1" applyFill="1" applyBorder="1" applyAlignment="1">
      <alignment horizontal="left" vertical="center" wrapText="1"/>
    </xf>
    <xf numFmtId="0" fontId="46" fillId="24" borderId="10" xfId="0" applyFont="1" applyFill="1" applyBorder="1" applyAlignment="1">
      <alignment horizontal="left" vertical="center" wrapText="1"/>
    </xf>
    <xf numFmtId="0" fontId="46" fillId="0" borderId="10" xfId="0" applyFont="1" applyFill="1" applyBorder="1" applyAlignment="1">
      <alignment horizontal="left" vertical="center" wrapText="1"/>
    </xf>
    <xf numFmtId="0" fontId="46" fillId="25" borderId="10" xfId="0" applyFont="1" applyFill="1" applyBorder="1" applyAlignment="1">
      <alignment horizontal="center" vertical="center" wrapText="1"/>
    </xf>
    <xf numFmtId="0" fontId="46" fillId="25" borderId="10" xfId="0" applyFont="1" applyFill="1" applyBorder="1" applyAlignment="1">
      <alignment horizontal="left" vertical="center" wrapText="1"/>
    </xf>
    <xf numFmtId="0" fontId="46" fillId="26" borderId="11" xfId="0" applyFont="1" applyFill="1" applyBorder="1" applyAlignment="1">
      <alignment horizontal="left" vertical="center" wrapText="1"/>
    </xf>
    <xf numFmtId="0" fontId="46" fillId="26" borderId="22" xfId="0" applyFont="1" applyFill="1" applyBorder="1" applyAlignment="1">
      <alignment horizontal="left" vertical="center" wrapText="1"/>
    </xf>
    <xf numFmtId="0" fontId="46" fillId="26" borderId="16" xfId="0" applyFont="1" applyFill="1" applyBorder="1" applyAlignment="1">
      <alignment horizontal="left" vertical="center" wrapText="1"/>
    </xf>
    <xf numFmtId="0" fontId="46" fillId="26" borderId="23" xfId="0" applyFont="1" applyFill="1" applyBorder="1" applyAlignment="1">
      <alignment horizontal="left" vertical="center" wrapText="1"/>
    </xf>
    <xf numFmtId="0" fontId="46" fillId="26" borderId="21" xfId="0" applyFont="1" applyFill="1" applyBorder="1" applyAlignment="1">
      <alignment horizontal="left" vertical="center" wrapText="1"/>
    </xf>
    <xf numFmtId="0" fontId="46" fillId="27" borderId="10" xfId="0" applyFont="1" applyFill="1" applyBorder="1" applyAlignment="1">
      <alignment horizontal="center" vertical="center" wrapText="1"/>
    </xf>
    <xf numFmtId="0" fontId="46" fillId="27" borderId="16" xfId="0" applyFont="1" applyFill="1" applyBorder="1" applyAlignment="1">
      <alignment horizontal="left" vertical="center" wrapText="1"/>
    </xf>
    <xf numFmtId="0" fontId="46" fillId="27" borderId="23" xfId="0" applyFont="1" applyFill="1" applyBorder="1" applyAlignment="1">
      <alignment horizontal="left" vertical="center" wrapText="1"/>
    </xf>
    <xf numFmtId="0" fontId="46" fillId="27" borderId="21" xfId="0" applyFont="1" applyFill="1" applyBorder="1" applyAlignment="1">
      <alignment horizontal="left" vertical="center" wrapText="1"/>
    </xf>
    <xf numFmtId="0" fontId="46" fillId="26" borderId="10" xfId="0" applyFont="1" applyFill="1" applyBorder="1" applyAlignment="1">
      <alignment horizontal="left" vertical="center" wrapText="1"/>
    </xf>
    <xf numFmtId="0" fontId="46" fillId="25" borderId="11" xfId="0" applyFont="1" applyFill="1" applyBorder="1" applyAlignment="1">
      <alignment horizontal="left" vertical="center" wrapText="1"/>
    </xf>
    <xf numFmtId="0" fontId="46" fillId="25" borderId="12" xfId="0" applyFont="1" applyFill="1" applyBorder="1" applyAlignment="1">
      <alignment horizontal="left" vertical="center" wrapText="1"/>
    </xf>
    <xf numFmtId="0" fontId="46" fillId="25" borderId="22" xfId="0" applyFont="1" applyFill="1" applyBorder="1" applyAlignment="1">
      <alignment horizontal="left" vertical="center" wrapText="1"/>
    </xf>
    <xf numFmtId="0" fontId="46" fillId="25" borderId="18" xfId="0" applyFont="1" applyFill="1" applyBorder="1" applyAlignment="1">
      <alignment horizontal="left" vertical="center" wrapText="1"/>
    </xf>
    <xf numFmtId="0" fontId="45" fillId="24" borderId="23" xfId="1" applyFont="1" applyFill="1" applyBorder="1" applyAlignment="1">
      <alignment horizontal="left" vertical="center" wrapText="1"/>
    </xf>
    <xf numFmtId="0" fontId="45" fillId="29" borderId="16" xfId="1" applyFont="1" applyFill="1" applyBorder="1" applyAlignment="1">
      <alignment horizontal="left" vertical="center"/>
    </xf>
    <xf numFmtId="0" fontId="45" fillId="29" borderId="23" xfId="1" applyFont="1" applyFill="1" applyBorder="1" applyAlignment="1">
      <alignment horizontal="left" vertical="center"/>
    </xf>
    <xf numFmtId="0" fontId="46" fillId="25" borderId="13" xfId="0" applyFont="1" applyFill="1" applyBorder="1" applyAlignment="1">
      <alignment horizontal="left" vertical="center" wrapText="1"/>
    </xf>
    <xf numFmtId="0" fontId="46" fillId="25" borderId="16" xfId="0" applyFont="1" applyFill="1" applyBorder="1" applyAlignment="1">
      <alignment horizontal="left" vertical="center" wrapText="1"/>
    </xf>
    <xf numFmtId="0" fontId="46" fillId="25" borderId="23" xfId="0" applyFont="1" applyFill="1" applyBorder="1" applyAlignment="1">
      <alignment horizontal="left" vertical="center" wrapText="1"/>
    </xf>
    <xf numFmtId="0" fontId="46" fillId="25" borderId="21" xfId="0" applyFont="1" applyFill="1" applyBorder="1" applyAlignment="1">
      <alignment horizontal="left" vertical="center" wrapText="1"/>
    </xf>
    <xf numFmtId="167" fontId="41" fillId="24" borderId="10" xfId="0" applyNumberFormat="1" applyFont="1" applyFill="1" applyBorder="1" applyAlignment="1">
      <alignment horizontal="center" vertical="center"/>
    </xf>
    <xf numFmtId="167" fontId="41" fillId="24" borderId="19" xfId="0" applyNumberFormat="1" applyFont="1" applyFill="1" applyBorder="1" applyAlignment="1">
      <alignment horizontal="center" vertical="center"/>
    </xf>
    <xf numFmtId="166" fontId="41" fillId="24" borderId="10" xfId="54" applyNumberFormat="1" applyFont="1" applyFill="1" applyBorder="1" applyAlignment="1">
      <alignment horizontal="center"/>
    </xf>
    <xf numFmtId="0" fontId="37" fillId="26" borderId="21" xfId="0" applyFont="1" applyFill="1" applyBorder="1" applyAlignment="1">
      <alignment horizontal="left" vertical="center" wrapText="1"/>
    </xf>
    <xf numFmtId="0" fontId="37" fillId="26" borderId="10" xfId="0" applyFont="1" applyFill="1" applyBorder="1" applyAlignment="1">
      <alignment horizontal="left" vertical="center" wrapText="1"/>
    </xf>
    <xf numFmtId="0" fontId="35" fillId="22" borderId="0" xfId="1" applyFont="1" applyFill="1" applyAlignment="1">
      <alignment horizontal="center" vertical="center" wrapText="1"/>
    </xf>
    <xf numFmtId="0" fontId="37" fillId="25" borderId="10" xfId="0" applyFont="1" applyFill="1" applyBorder="1" applyAlignment="1">
      <alignment horizontal="left" vertical="center" wrapText="1"/>
    </xf>
    <xf numFmtId="0" fontId="37" fillId="25" borderId="19" xfId="0" applyFont="1" applyFill="1" applyBorder="1" applyAlignment="1">
      <alignment horizontal="left" vertical="center" wrapText="1"/>
    </xf>
    <xf numFmtId="0" fontId="37" fillId="25" borderId="16" xfId="0" applyFont="1" applyFill="1" applyBorder="1" applyAlignment="1">
      <alignment horizontal="left" vertical="center" wrapText="1"/>
    </xf>
    <xf numFmtId="0" fontId="37" fillId="25" borderId="20" xfId="0" applyFont="1" applyFill="1" applyBorder="1" applyAlignment="1">
      <alignment horizontal="left" vertical="center" wrapText="1"/>
    </xf>
    <xf numFmtId="0" fontId="37" fillId="25" borderId="12" xfId="0" applyFont="1" applyFill="1" applyBorder="1" applyAlignment="1">
      <alignment horizontal="left" vertical="center" wrapText="1"/>
    </xf>
    <xf numFmtId="0" fontId="37" fillId="25" borderId="23" xfId="0" applyFont="1" applyFill="1" applyBorder="1" applyAlignment="1">
      <alignment horizontal="left" vertical="center" wrapText="1"/>
    </xf>
    <xf numFmtId="0" fontId="37" fillId="25" borderId="21" xfId="0" applyFont="1" applyFill="1" applyBorder="1" applyAlignment="1">
      <alignment horizontal="left" vertical="center" wrapText="1"/>
    </xf>
    <xf numFmtId="0" fontId="37" fillId="25" borderId="11" xfId="0" applyFont="1" applyFill="1" applyBorder="1" applyAlignment="1">
      <alignment horizontal="left" vertical="center" wrapText="1"/>
    </xf>
    <xf numFmtId="0" fontId="37" fillId="25" borderId="22" xfId="0" applyFont="1" applyFill="1" applyBorder="1" applyAlignment="1">
      <alignment horizontal="left" vertical="center" wrapText="1"/>
    </xf>
    <xf numFmtId="0" fontId="37" fillId="25" borderId="18" xfId="0" applyFont="1" applyFill="1" applyBorder="1" applyAlignment="1">
      <alignment horizontal="left" vertical="center" wrapText="1"/>
    </xf>
    <xf numFmtId="0" fontId="41" fillId="24" borderId="16" xfId="1" applyFont="1" applyFill="1" applyBorder="1" applyAlignment="1">
      <alignment horizontal="left" vertical="center" wrapText="1"/>
    </xf>
    <xf numFmtId="0" fontId="41" fillId="24" borderId="23" xfId="1" applyFont="1" applyFill="1" applyBorder="1" applyAlignment="1">
      <alignment horizontal="left" vertical="center" wrapText="1"/>
    </xf>
    <xf numFmtId="0" fontId="41" fillId="24" borderId="21" xfId="1" applyFont="1" applyFill="1" applyBorder="1" applyAlignment="1">
      <alignment horizontal="left" vertical="center" wrapText="1"/>
    </xf>
    <xf numFmtId="0" fontId="41" fillId="24" borderId="16" xfId="1" applyFont="1" applyFill="1" applyBorder="1" applyAlignment="1">
      <alignment horizontal="left" vertical="center"/>
    </xf>
    <xf numFmtId="0" fontId="41" fillId="24" borderId="23" xfId="1" applyFont="1" applyFill="1" applyBorder="1" applyAlignment="1">
      <alignment horizontal="left" vertical="center"/>
    </xf>
    <xf numFmtId="0" fontId="41" fillId="24" borderId="21" xfId="1" applyFont="1" applyFill="1" applyBorder="1" applyAlignment="1">
      <alignment horizontal="left" vertical="center"/>
    </xf>
    <xf numFmtId="0" fontId="37" fillId="25" borderId="13" xfId="0" applyFont="1" applyFill="1" applyBorder="1" applyAlignment="1">
      <alignment horizontal="left" vertical="center" wrapText="1"/>
    </xf>
    <xf numFmtId="0" fontId="37" fillId="26" borderId="11" xfId="0" applyFont="1" applyFill="1" applyBorder="1" applyAlignment="1">
      <alignment horizontal="left" vertical="center" wrapText="1"/>
    </xf>
    <xf numFmtId="0" fontId="37" fillId="26" borderId="22" xfId="0" applyFont="1" applyFill="1" applyBorder="1" applyAlignment="1">
      <alignment horizontal="left" vertical="center" wrapText="1"/>
    </xf>
    <xf numFmtId="0" fontId="37" fillId="26" borderId="16" xfId="0" applyFont="1" applyFill="1" applyBorder="1" applyAlignment="1">
      <alignment horizontal="left" vertical="center" wrapText="1"/>
    </xf>
    <xf numFmtId="0" fontId="37" fillId="26" borderId="23" xfId="0" applyFont="1" applyFill="1" applyBorder="1" applyAlignment="1">
      <alignment horizontal="left" vertical="center" wrapText="1"/>
    </xf>
    <xf numFmtId="0" fontId="37" fillId="27" borderId="11" xfId="0" applyFont="1" applyFill="1" applyBorder="1" applyAlignment="1">
      <alignment horizontal="left" vertical="center" wrapText="1"/>
    </xf>
    <xf numFmtId="0" fontId="37" fillId="27" borderId="12" xfId="0" applyFont="1" applyFill="1" applyBorder="1" applyAlignment="1">
      <alignment horizontal="left" vertical="center" wrapText="1"/>
    </xf>
    <xf numFmtId="0" fontId="37" fillId="27" borderId="22" xfId="0" applyFont="1" applyFill="1" applyBorder="1" applyAlignment="1">
      <alignment horizontal="left" vertical="center" wrapText="1"/>
    </xf>
    <xf numFmtId="0" fontId="37" fillId="27" borderId="18" xfId="0" applyFont="1" applyFill="1" applyBorder="1" applyAlignment="1">
      <alignment horizontal="left" vertical="center" wrapText="1"/>
    </xf>
    <xf numFmtId="0" fontId="37" fillId="0" borderId="11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left" vertical="center" wrapText="1"/>
    </xf>
    <xf numFmtId="0" fontId="37" fillId="0" borderId="18" xfId="0" applyFont="1" applyFill="1" applyBorder="1" applyAlignment="1">
      <alignment horizontal="left" vertical="center" wrapText="1"/>
    </xf>
    <xf numFmtId="0" fontId="37" fillId="0" borderId="13" xfId="0" applyFont="1" applyFill="1" applyBorder="1" applyAlignment="1">
      <alignment horizontal="left" vertical="center" wrapText="1"/>
    </xf>
    <xf numFmtId="0" fontId="37" fillId="0" borderId="14" xfId="0" applyFont="1" applyFill="1" applyBorder="1" applyAlignment="1">
      <alignment horizontal="left" vertical="center" wrapText="1"/>
    </xf>
    <xf numFmtId="0" fontId="37" fillId="30" borderId="19" xfId="0" applyFont="1" applyFill="1" applyBorder="1" applyAlignment="1">
      <alignment horizontal="left" vertical="center" wrapText="1"/>
    </xf>
    <xf numFmtId="0" fontId="37" fillId="30" borderId="20" xfId="0" applyFont="1" applyFill="1" applyBorder="1" applyAlignment="1">
      <alignment horizontal="left" vertical="center" wrapText="1"/>
    </xf>
    <xf numFmtId="0" fontId="37" fillId="24" borderId="10" xfId="0" applyFont="1" applyFill="1" applyBorder="1" applyAlignment="1">
      <alignment horizontal="left" vertical="center" wrapText="1"/>
    </xf>
    <xf numFmtId="0" fontId="37" fillId="30" borderId="10" xfId="0" applyFont="1" applyFill="1" applyBorder="1" applyAlignment="1">
      <alignment horizontal="left" vertical="center" wrapText="1"/>
    </xf>
    <xf numFmtId="0" fontId="37" fillId="24" borderId="10" xfId="0" applyFont="1" applyFill="1" applyBorder="1" applyAlignment="1">
      <alignment horizontal="left" wrapText="1"/>
    </xf>
    <xf numFmtId="0" fontId="37" fillId="24" borderId="11" xfId="0" applyFont="1" applyFill="1" applyBorder="1" applyAlignment="1">
      <alignment horizontal="left" vertical="center" wrapText="1"/>
    </xf>
    <xf numFmtId="0" fontId="37" fillId="24" borderId="12" xfId="0" applyFont="1" applyFill="1" applyBorder="1" applyAlignment="1">
      <alignment horizontal="left" vertical="center" wrapText="1"/>
    </xf>
    <xf numFmtId="0" fontId="37" fillId="24" borderId="22" xfId="0" applyFont="1" applyFill="1" applyBorder="1" applyAlignment="1">
      <alignment horizontal="left" vertical="center" wrapText="1"/>
    </xf>
    <xf numFmtId="0" fontId="37" fillId="24" borderId="18" xfId="0" applyFont="1" applyFill="1" applyBorder="1" applyAlignment="1">
      <alignment horizontal="left" vertical="center" wrapText="1"/>
    </xf>
    <xf numFmtId="0" fontId="37" fillId="24" borderId="13" xfId="0" applyFont="1" applyFill="1" applyBorder="1" applyAlignment="1">
      <alignment horizontal="left" vertical="center" wrapText="1"/>
    </xf>
    <xf numFmtId="0" fontId="37" fillId="24" borderId="14" xfId="0" applyFont="1" applyFill="1" applyBorder="1" applyAlignment="1">
      <alignment horizontal="left" vertical="center" wrapText="1"/>
    </xf>
    <xf numFmtId="0" fontId="28" fillId="26" borderId="21" xfId="0" applyFont="1" applyFill="1" applyBorder="1" applyAlignment="1">
      <alignment horizontal="left" vertical="center" wrapText="1"/>
    </xf>
    <xf numFmtId="0" fontId="28" fillId="26" borderId="10" xfId="0" applyFont="1" applyFill="1" applyBorder="1" applyAlignment="1">
      <alignment horizontal="left" vertical="center" wrapText="1"/>
    </xf>
    <xf numFmtId="0" fontId="29" fillId="22" borderId="0" xfId="1" applyFont="1" applyFill="1" applyAlignment="1">
      <alignment horizontal="center" vertical="center" wrapText="1"/>
    </xf>
    <xf numFmtId="0" fontId="28" fillId="25" borderId="10" xfId="0" applyFont="1" applyFill="1" applyBorder="1" applyAlignment="1">
      <alignment horizontal="left" vertical="center" wrapText="1"/>
    </xf>
    <xf numFmtId="0" fontId="28" fillId="25" borderId="19" xfId="0" applyFont="1" applyFill="1" applyBorder="1" applyAlignment="1">
      <alignment horizontal="left" vertical="center" wrapText="1"/>
    </xf>
    <xf numFmtId="0" fontId="28" fillId="25" borderId="16" xfId="0" applyFont="1" applyFill="1" applyBorder="1" applyAlignment="1">
      <alignment horizontal="left" vertical="center" wrapText="1"/>
    </xf>
    <xf numFmtId="0" fontId="28" fillId="25" borderId="20" xfId="0" applyFont="1" applyFill="1" applyBorder="1" applyAlignment="1">
      <alignment horizontal="left" vertical="center" wrapText="1"/>
    </xf>
    <xf numFmtId="0" fontId="28" fillId="25" borderId="12" xfId="0" applyFont="1" applyFill="1" applyBorder="1" applyAlignment="1">
      <alignment horizontal="left" vertical="center" wrapText="1"/>
    </xf>
    <xf numFmtId="0" fontId="28" fillId="25" borderId="23" xfId="0" applyFont="1" applyFill="1" applyBorder="1" applyAlignment="1">
      <alignment horizontal="left" vertical="center" wrapText="1"/>
    </xf>
    <xf numFmtId="0" fontId="28" fillId="25" borderId="21" xfId="0" applyFont="1" applyFill="1" applyBorder="1" applyAlignment="1">
      <alignment horizontal="left" vertical="center" wrapText="1"/>
    </xf>
    <xf numFmtId="0" fontId="28" fillId="25" borderId="11" xfId="0" applyFont="1" applyFill="1" applyBorder="1" applyAlignment="1">
      <alignment horizontal="left" vertical="center" wrapText="1"/>
    </xf>
    <xf numFmtId="0" fontId="28" fillId="25" borderId="22" xfId="0" applyFont="1" applyFill="1" applyBorder="1" applyAlignment="1">
      <alignment horizontal="left" vertical="center" wrapText="1"/>
    </xf>
    <xf numFmtId="0" fontId="28" fillId="25" borderId="18" xfId="0" applyFont="1" applyFill="1" applyBorder="1" applyAlignment="1">
      <alignment horizontal="left" vertical="center" wrapText="1"/>
    </xf>
    <xf numFmtId="0" fontId="32" fillId="24" borderId="16" xfId="1" applyFont="1" applyFill="1" applyBorder="1" applyAlignment="1">
      <alignment horizontal="left" vertical="center" wrapText="1"/>
    </xf>
    <xf numFmtId="0" fontId="32" fillId="24" borderId="23" xfId="1" applyFont="1" applyFill="1" applyBorder="1" applyAlignment="1">
      <alignment horizontal="left" vertical="center" wrapText="1"/>
    </xf>
    <xf numFmtId="0" fontId="32" fillId="24" borderId="21" xfId="1" applyFont="1" applyFill="1" applyBorder="1" applyAlignment="1">
      <alignment horizontal="left" vertical="center" wrapText="1"/>
    </xf>
    <xf numFmtId="0" fontId="32" fillId="24" borderId="16" xfId="1" applyFont="1" applyFill="1" applyBorder="1" applyAlignment="1">
      <alignment horizontal="left" vertical="center"/>
    </xf>
    <xf numFmtId="0" fontId="32" fillId="24" borderId="23" xfId="1" applyFont="1" applyFill="1" applyBorder="1" applyAlignment="1">
      <alignment horizontal="left" vertical="center"/>
    </xf>
    <xf numFmtId="0" fontId="32" fillId="24" borderId="21" xfId="1" applyFont="1" applyFill="1" applyBorder="1" applyAlignment="1">
      <alignment horizontal="left" vertical="center"/>
    </xf>
    <xf numFmtId="0" fontId="28" fillId="25" borderId="13" xfId="0" applyFont="1" applyFill="1" applyBorder="1" applyAlignment="1">
      <alignment horizontal="left" vertical="center" wrapText="1"/>
    </xf>
    <xf numFmtId="0" fontId="28" fillId="26" borderId="11" xfId="0" applyFont="1" applyFill="1" applyBorder="1" applyAlignment="1">
      <alignment horizontal="left" vertical="center" wrapText="1"/>
    </xf>
    <xf numFmtId="0" fontId="28" fillId="26" borderId="22" xfId="0" applyFont="1" applyFill="1" applyBorder="1" applyAlignment="1">
      <alignment horizontal="left" vertical="center" wrapText="1"/>
    </xf>
    <xf numFmtId="0" fontId="28" fillId="26" borderId="16" xfId="0" applyFont="1" applyFill="1" applyBorder="1" applyAlignment="1">
      <alignment horizontal="left" vertical="center" wrapText="1"/>
    </xf>
    <xf numFmtId="0" fontId="28" fillId="26" borderId="23" xfId="0" applyFont="1" applyFill="1" applyBorder="1" applyAlignment="1">
      <alignment horizontal="left" vertical="center" wrapText="1"/>
    </xf>
    <xf numFmtId="0" fontId="28" fillId="27" borderId="11" xfId="0" applyFont="1" applyFill="1" applyBorder="1" applyAlignment="1">
      <alignment horizontal="left" vertical="center" wrapText="1"/>
    </xf>
    <xf numFmtId="0" fontId="28" fillId="27" borderId="12" xfId="0" applyFont="1" applyFill="1" applyBorder="1" applyAlignment="1">
      <alignment horizontal="left" vertical="center" wrapText="1"/>
    </xf>
    <xf numFmtId="0" fontId="28" fillId="27" borderId="22" xfId="0" applyFont="1" applyFill="1" applyBorder="1" applyAlignment="1">
      <alignment horizontal="left" vertical="center" wrapText="1"/>
    </xf>
    <xf numFmtId="0" fontId="28" fillId="27" borderId="18" xfId="0" applyFont="1" applyFill="1" applyBorder="1" applyAlignment="1">
      <alignment horizontal="left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wrapText="1"/>
    </xf>
    <xf numFmtId="0" fontId="28" fillId="0" borderId="22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28" fillId="30" borderId="19" xfId="0" applyFont="1" applyFill="1" applyBorder="1" applyAlignment="1">
      <alignment horizontal="left" vertical="center" wrapText="1"/>
    </xf>
    <xf numFmtId="0" fontId="28" fillId="30" borderId="20" xfId="0" applyFont="1" applyFill="1" applyBorder="1" applyAlignment="1">
      <alignment horizontal="left" vertical="center" wrapText="1"/>
    </xf>
    <xf numFmtId="0" fontId="28" fillId="24" borderId="10" xfId="0" applyFont="1" applyFill="1" applyBorder="1" applyAlignment="1">
      <alignment horizontal="left" vertical="center" wrapText="1"/>
    </xf>
    <xf numFmtId="0" fontId="28" fillId="30" borderId="10" xfId="0" applyFont="1" applyFill="1" applyBorder="1" applyAlignment="1">
      <alignment horizontal="left" vertical="center" wrapText="1"/>
    </xf>
    <xf numFmtId="0" fontId="28" fillId="24" borderId="10" xfId="0" applyFont="1" applyFill="1" applyBorder="1" applyAlignment="1">
      <alignment horizontal="left" wrapText="1"/>
    </xf>
    <xf numFmtId="0" fontId="51" fillId="0" borderId="10" xfId="0" applyFont="1" applyBorder="1" applyAlignment="1">
      <alignment horizontal="center"/>
    </xf>
    <xf numFmtId="0" fontId="46" fillId="24" borderId="21" xfId="0" applyFont="1" applyFill="1" applyBorder="1" applyAlignment="1">
      <alignment horizontal="center" vertical="center" wrapText="1"/>
    </xf>
    <xf numFmtId="0" fontId="46" fillId="34" borderId="20" xfId="0" applyFont="1" applyFill="1" applyBorder="1" applyAlignment="1">
      <alignment horizontal="left" vertical="center" wrapText="1"/>
    </xf>
    <xf numFmtId="0" fontId="46" fillId="34" borderId="12" xfId="0" applyFont="1" applyFill="1" applyBorder="1" applyAlignment="1">
      <alignment horizontal="left" vertical="center" wrapText="1"/>
    </xf>
    <xf numFmtId="0" fontId="46" fillId="34" borderId="16" xfId="0" applyFont="1" applyFill="1" applyBorder="1" applyAlignment="1">
      <alignment horizontal="left" vertical="center" wrapText="1"/>
    </xf>
    <xf numFmtId="0" fontId="46" fillId="34" borderId="23" xfId="0" applyFont="1" applyFill="1" applyBorder="1" applyAlignment="1">
      <alignment horizontal="left" vertical="center" wrapText="1"/>
    </xf>
    <xf numFmtId="0" fontId="46" fillId="34" borderId="21" xfId="0" applyFont="1" applyFill="1" applyBorder="1" applyAlignment="1">
      <alignment horizontal="left" vertical="center" wrapText="1"/>
    </xf>
    <xf numFmtId="0" fontId="46" fillId="30" borderId="16" xfId="0" applyFont="1" applyFill="1" applyBorder="1" applyAlignment="1">
      <alignment horizontal="left" vertical="center" wrapText="1"/>
    </xf>
    <xf numFmtId="0" fontId="46" fillId="30" borderId="23" xfId="0" applyFont="1" applyFill="1" applyBorder="1" applyAlignment="1">
      <alignment horizontal="left" vertical="center" wrapText="1"/>
    </xf>
    <xf numFmtId="0" fontId="46" fillId="30" borderId="21" xfId="0" applyFont="1" applyFill="1" applyBorder="1" applyAlignment="1">
      <alignment horizontal="left" vertical="center" wrapText="1"/>
    </xf>
    <xf numFmtId="0" fontId="45" fillId="24" borderId="16" xfId="1" applyFont="1" applyFill="1" applyBorder="1" applyAlignment="1">
      <alignment horizontal="left" vertical="center" wrapText="1"/>
    </xf>
    <xf numFmtId="0" fontId="45" fillId="24" borderId="21" xfId="1" applyFont="1" applyFill="1" applyBorder="1" applyAlignment="1">
      <alignment horizontal="left" vertical="center" wrapText="1"/>
    </xf>
    <xf numFmtId="0" fontId="45" fillId="24" borderId="16" xfId="1" applyFont="1" applyFill="1" applyBorder="1" applyAlignment="1">
      <alignment horizontal="left" vertical="center"/>
    </xf>
    <xf numFmtId="0" fontId="45" fillId="24" borderId="23" xfId="1" applyFont="1" applyFill="1" applyBorder="1" applyAlignment="1">
      <alignment horizontal="left" vertical="center"/>
    </xf>
    <xf numFmtId="0" fontId="45" fillId="24" borderId="21" xfId="1" applyFont="1" applyFill="1" applyBorder="1" applyAlignment="1">
      <alignment horizontal="left" vertical="center"/>
    </xf>
    <xf numFmtId="0" fontId="46" fillId="27" borderId="11" xfId="0" applyFont="1" applyFill="1" applyBorder="1" applyAlignment="1">
      <alignment horizontal="left" vertical="center" wrapText="1"/>
    </xf>
    <xf numFmtId="0" fontId="46" fillId="27" borderId="12" xfId="0" applyFont="1" applyFill="1" applyBorder="1" applyAlignment="1">
      <alignment horizontal="left" vertical="center" wrapText="1"/>
    </xf>
    <xf numFmtId="0" fontId="46" fillId="27" borderId="22" xfId="0" applyFont="1" applyFill="1" applyBorder="1" applyAlignment="1">
      <alignment horizontal="left" vertical="center" wrapText="1"/>
    </xf>
    <xf numFmtId="0" fontId="46" fillId="27" borderId="18" xfId="0" applyFont="1" applyFill="1" applyBorder="1" applyAlignment="1">
      <alignment horizontal="left" vertical="center" wrapText="1"/>
    </xf>
    <xf numFmtId="0" fontId="46" fillId="0" borderId="11" xfId="0" applyFont="1" applyFill="1" applyBorder="1" applyAlignment="1">
      <alignment horizontal="left" vertical="center" wrapText="1"/>
    </xf>
    <xf numFmtId="0" fontId="46" fillId="0" borderId="12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46" fillId="0" borderId="18" xfId="0" applyFont="1" applyFill="1" applyBorder="1" applyAlignment="1">
      <alignment horizontal="left" vertical="center" wrapText="1"/>
    </xf>
    <xf numFmtId="0" fontId="46" fillId="0" borderId="13" xfId="0" applyFont="1" applyFill="1" applyBorder="1" applyAlignment="1">
      <alignment horizontal="left" vertical="center" wrapText="1"/>
    </xf>
    <xf numFmtId="0" fontId="46" fillId="0" borderId="14" xfId="0" applyFont="1" applyFill="1" applyBorder="1" applyAlignment="1">
      <alignment horizontal="left" vertical="center" wrapText="1"/>
    </xf>
    <xf numFmtId="0" fontId="46" fillId="30" borderId="19" xfId="0" applyFont="1" applyFill="1" applyBorder="1" applyAlignment="1">
      <alignment horizontal="left" vertical="center" wrapText="1"/>
    </xf>
    <xf numFmtId="0" fontId="46" fillId="30" borderId="20" xfId="0" applyFont="1" applyFill="1" applyBorder="1" applyAlignment="1">
      <alignment horizontal="left" vertical="center" wrapText="1"/>
    </xf>
    <xf numFmtId="0" fontId="46" fillId="30" borderId="10" xfId="0" applyFont="1" applyFill="1" applyBorder="1" applyAlignment="1">
      <alignment horizontal="left" vertical="center" wrapText="1"/>
    </xf>
  </cellXfs>
  <cellStyles count="55">
    <cellStyle name="_CPU_Approach Paper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54" builtinId="3"/>
    <cellStyle name="Comma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3" xfId="41"/>
    <cellStyle name="Normal 3 2" xfId="52"/>
    <cellStyle name="Normal 4" xfId="1"/>
    <cellStyle name="Normal_WEP_TREE" xfId="42"/>
    <cellStyle name="Normal-Big" xfId="43"/>
    <cellStyle name="Note 2" xfId="44"/>
    <cellStyle name="Output 2" xfId="45"/>
    <cellStyle name="Percent" xfId="53" builtinId="5"/>
    <cellStyle name="Percent 2" xfId="47"/>
    <cellStyle name="Percent 3" xfId="46"/>
    <cellStyle name="Style 1" xfId="48"/>
    <cellStyle name="Title 2" xfId="49"/>
    <cellStyle name="Total 2" xfId="50"/>
    <cellStyle name="Warning Text 2" xfId="51"/>
  </cellStyles>
  <dxfs count="0"/>
  <tableStyles count="0" defaultTableStyle="TableStyleMedium9" defaultPivotStyle="PivotStyleLight16"/>
  <colors>
    <mruColors>
      <color rgb="FFCCCCFF"/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9524</xdr:rowOff>
    </xdr:from>
    <xdr:to>
      <xdr:col>2</xdr:col>
      <xdr:colOff>295275</xdr:colOff>
      <xdr:row>13</xdr:row>
      <xdr:rowOff>161924</xdr:rowOff>
    </xdr:to>
    <xdr:sp macro="" textlink="">
      <xdr:nvSpPr>
        <xdr:cNvPr id="2" name="Rectangle 1"/>
        <xdr:cNvSpPr/>
      </xdr:nvSpPr>
      <xdr:spPr>
        <a:xfrm>
          <a:off x="104775" y="390524"/>
          <a:ext cx="1409700" cy="14001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FINANCIAL</a:t>
          </a:r>
        </a:p>
      </xdr:txBody>
    </xdr:sp>
    <xdr:clientData/>
  </xdr:twoCellAnchor>
  <xdr:twoCellAnchor>
    <xdr:from>
      <xdr:col>2</xdr:col>
      <xdr:colOff>609599</xdr:colOff>
      <xdr:row>6</xdr:row>
      <xdr:rowOff>95250</xdr:rowOff>
    </xdr:from>
    <xdr:to>
      <xdr:col>10</xdr:col>
      <xdr:colOff>371475</xdr:colOff>
      <xdr:row>9</xdr:row>
      <xdr:rowOff>66675</xdr:rowOff>
    </xdr:to>
    <xdr:sp macro="" textlink="">
      <xdr:nvSpPr>
        <xdr:cNvPr id="3" name="Rectangle 2"/>
        <xdr:cNvSpPr/>
      </xdr:nvSpPr>
      <xdr:spPr>
        <a:xfrm>
          <a:off x="1828799" y="476250"/>
          <a:ext cx="4638676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50" b="1"/>
            <a:t>Total Realized Collection</a:t>
          </a:r>
          <a:r>
            <a:rPr lang="en-IN" sz="1050" b="1" baseline="0"/>
            <a:t> </a:t>
          </a:r>
        </a:p>
        <a:p>
          <a:pPr algn="ctr"/>
          <a:r>
            <a:rPr lang="en-IN" sz="1050" b="1" baseline="0"/>
            <a:t>( quarter on quarter and Y-o-Y differential )</a:t>
          </a:r>
          <a:endParaRPr lang="en-IN" sz="1050" b="1"/>
        </a:p>
      </xdr:txBody>
    </xdr:sp>
    <xdr:clientData/>
  </xdr:twoCellAnchor>
  <xdr:twoCellAnchor>
    <xdr:from>
      <xdr:col>2</xdr:col>
      <xdr:colOff>590550</xdr:colOff>
      <xdr:row>11</xdr:row>
      <xdr:rowOff>85725</xdr:rowOff>
    </xdr:from>
    <xdr:to>
      <xdr:col>5</xdr:col>
      <xdr:colOff>171450</xdr:colOff>
      <xdr:row>13</xdr:row>
      <xdr:rowOff>161925</xdr:rowOff>
    </xdr:to>
    <xdr:sp macro="" textlink="">
      <xdr:nvSpPr>
        <xdr:cNvPr id="4" name="Rectangle 3"/>
        <xdr:cNvSpPr/>
      </xdr:nvSpPr>
      <xdr:spPr>
        <a:xfrm>
          <a:off x="180975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Corpus to Non-Corpus</a:t>
          </a:r>
        </a:p>
      </xdr:txBody>
    </xdr:sp>
    <xdr:clientData/>
  </xdr:twoCellAnchor>
  <xdr:twoCellAnchor>
    <xdr:from>
      <xdr:col>5</xdr:col>
      <xdr:colOff>400050</xdr:colOff>
      <xdr:row>11</xdr:row>
      <xdr:rowOff>85725</xdr:rowOff>
    </xdr:from>
    <xdr:to>
      <xdr:col>7</xdr:col>
      <xdr:colOff>590550</xdr:colOff>
      <xdr:row>13</xdr:row>
      <xdr:rowOff>161925</xdr:rowOff>
    </xdr:to>
    <xdr:sp macro="" textlink="">
      <xdr:nvSpPr>
        <xdr:cNvPr id="5" name="Rectangle 4"/>
        <xdr:cNvSpPr/>
      </xdr:nvSpPr>
      <xdr:spPr>
        <a:xfrm>
          <a:off x="344805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Number</a:t>
          </a:r>
          <a:r>
            <a:rPr lang="en-IN" sz="1000" b="1" baseline="0"/>
            <a:t> of fresh enrolment &amp; value</a:t>
          </a:r>
          <a:endParaRPr lang="en-IN" sz="1000" b="1"/>
        </a:p>
      </xdr:txBody>
    </xdr:sp>
    <xdr:clientData/>
  </xdr:twoCellAnchor>
  <xdr:twoCellAnchor>
    <xdr:from>
      <xdr:col>8</xdr:col>
      <xdr:colOff>190500</xdr:colOff>
      <xdr:row>11</xdr:row>
      <xdr:rowOff>85725</xdr:rowOff>
    </xdr:from>
    <xdr:to>
      <xdr:col>10</xdr:col>
      <xdr:colOff>381000</xdr:colOff>
      <xdr:row>13</xdr:row>
      <xdr:rowOff>161925</xdr:rowOff>
    </xdr:to>
    <xdr:sp macro="" textlink="">
      <xdr:nvSpPr>
        <xdr:cNvPr id="6" name="Rectangle 5"/>
        <xdr:cNvSpPr/>
      </xdr:nvSpPr>
      <xdr:spPr>
        <a:xfrm>
          <a:off x="506730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of Renewals</a:t>
          </a:r>
          <a:r>
            <a:rPr lang="en-IN" sz="1000" b="1" baseline="0"/>
            <a:t> &amp; value</a:t>
          </a:r>
          <a:endParaRPr lang="en-IN" sz="1000" b="1"/>
        </a:p>
      </xdr:txBody>
    </xdr:sp>
    <xdr:clientData/>
  </xdr:twoCellAnchor>
  <xdr:twoCellAnchor>
    <xdr:from>
      <xdr:col>0</xdr:col>
      <xdr:colOff>114300</xdr:colOff>
      <xdr:row>15</xdr:row>
      <xdr:rowOff>19050</xdr:rowOff>
    </xdr:from>
    <xdr:to>
      <xdr:col>2</xdr:col>
      <xdr:colOff>304800</xdr:colOff>
      <xdr:row>20</xdr:row>
      <xdr:rowOff>180975</xdr:rowOff>
    </xdr:to>
    <xdr:sp macro="" textlink="">
      <xdr:nvSpPr>
        <xdr:cNvPr id="7" name="Rectangle 6"/>
        <xdr:cNvSpPr/>
      </xdr:nvSpPr>
      <xdr:spPr>
        <a:xfrm>
          <a:off x="114300" y="2790825"/>
          <a:ext cx="1409700" cy="1047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DONOR, RESOURCE &amp; PORTFOLIO</a:t>
          </a:r>
        </a:p>
      </xdr:txBody>
    </xdr:sp>
    <xdr:clientData/>
  </xdr:twoCellAnchor>
  <xdr:twoCellAnchor>
    <xdr:from>
      <xdr:col>8</xdr:col>
      <xdr:colOff>28574</xdr:colOff>
      <xdr:row>16</xdr:row>
      <xdr:rowOff>190499</xdr:rowOff>
    </xdr:from>
    <xdr:to>
      <xdr:col>10</xdr:col>
      <xdr:colOff>19049</xdr:colOff>
      <xdr:row>20</xdr:row>
      <xdr:rowOff>104774</xdr:rowOff>
    </xdr:to>
    <xdr:sp macro="" textlink="">
      <xdr:nvSpPr>
        <xdr:cNvPr id="8" name="Rectangle 7"/>
        <xdr:cNvSpPr/>
      </xdr:nvSpPr>
      <xdr:spPr>
        <a:xfrm>
          <a:off x="4905374" y="3086099"/>
          <a:ext cx="1209675" cy="67627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Major: Minor Contributors</a:t>
          </a:r>
        </a:p>
      </xdr:txBody>
    </xdr:sp>
    <xdr:clientData/>
  </xdr:twoCellAnchor>
  <xdr:twoCellAnchor>
    <xdr:from>
      <xdr:col>10</xdr:col>
      <xdr:colOff>104775</xdr:colOff>
      <xdr:row>17</xdr:row>
      <xdr:rowOff>0</xdr:rowOff>
    </xdr:from>
    <xdr:to>
      <xdr:col>12</xdr:col>
      <xdr:colOff>66675</xdr:colOff>
      <xdr:row>20</xdr:row>
      <xdr:rowOff>95250</xdr:rowOff>
    </xdr:to>
    <xdr:sp macro="" textlink="">
      <xdr:nvSpPr>
        <xdr:cNvPr id="9" name="Rectangle 8"/>
        <xdr:cNvSpPr/>
      </xdr:nvSpPr>
      <xdr:spPr>
        <a:xfrm>
          <a:off x="6200775" y="3086100"/>
          <a:ext cx="1181100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Attrition Rate</a:t>
          </a:r>
        </a:p>
      </xdr:txBody>
    </xdr:sp>
    <xdr:clientData/>
  </xdr:twoCellAnchor>
  <xdr:twoCellAnchor>
    <xdr:from>
      <xdr:col>12</xdr:col>
      <xdr:colOff>152400</xdr:colOff>
      <xdr:row>17</xdr:row>
      <xdr:rowOff>0</xdr:rowOff>
    </xdr:from>
    <xdr:to>
      <xdr:col>14</xdr:col>
      <xdr:colOff>123825</xdr:colOff>
      <xdr:row>20</xdr:row>
      <xdr:rowOff>95250</xdr:rowOff>
    </xdr:to>
    <xdr:sp macro="" textlink="">
      <xdr:nvSpPr>
        <xdr:cNvPr id="10" name="Rectangle 9"/>
        <xdr:cNvSpPr/>
      </xdr:nvSpPr>
      <xdr:spPr>
        <a:xfrm>
          <a:off x="7467600" y="3086100"/>
          <a:ext cx="1190625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&amp; Value of Upgradation</a:t>
          </a:r>
        </a:p>
      </xdr:txBody>
    </xdr:sp>
    <xdr:clientData/>
  </xdr:twoCellAnchor>
  <xdr:twoCellAnchor>
    <xdr:from>
      <xdr:col>8</xdr:col>
      <xdr:colOff>38100</xdr:colOff>
      <xdr:row>15</xdr:row>
      <xdr:rowOff>19051</xdr:rowOff>
    </xdr:from>
    <xdr:to>
      <xdr:col>14</xdr:col>
      <xdr:colOff>104776</xdr:colOff>
      <xdr:row>16</xdr:row>
      <xdr:rowOff>152400</xdr:rowOff>
    </xdr:to>
    <xdr:sp macro="" textlink="">
      <xdr:nvSpPr>
        <xdr:cNvPr id="14" name="Rectangle 13"/>
        <xdr:cNvSpPr/>
      </xdr:nvSpPr>
      <xdr:spPr>
        <a:xfrm>
          <a:off x="4914900" y="2790826"/>
          <a:ext cx="3724276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Donor Cultivation</a:t>
          </a:r>
        </a:p>
      </xdr:txBody>
    </xdr:sp>
    <xdr:clientData/>
  </xdr:twoCellAnchor>
  <xdr:twoCellAnchor>
    <xdr:from>
      <xdr:col>2</xdr:col>
      <xdr:colOff>590549</xdr:colOff>
      <xdr:row>10</xdr:row>
      <xdr:rowOff>19050</xdr:rowOff>
    </xdr:from>
    <xdr:to>
      <xdr:col>10</xdr:col>
      <xdr:colOff>409574</xdr:colOff>
      <xdr:row>11</xdr:row>
      <xdr:rowOff>38100</xdr:rowOff>
    </xdr:to>
    <xdr:sp macro="" textlink="">
      <xdr:nvSpPr>
        <xdr:cNvPr id="16" name="Rectangle 15"/>
        <xdr:cNvSpPr/>
      </xdr:nvSpPr>
      <xdr:spPr>
        <a:xfrm>
          <a:off x="1809749" y="1076325"/>
          <a:ext cx="4695825" cy="2095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Collection Split</a:t>
          </a:r>
        </a:p>
      </xdr:txBody>
    </xdr:sp>
    <xdr:clientData/>
  </xdr:twoCellAnchor>
  <xdr:twoCellAnchor>
    <xdr:from>
      <xdr:col>0</xdr:col>
      <xdr:colOff>123825</xdr:colOff>
      <xdr:row>22</xdr:row>
      <xdr:rowOff>9525</xdr:rowOff>
    </xdr:from>
    <xdr:to>
      <xdr:col>2</xdr:col>
      <xdr:colOff>314325</xdr:colOff>
      <xdr:row>27</xdr:row>
      <xdr:rowOff>19050</xdr:rowOff>
    </xdr:to>
    <xdr:sp macro="" textlink="">
      <xdr:nvSpPr>
        <xdr:cNvPr id="18" name="Rectangle 17"/>
        <xdr:cNvSpPr/>
      </xdr:nvSpPr>
      <xdr:spPr>
        <a:xfrm>
          <a:off x="123825" y="3048000"/>
          <a:ext cx="1409700" cy="8858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INTERNAL BUSINESS PROCESS</a:t>
          </a:r>
        </a:p>
      </xdr:txBody>
    </xdr:sp>
    <xdr:clientData/>
  </xdr:twoCellAnchor>
  <xdr:twoCellAnchor>
    <xdr:from>
      <xdr:col>3</xdr:col>
      <xdr:colOff>438150</xdr:colOff>
      <xdr:row>24</xdr:row>
      <xdr:rowOff>0</xdr:rowOff>
    </xdr:from>
    <xdr:to>
      <xdr:col>6</xdr:col>
      <xdr:colOff>19050</xdr:colOff>
      <xdr:row>26</xdr:row>
      <xdr:rowOff>76200</xdr:rowOff>
    </xdr:to>
    <xdr:sp macro="" textlink="">
      <xdr:nvSpPr>
        <xdr:cNvPr id="19" name="Rectangle 18"/>
        <xdr:cNvSpPr/>
      </xdr:nvSpPr>
      <xdr:spPr>
        <a:xfrm>
          <a:off x="2266950" y="4295775"/>
          <a:ext cx="140970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Contact</a:t>
          </a:r>
          <a:r>
            <a:rPr lang="en-IN" sz="1000" b="1" baseline="0"/>
            <a:t> Realization to Contact Ratio</a:t>
          </a:r>
          <a:endParaRPr lang="en-IN" sz="1000" b="1"/>
        </a:p>
      </xdr:txBody>
    </xdr:sp>
    <xdr:clientData/>
  </xdr:twoCellAnchor>
  <xdr:twoCellAnchor>
    <xdr:from>
      <xdr:col>7</xdr:col>
      <xdr:colOff>95250</xdr:colOff>
      <xdr:row>23</xdr:row>
      <xdr:rowOff>180975</xdr:rowOff>
    </xdr:from>
    <xdr:to>
      <xdr:col>8</xdr:col>
      <xdr:colOff>381000</xdr:colOff>
      <xdr:row>26</xdr:row>
      <xdr:rowOff>66675</xdr:rowOff>
    </xdr:to>
    <xdr:sp macro="" textlink="">
      <xdr:nvSpPr>
        <xdr:cNvPr id="21" name="Rectangle 20"/>
        <xdr:cNvSpPr/>
      </xdr:nvSpPr>
      <xdr:spPr>
        <a:xfrm>
          <a:off x="4362450" y="4286250"/>
          <a:ext cx="89535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Profiling</a:t>
          </a:r>
        </a:p>
      </xdr:txBody>
    </xdr:sp>
    <xdr:clientData/>
  </xdr:twoCellAnchor>
  <xdr:twoCellAnchor>
    <xdr:from>
      <xdr:col>10</xdr:col>
      <xdr:colOff>323851</xdr:colOff>
      <xdr:row>23</xdr:row>
      <xdr:rowOff>180975</xdr:rowOff>
    </xdr:from>
    <xdr:to>
      <xdr:col>12</xdr:col>
      <xdr:colOff>28575</xdr:colOff>
      <xdr:row>26</xdr:row>
      <xdr:rowOff>66675</xdr:rowOff>
    </xdr:to>
    <xdr:sp macro="" textlink="">
      <xdr:nvSpPr>
        <xdr:cNvPr id="22" name="Rectangle 21"/>
        <xdr:cNvSpPr/>
      </xdr:nvSpPr>
      <xdr:spPr>
        <a:xfrm>
          <a:off x="6419851" y="4286250"/>
          <a:ext cx="923924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Query Handling</a:t>
          </a:r>
        </a:p>
      </xdr:txBody>
    </xdr:sp>
    <xdr:clientData/>
  </xdr:twoCellAnchor>
  <xdr:twoCellAnchor>
    <xdr:from>
      <xdr:col>3</xdr:col>
      <xdr:colOff>9525</xdr:colOff>
      <xdr:row>22</xdr:row>
      <xdr:rowOff>47625</xdr:rowOff>
    </xdr:from>
    <xdr:to>
      <xdr:col>6</xdr:col>
      <xdr:colOff>514350</xdr:colOff>
      <xdr:row>23</xdr:row>
      <xdr:rowOff>152399</xdr:rowOff>
    </xdr:to>
    <xdr:sp macro="" textlink="">
      <xdr:nvSpPr>
        <xdr:cNvPr id="23" name="Rectangle 22"/>
        <xdr:cNvSpPr/>
      </xdr:nvSpPr>
      <xdr:spPr>
        <a:xfrm>
          <a:off x="1838325" y="4038600"/>
          <a:ext cx="2333625" cy="2190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Opportunity Management</a:t>
          </a:r>
        </a:p>
      </xdr:txBody>
    </xdr:sp>
    <xdr:clientData/>
  </xdr:twoCellAnchor>
  <xdr:twoCellAnchor>
    <xdr:from>
      <xdr:col>7</xdr:col>
      <xdr:colOff>19049</xdr:colOff>
      <xdr:row>22</xdr:row>
      <xdr:rowOff>47625</xdr:rowOff>
    </xdr:from>
    <xdr:to>
      <xdr:col>12</xdr:col>
      <xdr:colOff>47624</xdr:colOff>
      <xdr:row>23</xdr:row>
      <xdr:rowOff>142875</xdr:rowOff>
    </xdr:to>
    <xdr:sp macro="" textlink="">
      <xdr:nvSpPr>
        <xdr:cNvPr id="24" name="Rectangle 23"/>
        <xdr:cNvSpPr/>
      </xdr:nvSpPr>
      <xdr:spPr>
        <a:xfrm>
          <a:off x="4286249" y="4038600"/>
          <a:ext cx="3076575" cy="2095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Donor  Management</a:t>
          </a:r>
        </a:p>
      </xdr:txBody>
    </xdr:sp>
    <xdr:clientData/>
  </xdr:twoCellAnchor>
  <xdr:twoCellAnchor>
    <xdr:from>
      <xdr:col>11</xdr:col>
      <xdr:colOff>9524</xdr:colOff>
      <xdr:row>6</xdr:row>
      <xdr:rowOff>95250</xdr:rowOff>
    </xdr:from>
    <xdr:to>
      <xdr:col>18</xdr:col>
      <xdr:colOff>238125</xdr:colOff>
      <xdr:row>9</xdr:row>
      <xdr:rowOff>47625</xdr:rowOff>
    </xdr:to>
    <xdr:sp macro="" textlink="">
      <xdr:nvSpPr>
        <xdr:cNvPr id="25" name="Rectangle 24"/>
        <xdr:cNvSpPr/>
      </xdr:nvSpPr>
      <xdr:spPr>
        <a:xfrm>
          <a:off x="6715124" y="1238250"/>
          <a:ext cx="4495801" cy="438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Cost of </a:t>
          </a:r>
          <a:r>
            <a:rPr lang="en-IN" sz="1050" b="1" baseline="0"/>
            <a:t>Collection</a:t>
          </a:r>
        </a:p>
      </xdr:txBody>
    </xdr:sp>
    <xdr:clientData/>
  </xdr:twoCellAnchor>
  <xdr:twoCellAnchor>
    <xdr:from>
      <xdr:col>11</xdr:col>
      <xdr:colOff>19050</xdr:colOff>
      <xdr:row>11</xdr:row>
      <xdr:rowOff>85725</xdr:rowOff>
    </xdr:from>
    <xdr:to>
      <xdr:col>13</xdr:col>
      <xdr:colOff>209550</xdr:colOff>
      <xdr:row>13</xdr:row>
      <xdr:rowOff>161925</xdr:rowOff>
    </xdr:to>
    <xdr:sp macro="" textlink="">
      <xdr:nvSpPr>
        <xdr:cNvPr id="26" name="Rectangle 25"/>
        <xdr:cNvSpPr/>
      </xdr:nvSpPr>
      <xdr:spPr>
        <a:xfrm>
          <a:off x="672465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Total Administrative Cost </a:t>
          </a:r>
        </a:p>
      </xdr:txBody>
    </xdr:sp>
    <xdr:clientData/>
  </xdr:twoCellAnchor>
  <xdr:twoCellAnchor>
    <xdr:from>
      <xdr:col>16</xdr:col>
      <xdr:colOff>95250</xdr:colOff>
      <xdr:row>24</xdr:row>
      <xdr:rowOff>0</xdr:rowOff>
    </xdr:from>
    <xdr:to>
      <xdr:col>18</xdr:col>
      <xdr:colOff>285750</xdr:colOff>
      <xdr:row>26</xdr:row>
      <xdr:rowOff>76200</xdr:rowOff>
    </xdr:to>
    <xdr:sp macro="" textlink="">
      <xdr:nvSpPr>
        <xdr:cNvPr id="27" name="Rectangle 26"/>
        <xdr:cNvSpPr/>
      </xdr:nvSpPr>
      <xdr:spPr>
        <a:xfrm>
          <a:off x="9848850" y="4295775"/>
          <a:ext cx="140970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% and number of </a:t>
          </a:r>
          <a:r>
            <a:rPr lang="en-IN" sz="1000" b="1" baseline="0"/>
            <a:t>non-conformance</a:t>
          </a:r>
          <a:endParaRPr lang="en-IN" sz="1000" b="1"/>
        </a:p>
      </xdr:txBody>
    </xdr:sp>
    <xdr:clientData/>
  </xdr:twoCellAnchor>
  <xdr:twoCellAnchor>
    <xdr:from>
      <xdr:col>13</xdr:col>
      <xdr:colOff>342900</xdr:colOff>
      <xdr:row>11</xdr:row>
      <xdr:rowOff>85725</xdr:rowOff>
    </xdr:from>
    <xdr:to>
      <xdr:col>15</xdr:col>
      <xdr:colOff>533400</xdr:colOff>
      <xdr:row>13</xdr:row>
      <xdr:rowOff>161925</xdr:rowOff>
    </xdr:to>
    <xdr:sp macro="" textlink="">
      <xdr:nvSpPr>
        <xdr:cNvPr id="28" name="Rectangle 27"/>
        <xdr:cNvSpPr/>
      </xdr:nvSpPr>
      <xdr:spPr>
        <a:xfrm>
          <a:off x="826770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&amp; Value of uncompleted balance</a:t>
          </a:r>
        </a:p>
      </xdr:txBody>
    </xdr:sp>
    <xdr:clientData/>
  </xdr:twoCellAnchor>
  <xdr:twoCellAnchor>
    <xdr:from>
      <xdr:col>16</xdr:col>
      <xdr:colOff>57150</xdr:colOff>
      <xdr:row>11</xdr:row>
      <xdr:rowOff>76200</xdr:rowOff>
    </xdr:from>
    <xdr:to>
      <xdr:col>18</xdr:col>
      <xdr:colOff>247650</xdr:colOff>
      <xdr:row>13</xdr:row>
      <xdr:rowOff>152400</xdr:rowOff>
    </xdr:to>
    <xdr:sp macro="" textlink="">
      <xdr:nvSpPr>
        <xdr:cNvPr id="29" name="Rectangle 28"/>
        <xdr:cNvSpPr/>
      </xdr:nvSpPr>
      <xdr:spPr>
        <a:xfrm>
          <a:off x="9810750" y="1409700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% of bounced cheques</a:t>
          </a:r>
        </a:p>
      </xdr:txBody>
    </xdr:sp>
    <xdr:clientData/>
  </xdr:twoCellAnchor>
  <xdr:twoCellAnchor>
    <xdr:from>
      <xdr:col>15</xdr:col>
      <xdr:colOff>419101</xdr:colOff>
      <xdr:row>22</xdr:row>
      <xdr:rowOff>38100</xdr:rowOff>
    </xdr:from>
    <xdr:to>
      <xdr:col>18</xdr:col>
      <xdr:colOff>542925</xdr:colOff>
      <xdr:row>23</xdr:row>
      <xdr:rowOff>142875</xdr:rowOff>
    </xdr:to>
    <xdr:sp macro="" textlink="">
      <xdr:nvSpPr>
        <xdr:cNvPr id="31" name="Rectangle 30"/>
        <xdr:cNvSpPr/>
      </xdr:nvSpPr>
      <xdr:spPr>
        <a:xfrm>
          <a:off x="9563101" y="4029075"/>
          <a:ext cx="1952624" cy="21907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Compliance Management</a:t>
          </a:r>
        </a:p>
      </xdr:txBody>
    </xdr:sp>
    <xdr:clientData/>
  </xdr:twoCellAnchor>
  <xdr:twoCellAnchor>
    <xdr:from>
      <xdr:col>0</xdr:col>
      <xdr:colOff>133350</xdr:colOff>
      <xdr:row>28</xdr:row>
      <xdr:rowOff>9525</xdr:rowOff>
    </xdr:from>
    <xdr:to>
      <xdr:col>2</xdr:col>
      <xdr:colOff>323850</xdr:colOff>
      <xdr:row>32</xdr:row>
      <xdr:rowOff>180975</xdr:rowOff>
    </xdr:to>
    <xdr:sp macro="" textlink="">
      <xdr:nvSpPr>
        <xdr:cNvPr id="32" name="Rectangle 31"/>
        <xdr:cNvSpPr/>
      </xdr:nvSpPr>
      <xdr:spPr>
        <a:xfrm>
          <a:off x="133350" y="4114800"/>
          <a:ext cx="1409700" cy="9334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LEARNING &amp; DEVELOPMENT</a:t>
          </a:r>
        </a:p>
      </xdr:txBody>
    </xdr:sp>
    <xdr:clientData/>
  </xdr:twoCellAnchor>
  <xdr:twoCellAnchor>
    <xdr:from>
      <xdr:col>3</xdr:col>
      <xdr:colOff>28575</xdr:colOff>
      <xdr:row>29</xdr:row>
      <xdr:rowOff>142875</xdr:rowOff>
    </xdr:from>
    <xdr:to>
      <xdr:col>5</xdr:col>
      <xdr:colOff>219075</xdr:colOff>
      <xdr:row>32</xdr:row>
      <xdr:rowOff>28575</xdr:rowOff>
    </xdr:to>
    <xdr:sp macro="" textlink="">
      <xdr:nvSpPr>
        <xdr:cNvPr id="33" name="Rectangle 32"/>
        <xdr:cNvSpPr/>
      </xdr:nvSpPr>
      <xdr:spPr>
        <a:xfrm>
          <a:off x="1857375" y="4114800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Competence Mapping</a:t>
          </a:r>
        </a:p>
      </xdr:txBody>
    </xdr:sp>
    <xdr:clientData/>
  </xdr:twoCellAnchor>
  <xdr:twoCellAnchor>
    <xdr:from>
      <xdr:col>3</xdr:col>
      <xdr:colOff>38101</xdr:colOff>
      <xdr:row>28</xdr:row>
      <xdr:rowOff>57151</xdr:rowOff>
    </xdr:from>
    <xdr:to>
      <xdr:col>10</xdr:col>
      <xdr:colOff>428625</xdr:colOff>
      <xdr:row>29</xdr:row>
      <xdr:rowOff>95249</xdr:rowOff>
    </xdr:to>
    <xdr:sp macro="" textlink="">
      <xdr:nvSpPr>
        <xdr:cNvPr id="34" name="Rectangle 33"/>
        <xdr:cNvSpPr/>
      </xdr:nvSpPr>
      <xdr:spPr>
        <a:xfrm>
          <a:off x="1866901" y="5114926"/>
          <a:ext cx="4657724" cy="228598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Devotee </a:t>
          </a:r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438150</xdr:colOff>
      <xdr:row>29</xdr:row>
      <xdr:rowOff>142875</xdr:rowOff>
    </xdr:from>
    <xdr:to>
      <xdr:col>8</xdr:col>
      <xdr:colOff>19050</xdr:colOff>
      <xdr:row>32</xdr:row>
      <xdr:rowOff>28575</xdr:rowOff>
    </xdr:to>
    <xdr:sp macro="" textlink="">
      <xdr:nvSpPr>
        <xdr:cNvPr id="35" name="Rectangle 34"/>
        <xdr:cNvSpPr/>
      </xdr:nvSpPr>
      <xdr:spPr>
        <a:xfrm>
          <a:off x="3486150" y="4267200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Training Identification</a:t>
          </a:r>
        </a:p>
      </xdr:txBody>
    </xdr:sp>
    <xdr:clientData/>
  </xdr:twoCellAnchor>
  <xdr:twoCellAnchor>
    <xdr:from>
      <xdr:col>8</xdr:col>
      <xdr:colOff>228600</xdr:colOff>
      <xdr:row>29</xdr:row>
      <xdr:rowOff>152400</xdr:rowOff>
    </xdr:from>
    <xdr:to>
      <xdr:col>10</xdr:col>
      <xdr:colOff>419100</xdr:colOff>
      <xdr:row>32</xdr:row>
      <xdr:rowOff>38100</xdr:rowOff>
    </xdr:to>
    <xdr:sp macro="" textlink="">
      <xdr:nvSpPr>
        <xdr:cNvPr id="36" name="Rectangle 35"/>
        <xdr:cNvSpPr/>
      </xdr:nvSpPr>
      <xdr:spPr>
        <a:xfrm>
          <a:off x="5105400" y="5400675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Training Manhours</a:t>
          </a:r>
        </a:p>
      </xdr:txBody>
    </xdr:sp>
    <xdr:clientData/>
  </xdr:twoCellAnchor>
  <xdr:twoCellAnchor>
    <xdr:from>
      <xdr:col>11</xdr:col>
      <xdr:colOff>9525</xdr:colOff>
      <xdr:row>29</xdr:row>
      <xdr:rowOff>133350</xdr:rowOff>
    </xdr:from>
    <xdr:to>
      <xdr:col>15</xdr:col>
      <xdr:colOff>238125</xdr:colOff>
      <xdr:row>32</xdr:row>
      <xdr:rowOff>19050</xdr:rowOff>
    </xdr:to>
    <xdr:sp macro="" textlink="">
      <xdr:nvSpPr>
        <xdr:cNvPr id="37" name="Rectangle 36"/>
        <xdr:cNvSpPr/>
      </xdr:nvSpPr>
      <xdr:spPr>
        <a:xfrm>
          <a:off x="6715125" y="5381625"/>
          <a:ext cx="26670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Number of Donor</a:t>
          </a:r>
          <a:r>
            <a:rPr lang="en-IN" sz="1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and Devotee Impacting key processes automated</a:t>
          </a:r>
          <a:endParaRPr lang="en-IN" sz="1000"/>
        </a:p>
      </xdr:txBody>
    </xdr:sp>
    <xdr:clientData/>
  </xdr:twoCellAnchor>
  <xdr:twoCellAnchor>
    <xdr:from>
      <xdr:col>5</xdr:col>
      <xdr:colOff>219075</xdr:colOff>
      <xdr:row>30</xdr:row>
      <xdr:rowOff>180975</xdr:rowOff>
    </xdr:from>
    <xdr:to>
      <xdr:col>5</xdr:col>
      <xdr:colOff>438150</xdr:colOff>
      <xdr:row>30</xdr:row>
      <xdr:rowOff>180975</xdr:rowOff>
    </xdr:to>
    <xdr:cxnSp macro="">
      <xdr:nvCxnSpPr>
        <xdr:cNvPr id="40" name="Straight Arrow Connector 39"/>
        <xdr:cNvCxnSpPr>
          <a:stCxn id="33" idx="3"/>
          <a:endCxn id="35" idx="1"/>
        </xdr:cNvCxnSpPr>
      </xdr:nvCxnSpPr>
      <xdr:spPr>
        <a:xfrm>
          <a:off x="3267075" y="4343400"/>
          <a:ext cx="2190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30</xdr:row>
      <xdr:rowOff>180975</xdr:rowOff>
    </xdr:from>
    <xdr:to>
      <xdr:col>8</xdr:col>
      <xdr:colOff>228600</xdr:colOff>
      <xdr:row>31</xdr:row>
      <xdr:rowOff>0</xdr:rowOff>
    </xdr:to>
    <xdr:cxnSp macro="">
      <xdr:nvCxnSpPr>
        <xdr:cNvPr id="42" name="Straight Arrow Connector 41"/>
        <xdr:cNvCxnSpPr>
          <a:stCxn id="35" idx="3"/>
          <a:endCxn id="36" idx="1"/>
        </xdr:cNvCxnSpPr>
      </xdr:nvCxnSpPr>
      <xdr:spPr>
        <a:xfrm>
          <a:off x="4895850" y="5619750"/>
          <a:ext cx="2095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27</xdr:row>
      <xdr:rowOff>28575</xdr:rowOff>
    </xdr:from>
    <xdr:to>
      <xdr:col>4</xdr:col>
      <xdr:colOff>161925</xdr:colOff>
      <xdr:row>27</xdr:row>
      <xdr:rowOff>171450</xdr:rowOff>
    </xdr:to>
    <xdr:sp macro="" textlink="">
      <xdr:nvSpPr>
        <xdr:cNvPr id="53" name="Up Arrow 52"/>
        <xdr:cNvSpPr/>
      </xdr:nvSpPr>
      <xdr:spPr>
        <a:xfrm>
          <a:off x="2419350" y="394335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419100</xdr:colOff>
      <xdr:row>27</xdr:row>
      <xdr:rowOff>38100</xdr:rowOff>
    </xdr:from>
    <xdr:to>
      <xdr:col>7</xdr:col>
      <xdr:colOff>600075</xdr:colOff>
      <xdr:row>27</xdr:row>
      <xdr:rowOff>180975</xdr:rowOff>
    </xdr:to>
    <xdr:sp macro="" textlink="">
      <xdr:nvSpPr>
        <xdr:cNvPr id="54" name="Up Arrow 53"/>
        <xdr:cNvSpPr/>
      </xdr:nvSpPr>
      <xdr:spPr>
        <a:xfrm>
          <a:off x="4686300" y="3952875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561975</xdr:colOff>
      <xdr:row>27</xdr:row>
      <xdr:rowOff>9525</xdr:rowOff>
    </xdr:from>
    <xdr:to>
      <xdr:col>12</xdr:col>
      <xdr:colOff>133350</xdr:colOff>
      <xdr:row>27</xdr:row>
      <xdr:rowOff>152400</xdr:rowOff>
    </xdr:to>
    <xdr:sp macro="" textlink="">
      <xdr:nvSpPr>
        <xdr:cNvPr id="55" name="Up Arrow 54"/>
        <xdr:cNvSpPr/>
      </xdr:nvSpPr>
      <xdr:spPr>
        <a:xfrm>
          <a:off x="7267575" y="392430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17</xdr:col>
      <xdr:colOff>276225</xdr:colOff>
      <xdr:row>27</xdr:row>
      <xdr:rowOff>9525</xdr:rowOff>
    </xdr:from>
    <xdr:to>
      <xdr:col>17</xdr:col>
      <xdr:colOff>457200</xdr:colOff>
      <xdr:row>27</xdr:row>
      <xdr:rowOff>152400</xdr:rowOff>
    </xdr:to>
    <xdr:sp macro="" textlink="">
      <xdr:nvSpPr>
        <xdr:cNvPr id="56" name="Up Arrow 55"/>
        <xdr:cNvSpPr/>
      </xdr:nvSpPr>
      <xdr:spPr>
        <a:xfrm>
          <a:off x="10639425" y="392430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12</xdr:col>
      <xdr:colOff>114299</xdr:colOff>
      <xdr:row>9</xdr:row>
      <xdr:rowOff>47626</xdr:rowOff>
    </xdr:from>
    <xdr:to>
      <xdr:col>14</xdr:col>
      <xdr:colOff>428624</xdr:colOff>
      <xdr:row>11</xdr:row>
      <xdr:rowOff>85726</xdr:rowOff>
    </xdr:to>
    <xdr:cxnSp macro="">
      <xdr:nvCxnSpPr>
        <xdr:cNvPr id="94" name="Curved Connector 93"/>
        <xdr:cNvCxnSpPr>
          <a:stCxn id="26" idx="0"/>
          <a:endCxn id="25" idx="2"/>
        </xdr:cNvCxnSpPr>
      </xdr:nvCxnSpPr>
      <xdr:spPr>
        <a:xfrm rot="5400000" flipH="1" flipV="1">
          <a:off x="7986712" y="1119188"/>
          <a:ext cx="419100" cy="1533525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428625</xdr:colOff>
      <xdr:row>9</xdr:row>
      <xdr:rowOff>47625</xdr:rowOff>
    </xdr:from>
    <xdr:to>
      <xdr:col>14</xdr:col>
      <xdr:colOff>438150</xdr:colOff>
      <xdr:row>11</xdr:row>
      <xdr:rowOff>85725</xdr:rowOff>
    </xdr:to>
    <xdr:cxnSp macro="">
      <xdr:nvCxnSpPr>
        <xdr:cNvPr id="96" name="Curved Connector 95"/>
        <xdr:cNvCxnSpPr>
          <a:stCxn id="28" idx="0"/>
          <a:endCxn id="25" idx="2"/>
        </xdr:cNvCxnSpPr>
      </xdr:nvCxnSpPr>
      <xdr:spPr>
        <a:xfrm rot="16200000" flipV="1">
          <a:off x="8758238" y="1881187"/>
          <a:ext cx="419100" cy="9525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428626</xdr:colOff>
      <xdr:row>9</xdr:row>
      <xdr:rowOff>47625</xdr:rowOff>
    </xdr:from>
    <xdr:to>
      <xdr:col>17</xdr:col>
      <xdr:colOff>152401</xdr:colOff>
      <xdr:row>11</xdr:row>
      <xdr:rowOff>76200</xdr:rowOff>
    </xdr:to>
    <xdr:cxnSp macro="">
      <xdr:nvCxnSpPr>
        <xdr:cNvPr id="98" name="Curved Connector 97"/>
        <xdr:cNvCxnSpPr>
          <a:stCxn id="29" idx="0"/>
          <a:endCxn id="25" idx="2"/>
        </xdr:cNvCxnSpPr>
      </xdr:nvCxnSpPr>
      <xdr:spPr>
        <a:xfrm rot="16200000" flipV="1">
          <a:off x="9534526" y="1104900"/>
          <a:ext cx="409575" cy="1552575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1</xdr:row>
      <xdr:rowOff>66675</xdr:rowOff>
    </xdr:from>
    <xdr:to>
      <xdr:col>18</xdr:col>
      <xdr:colOff>590550</xdr:colOff>
      <xdr:row>2</xdr:row>
      <xdr:rowOff>133350</xdr:rowOff>
    </xdr:to>
    <xdr:sp macro="" textlink="">
      <xdr:nvSpPr>
        <xdr:cNvPr id="113" name="Rectangle 112"/>
        <xdr:cNvSpPr/>
      </xdr:nvSpPr>
      <xdr:spPr>
        <a:xfrm>
          <a:off x="123825" y="257175"/>
          <a:ext cx="11439525" cy="2571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600" b="1"/>
            <a:t>ISKCON DHANANJAYA &amp; DCC BALANCED SCORECARD</a:t>
          </a:r>
          <a:r>
            <a:rPr lang="en-IN" sz="1600" b="1" baseline="0"/>
            <a:t> STRATEGY INTENT MAP FOR FY13-14</a:t>
          </a:r>
          <a:endParaRPr lang="en-IN" sz="1600" b="1"/>
        </a:p>
      </xdr:txBody>
    </xdr:sp>
    <xdr:clientData/>
  </xdr:twoCellAnchor>
  <xdr:twoCellAnchor>
    <xdr:from>
      <xdr:col>0</xdr:col>
      <xdr:colOff>123825</xdr:colOff>
      <xdr:row>3</xdr:row>
      <xdr:rowOff>19050</xdr:rowOff>
    </xdr:from>
    <xdr:to>
      <xdr:col>18</xdr:col>
      <xdr:colOff>590550</xdr:colOff>
      <xdr:row>5</xdr:row>
      <xdr:rowOff>85726</xdr:rowOff>
    </xdr:to>
    <xdr:sp macro="" textlink="">
      <xdr:nvSpPr>
        <xdr:cNvPr id="57" name="Rectangle 56"/>
        <xdr:cNvSpPr/>
      </xdr:nvSpPr>
      <xdr:spPr>
        <a:xfrm>
          <a:off x="123825" y="590550"/>
          <a:ext cx="11439525" cy="447676"/>
        </a:xfrm>
        <a:prstGeom prst="rect">
          <a:avLst/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Objective 6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:  	To enlist and cultivate donors with the twin objectives of raising funds and making them life time supporters of the Krishna consciousness movement.</a:t>
          </a:r>
        </a:p>
        <a:p>
          <a:pPr algn="ctr"/>
          <a:r>
            <a:rPr lang="en-IN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Objective 11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: 	To promote sustainable and socially responsible practices while achieving the above objectives</a:t>
          </a:r>
          <a:endParaRPr lang="en-IN" sz="1050" b="1"/>
        </a:p>
      </xdr:txBody>
    </xdr:sp>
    <xdr:clientData/>
  </xdr:twoCellAnchor>
  <xdr:twoCellAnchor>
    <xdr:from>
      <xdr:col>3</xdr:col>
      <xdr:colOff>19051</xdr:colOff>
      <xdr:row>15</xdr:row>
      <xdr:rowOff>0</xdr:rowOff>
    </xdr:from>
    <xdr:to>
      <xdr:col>7</xdr:col>
      <xdr:colOff>390524</xdr:colOff>
      <xdr:row>16</xdr:row>
      <xdr:rowOff>142875</xdr:rowOff>
    </xdr:to>
    <xdr:sp macro="" textlink="">
      <xdr:nvSpPr>
        <xdr:cNvPr id="59" name="Rectangle 58"/>
        <xdr:cNvSpPr/>
      </xdr:nvSpPr>
      <xdr:spPr>
        <a:xfrm>
          <a:off x="1847851" y="2771775"/>
          <a:ext cx="2809873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Resource  Performance</a:t>
          </a:r>
        </a:p>
      </xdr:txBody>
    </xdr:sp>
    <xdr:clientData/>
  </xdr:twoCellAnchor>
  <xdr:twoCellAnchor>
    <xdr:from>
      <xdr:col>3</xdr:col>
      <xdr:colOff>9526</xdr:colOff>
      <xdr:row>16</xdr:row>
      <xdr:rowOff>171450</xdr:rowOff>
    </xdr:from>
    <xdr:to>
      <xdr:col>4</xdr:col>
      <xdr:colOff>304799</xdr:colOff>
      <xdr:row>20</xdr:row>
      <xdr:rowOff>76200</xdr:rowOff>
    </xdr:to>
    <xdr:sp macro="" textlink="">
      <xdr:nvSpPr>
        <xdr:cNvPr id="60" name="Rectangle 59"/>
        <xdr:cNvSpPr/>
      </xdr:nvSpPr>
      <xdr:spPr>
        <a:xfrm>
          <a:off x="1838326" y="3067050"/>
          <a:ext cx="904873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Territory Performance</a:t>
          </a:r>
        </a:p>
      </xdr:txBody>
    </xdr:sp>
    <xdr:clientData/>
  </xdr:twoCellAnchor>
  <xdr:twoCellAnchor>
    <xdr:from>
      <xdr:col>4</xdr:col>
      <xdr:colOff>390525</xdr:colOff>
      <xdr:row>16</xdr:row>
      <xdr:rowOff>171450</xdr:rowOff>
    </xdr:from>
    <xdr:to>
      <xdr:col>6</xdr:col>
      <xdr:colOff>38100</xdr:colOff>
      <xdr:row>20</xdr:row>
      <xdr:rowOff>76200</xdr:rowOff>
    </xdr:to>
    <xdr:sp macro="" textlink="">
      <xdr:nvSpPr>
        <xdr:cNvPr id="61" name="Rectangle 60"/>
        <xdr:cNvSpPr/>
      </xdr:nvSpPr>
      <xdr:spPr>
        <a:xfrm>
          <a:off x="2828925" y="3067050"/>
          <a:ext cx="866775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Performance</a:t>
          </a:r>
        </a:p>
      </xdr:txBody>
    </xdr:sp>
    <xdr:clientData/>
  </xdr:twoCellAnchor>
  <xdr:twoCellAnchor>
    <xdr:from>
      <xdr:col>14</xdr:col>
      <xdr:colOff>438152</xdr:colOff>
      <xdr:row>15</xdr:row>
      <xdr:rowOff>47625</xdr:rowOff>
    </xdr:from>
    <xdr:to>
      <xdr:col>18</xdr:col>
      <xdr:colOff>561976</xdr:colOff>
      <xdr:row>16</xdr:row>
      <xdr:rowOff>161925</xdr:rowOff>
    </xdr:to>
    <xdr:sp macro="" textlink="">
      <xdr:nvSpPr>
        <xdr:cNvPr id="62" name="Rectangle 61"/>
        <xdr:cNvSpPr/>
      </xdr:nvSpPr>
      <xdr:spPr>
        <a:xfrm>
          <a:off x="8972552" y="2819400"/>
          <a:ext cx="2562224" cy="23812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Product &amp; Scheme Performance</a:t>
          </a:r>
        </a:p>
      </xdr:txBody>
    </xdr:sp>
    <xdr:clientData/>
  </xdr:twoCellAnchor>
  <xdr:twoCellAnchor>
    <xdr:from>
      <xdr:col>14</xdr:col>
      <xdr:colOff>447675</xdr:colOff>
      <xdr:row>17</xdr:row>
      <xdr:rowOff>0</xdr:rowOff>
    </xdr:from>
    <xdr:to>
      <xdr:col>18</xdr:col>
      <xdr:colOff>552450</xdr:colOff>
      <xdr:row>20</xdr:row>
      <xdr:rowOff>95250</xdr:rowOff>
    </xdr:to>
    <xdr:sp macro="" textlink="">
      <xdr:nvSpPr>
        <xdr:cNvPr id="63" name="Rectangle 62"/>
        <xdr:cNvSpPr/>
      </xdr:nvSpPr>
      <xdr:spPr>
        <a:xfrm>
          <a:off x="8982075" y="3086100"/>
          <a:ext cx="2543175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Product &amp; Scheme with highest</a:t>
          </a:r>
          <a:r>
            <a:rPr lang="en-IN" sz="1000" b="1" baseline="0"/>
            <a:t> success rate and vice-versa</a:t>
          </a:r>
          <a:endParaRPr lang="en-IN" sz="1000" b="1"/>
        </a:p>
      </xdr:txBody>
    </xdr:sp>
    <xdr:clientData/>
  </xdr:twoCellAnchor>
  <xdr:twoCellAnchor>
    <xdr:from>
      <xdr:col>6</xdr:col>
      <xdr:colOff>361950</xdr:colOff>
      <xdr:row>9</xdr:row>
      <xdr:rowOff>47625</xdr:rowOff>
    </xdr:from>
    <xdr:to>
      <xdr:col>6</xdr:col>
      <xdr:colOff>542925</xdr:colOff>
      <xdr:row>10</xdr:row>
      <xdr:rowOff>0</xdr:rowOff>
    </xdr:to>
    <xdr:sp macro="" textlink="">
      <xdr:nvSpPr>
        <xdr:cNvPr id="64" name="Up Arrow 63"/>
        <xdr:cNvSpPr/>
      </xdr:nvSpPr>
      <xdr:spPr>
        <a:xfrm>
          <a:off x="4019550" y="1676400"/>
          <a:ext cx="180975" cy="142875"/>
        </a:xfrm>
        <a:prstGeom prst="upArrow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400050</xdr:colOff>
      <xdr:row>7</xdr:row>
      <xdr:rowOff>133350</xdr:rowOff>
    </xdr:from>
    <xdr:to>
      <xdr:col>11</xdr:col>
      <xdr:colOff>0</xdr:colOff>
      <xdr:row>8</xdr:row>
      <xdr:rowOff>133350</xdr:rowOff>
    </xdr:to>
    <xdr:sp macro="" textlink="">
      <xdr:nvSpPr>
        <xdr:cNvPr id="65" name="Right Arrow 64"/>
        <xdr:cNvSpPr/>
      </xdr:nvSpPr>
      <xdr:spPr>
        <a:xfrm>
          <a:off x="6496050" y="1381125"/>
          <a:ext cx="209550" cy="190500"/>
        </a:xfrm>
        <a:prstGeom prst="rightArrow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419100</xdr:colOff>
      <xdr:row>15</xdr:row>
      <xdr:rowOff>76200</xdr:rowOff>
    </xdr:from>
    <xdr:to>
      <xdr:col>8</xdr:col>
      <xdr:colOff>19050</xdr:colOff>
      <xdr:row>16</xdr:row>
      <xdr:rowOff>142875</xdr:rowOff>
    </xdr:to>
    <xdr:sp macro="" textlink="">
      <xdr:nvSpPr>
        <xdr:cNvPr id="67" name="Right Arrow 66"/>
        <xdr:cNvSpPr/>
      </xdr:nvSpPr>
      <xdr:spPr>
        <a:xfrm>
          <a:off x="4686300" y="2847975"/>
          <a:ext cx="209550" cy="190500"/>
        </a:xfrm>
        <a:prstGeom prst="rightArrow">
          <a:avLst/>
        </a:prstGeom>
        <a:solidFill>
          <a:schemeClr val="accent4">
            <a:lumMod val="7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14</xdr:col>
      <xdr:colOff>142875</xdr:colOff>
      <xdr:row>15</xdr:row>
      <xdr:rowOff>85726</xdr:rowOff>
    </xdr:from>
    <xdr:to>
      <xdr:col>14</xdr:col>
      <xdr:colOff>400050</xdr:colOff>
      <xdr:row>16</xdr:row>
      <xdr:rowOff>142875</xdr:rowOff>
    </xdr:to>
    <xdr:sp macro="" textlink="">
      <xdr:nvSpPr>
        <xdr:cNvPr id="70" name="Left Arrow 69"/>
        <xdr:cNvSpPr/>
      </xdr:nvSpPr>
      <xdr:spPr>
        <a:xfrm>
          <a:off x="8677275" y="2857501"/>
          <a:ext cx="257175" cy="180974"/>
        </a:xfrm>
        <a:prstGeom prst="leftArrow">
          <a:avLst/>
        </a:prstGeom>
        <a:solidFill>
          <a:schemeClr val="accent4">
            <a:lumMod val="7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333375</xdr:colOff>
      <xdr:row>20</xdr:row>
      <xdr:rowOff>180975</xdr:rowOff>
    </xdr:from>
    <xdr:to>
      <xdr:col>9</xdr:col>
      <xdr:colOff>514350</xdr:colOff>
      <xdr:row>21</xdr:row>
      <xdr:rowOff>133350</xdr:rowOff>
    </xdr:to>
    <xdr:sp macro="" textlink="">
      <xdr:nvSpPr>
        <xdr:cNvPr id="75" name="Up Arrow 74"/>
        <xdr:cNvSpPr/>
      </xdr:nvSpPr>
      <xdr:spPr>
        <a:xfrm>
          <a:off x="5819775" y="3838575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371475</xdr:colOff>
      <xdr:row>21</xdr:row>
      <xdr:rowOff>0</xdr:rowOff>
    </xdr:from>
    <xdr:to>
      <xdr:col>5</xdr:col>
      <xdr:colOff>552450</xdr:colOff>
      <xdr:row>22</xdr:row>
      <xdr:rowOff>0</xdr:rowOff>
    </xdr:to>
    <xdr:sp macro="" textlink="">
      <xdr:nvSpPr>
        <xdr:cNvPr id="77" name="Up Arrow 76"/>
        <xdr:cNvSpPr/>
      </xdr:nvSpPr>
      <xdr:spPr>
        <a:xfrm>
          <a:off x="3419475" y="3848100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12</xdr:col>
      <xdr:colOff>180976</xdr:colOff>
      <xdr:row>22</xdr:row>
      <xdr:rowOff>38100</xdr:rowOff>
    </xdr:from>
    <xdr:to>
      <xdr:col>15</xdr:col>
      <xdr:colOff>304800</xdr:colOff>
      <xdr:row>23</xdr:row>
      <xdr:rowOff>142875</xdr:rowOff>
    </xdr:to>
    <xdr:sp macro="" textlink="">
      <xdr:nvSpPr>
        <xdr:cNvPr id="79" name="Rectangle 78"/>
        <xdr:cNvSpPr/>
      </xdr:nvSpPr>
      <xdr:spPr>
        <a:xfrm>
          <a:off x="7496176" y="4029075"/>
          <a:ext cx="1952624" cy="21907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Product Management</a:t>
          </a:r>
        </a:p>
      </xdr:txBody>
    </xdr:sp>
    <xdr:clientData/>
  </xdr:twoCellAnchor>
  <xdr:twoCellAnchor>
    <xdr:from>
      <xdr:col>12</xdr:col>
      <xdr:colOff>438150</xdr:colOff>
      <xdr:row>23</xdr:row>
      <xdr:rowOff>180975</xdr:rowOff>
    </xdr:from>
    <xdr:to>
      <xdr:col>15</xdr:col>
      <xdr:colOff>19050</xdr:colOff>
      <xdr:row>26</xdr:row>
      <xdr:rowOff>66675</xdr:rowOff>
    </xdr:to>
    <xdr:sp macro="" textlink="">
      <xdr:nvSpPr>
        <xdr:cNvPr id="80" name="Rectangle 79"/>
        <xdr:cNvSpPr/>
      </xdr:nvSpPr>
      <xdr:spPr>
        <a:xfrm>
          <a:off x="7753350" y="4286250"/>
          <a:ext cx="140970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Product/Scheme talking point prep.</a:t>
          </a:r>
        </a:p>
      </xdr:txBody>
    </xdr:sp>
    <xdr:clientData/>
  </xdr:twoCellAnchor>
  <xdr:twoCellAnchor>
    <xdr:from>
      <xdr:col>13</xdr:col>
      <xdr:colOff>571500</xdr:colOff>
      <xdr:row>20</xdr:row>
      <xdr:rowOff>180975</xdr:rowOff>
    </xdr:from>
    <xdr:to>
      <xdr:col>14</xdr:col>
      <xdr:colOff>142875</xdr:colOff>
      <xdr:row>21</xdr:row>
      <xdr:rowOff>133350</xdr:rowOff>
    </xdr:to>
    <xdr:sp macro="" textlink="">
      <xdr:nvSpPr>
        <xdr:cNvPr id="81" name="Up Arrow 80"/>
        <xdr:cNvSpPr/>
      </xdr:nvSpPr>
      <xdr:spPr>
        <a:xfrm>
          <a:off x="8496300" y="3838575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523875</xdr:colOff>
      <xdr:row>23</xdr:row>
      <xdr:rowOff>180975</xdr:rowOff>
    </xdr:from>
    <xdr:to>
      <xdr:col>10</xdr:col>
      <xdr:colOff>190500</xdr:colOff>
      <xdr:row>26</xdr:row>
      <xdr:rowOff>66675</xdr:rowOff>
    </xdr:to>
    <xdr:sp macro="" textlink="">
      <xdr:nvSpPr>
        <xdr:cNvPr id="82" name="Rectangle 81"/>
        <xdr:cNvSpPr/>
      </xdr:nvSpPr>
      <xdr:spPr>
        <a:xfrm>
          <a:off x="5400675" y="4286250"/>
          <a:ext cx="885825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Engagement</a:t>
          </a:r>
        </a:p>
      </xdr:txBody>
    </xdr:sp>
    <xdr:clientData/>
  </xdr:twoCellAnchor>
  <xdr:twoCellAnchor>
    <xdr:from>
      <xdr:col>11</xdr:col>
      <xdr:colOff>1</xdr:colOff>
      <xdr:row>28</xdr:row>
      <xdr:rowOff>47626</xdr:rowOff>
    </xdr:from>
    <xdr:to>
      <xdr:col>15</xdr:col>
      <xdr:colOff>247650</xdr:colOff>
      <xdr:row>29</xdr:row>
      <xdr:rowOff>95250</xdr:rowOff>
    </xdr:to>
    <xdr:sp macro="" textlink="">
      <xdr:nvSpPr>
        <xdr:cNvPr id="85" name="Rectangle 84"/>
        <xdr:cNvSpPr/>
      </xdr:nvSpPr>
      <xdr:spPr>
        <a:xfrm>
          <a:off x="6705601" y="5105401"/>
          <a:ext cx="2686049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Process Automation</a:t>
          </a:r>
        </a:p>
      </xdr:txBody>
    </xdr:sp>
    <xdr:clientData/>
  </xdr:twoCellAnchor>
  <xdr:twoCellAnchor>
    <xdr:from>
      <xdr:col>6</xdr:col>
      <xdr:colOff>123825</xdr:colOff>
      <xdr:row>17</xdr:row>
      <xdr:rowOff>0</xdr:rowOff>
    </xdr:from>
    <xdr:to>
      <xdr:col>7</xdr:col>
      <xdr:colOff>390524</xdr:colOff>
      <xdr:row>20</xdr:row>
      <xdr:rowOff>95250</xdr:rowOff>
    </xdr:to>
    <xdr:sp macro="" textlink="">
      <xdr:nvSpPr>
        <xdr:cNvPr id="88" name="Rectangle 87"/>
        <xdr:cNvSpPr/>
      </xdr:nvSpPr>
      <xdr:spPr>
        <a:xfrm>
          <a:off x="3781425" y="3086100"/>
          <a:ext cx="876299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Online endowment</a:t>
          </a:r>
        </a:p>
      </xdr:txBody>
    </xdr:sp>
    <xdr:clientData/>
  </xdr:twoCellAnchor>
  <xdr:twoCellAnchor>
    <xdr:from>
      <xdr:col>5</xdr:col>
      <xdr:colOff>180975</xdr:colOff>
      <xdr:row>14</xdr:row>
      <xdr:rowOff>19050</xdr:rowOff>
    </xdr:from>
    <xdr:to>
      <xdr:col>5</xdr:col>
      <xdr:colOff>361950</xdr:colOff>
      <xdr:row>14</xdr:row>
      <xdr:rowOff>161925</xdr:rowOff>
    </xdr:to>
    <xdr:sp macro="" textlink="">
      <xdr:nvSpPr>
        <xdr:cNvPr id="91" name="Up Arrow 90"/>
        <xdr:cNvSpPr/>
      </xdr:nvSpPr>
      <xdr:spPr>
        <a:xfrm>
          <a:off x="3228975" y="2600325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600075</xdr:colOff>
      <xdr:row>14</xdr:row>
      <xdr:rowOff>28575</xdr:rowOff>
    </xdr:from>
    <xdr:to>
      <xdr:col>11</xdr:col>
      <xdr:colOff>171450</xdr:colOff>
      <xdr:row>14</xdr:row>
      <xdr:rowOff>171450</xdr:rowOff>
    </xdr:to>
    <xdr:sp macro="" textlink="">
      <xdr:nvSpPr>
        <xdr:cNvPr id="93" name="Up Arrow 92"/>
        <xdr:cNvSpPr/>
      </xdr:nvSpPr>
      <xdr:spPr>
        <a:xfrm>
          <a:off x="6696075" y="2609850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16</xdr:col>
      <xdr:colOff>466725</xdr:colOff>
      <xdr:row>14</xdr:row>
      <xdr:rowOff>19050</xdr:rowOff>
    </xdr:from>
    <xdr:to>
      <xdr:col>17</xdr:col>
      <xdr:colOff>38100</xdr:colOff>
      <xdr:row>14</xdr:row>
      <xdr:rowOff>161925</xdr:rowOff>
    </xdr:to>
    <xdr:sp macro="" textlink="">
      <xdr:nvSpPr>
        <xdr:cNvPr id="95" name="Up Arrow 94"/>
        <xdr:cNvSpPr/>
      </xdr:nvSpPr>
      <xdr:spPr>
        <a:xfrm>
          <a:off x="10220325" y="2600325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20</xdr:row>
      <xdr:rowOff>19049</xdr:rowOff>
    </xdr:from>
    <xdr:to>
      <xdr:col>10</xdr:col>
      <xdr:colOff>238125</xdr:colOff>
      <xdr:row>24</xdr:row>
      <xdr:rowOff>66674</xdr:rowOff>
    </xdr:to>
    <xdr:sp macro="" textlink="">
      <xdr:nvSpPr>
        <xdr:cNvPr id="62" name="Rectangle 61"/>
        <xdr:cNvSpPr/>
      </xdr:nvSpPr>
      <xdr:spPr>
        <a:xfrm>
          <a:off x="4248149" y="3848099"/>
          <a:ext cx="19526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Oppurtunity identification for mass coomunication through paraphernalia and other outlets within</a:t>
          </a:r>
          <a:r>
            <a:rPr lang="en-IN" sz="1000" b="1" baseline="0"/>
            <a:t> the Revenue Block</a:t>
          </a:r>
          <a:endParaRPr lang="en-IN" sz="1000" b="1"/>
        </a:p>
      </xdr:txBody>
    </xdr:sp>
    <xdr:clientData/>
  </xdr:twoCellAnchor>
  <xdr:twoCellAnchor>
    <xdr:from>
      <xdr:col>0</xdr:col>
      <xdr:colOff>57150</xdr:colOff>
      <xdr:row>1</xdr:row>
      <xdr:rowOff>76200</xdr:rowOff>
    </xdr:from>
    <xdr:to>
      <xdr:col>18</xdr:col>
      <xdr:colOff>523875</xdr:colOff>
      <xdr:row>2</xdr:row>
      <xdr:rowOff>142875</xdr:rowOff>
    </xdr:to>
    <xdr:sp macro="" textlink="">
      <xdr:nvSpPr>
        <xdr:cNvPr id="2" name="Rectangle 1"/>
        <xdr:cNvSpPr/>
      </xdr:nvSpPr>
      <xdr:spPr>
        <a:xfrm>
          <a:off x="57150" y="266700"/>
          <a:ext cx="11306175" cy="2571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600" b="1"/>
            <a:t>REVENUE</a:t>
          </a:r>
          <a:r>
            <a:rPr lang="en-IN" sz="1600" b="1" baseline="0"/>
            <a:t> BLOCK</a:t>
          </a:r>
          <a:r>
            <a:rPr lang="en-IN" sz="1600" b="1"/>
            <a:t> BALANCED SCORECARD</a:t>
          </a:r>
          <a:r>
            <a:rPr lang="en-IN" sz="1600" b="1" baseline="0"/>
            <a:t> STRATEGY INTENT MAP FOR FY14-15</a:t>
          </a:r>
          <a:endParaRPr lang="en-IN" sz="1600" b="1"/>
        </a:p>
      </xdr:txBody>
    </xdr:sp>
    <xdr:clientData/>
  </xdr:twoCellAnchor>
  <xdr:twoCellAnchor>
    <xdr:from>
      <xdr:col>0</xdr:col>
      <xdr:colOff>66675</xdr:colOff>
      <xdr:row>7</xdr:row>
      <xdr:rowOff>1</xdr:rowOff>
    </xdr:from>
    <xdr:to>
      <xdr:col>2</xdr:col>
      <xdr:colOff>257175</xdr:colOff>
      <xdr:row>16</xdr:row>
      <xdr:rowOff>114301</xdr:rowOff>
    </xdr:to>
    <xdr:sp macro="" textlink="">
      <xdr:nvSpPr>
        <xdr:cNvPr id="3" name="Rectangle 2"/>
        <xdr:cNvSpPr/>
      </xdr:nvSpPr>
      <xdr:spPr>
        <a:xfrm>
          <a:off x="66675" y="1352551"/>
          <a:ext cx="1409700" cy="6858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FINANCIAL</a:t>
          </a:r>
        </a:p>
      </xdr:txBody>
    </xdr:sp>
    <xdr:clientData/>
  </xdr:twoCellAnchor>
  <xdr:twoCellAnchor>
    <xdr:from>
      <xdr:col>3</xdr:col>
      <xdr:colOff>38099</xdr:colOff>
      <xdr:row>7</xdr:row>
      <xdr:rowOff>76200</xdr:rowOff>
    </xdr:from>
    <xdr:to>
      <xdr:col>11</xdr:col>
      <xdr:colOff>238124</xdr:colOff>
      <xdr:row>9</xdr:row>
      <xdr:rowOff>152400</xdr:rowOff>
    </xdr:to>
    <xdr:sp macro="" textlink="">
      <xdr:nvSpPr>
        <xdr:cNvPr id="4" name="Rectangle 3"/>
        <xdr:cNvSpPr/>
      </xdr:nvSpPr>
      <xdr:spPr>
        <a:xfrm>
          <a:off x="1733549" y="1428750"/>
          <a:ext cx="507682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Revenue Generation</a:t>
          </a:r>
        </a:p>
      </xdr:txBody>
    </xdr:sp>
    <xdr:clientData/>
  </xdr:twoCellAnchor>
  <xdr:twoCellAnchor>
    <xdr:from>
      <xdr:col>11</xdr:col>
      <xdr:colOff>438150</xdr:colOff>
      <xdr:row>7</xdr:row>
      <xdr:rowOff>76200</xdr:rowOff>
    </xdr:from>
    <xdr:to>
      <xdr:col>18</xdr:col>
      <xdr:colOff>476250</xdr:colOff>
      <xdr:row>9</xdr:row>
      <xdr:rowOff>152400</xdr:rowOff>
    </xdr:to>
    <xdr:sp macro="" textlink="">
      <xdr:nvSpPr>
        <xdr:cNvPr id="5" name="Rectangle 4"/>
        <xdr:cNvSpPr/>
      </xdr:nvSpPr>
      <xdr:spPr>
        <a:xfrm>
          <a:off x="7010400" y="1428750"/>
          <a:ext cx="43053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Profitability</a:t>
          </a:r>
        </a:p>
      </xdr:txBody>
    </xdr:sp>
    <xdr:clientData/>
  </xdr:twoCellAnchor>
  <xdr:twoCellAnchor>
    <xdr:from>
      <xdr:col>0</xdr:col>
      <xdr:colOff>66675</xdr:colOff>
      <xdr:row>17</xdr:row>
      <xdr:rowOff>180975</xdr:rowOff>
    </xdr:from>
    <xdr:to>
      <xdr:col>2</xdr:col>
      <xdr:colOff>257175</xdr:colOff>
      <xdr:row>24</xdr:row>
      <xdr:rowOff>76200</xdr:rowOff>
    </xdr:to>
    <xdr:sp macro="" textlink="">
      <xdr:nvSpPr>
        <xdr:cNvPr id="6" name="Rectangle 5"/>
        <xdr:cNvSpPr/>
      </xdr:nvSpPr>
      <xdr:spPr>
        <a:xfrm>
          <a:off x="66675" y="2295525"/>
          <a:ext cx="1409700" cy="12287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CUSTOMER</a:t>
          </a:r>
        </a:p>
      </xdr:txBody>
    </xdr:sp>
    <xdr:clientData/>
  </xdr:twoCellAnchor>
  <xdr:twoCellAnchor>
    <xdr:from>
      <xdr:col>3</xdr:col>
      <xdr:colOff>1</xdr:colOff>
      <xdr:row>18</xdr:row>
      <xdr:rowOff>0</xdr:rowOff>
    </xdr:from>
    <xdr:to>
      <xdr:col>6</xdr:col>
      <xdr:colOff>123824</xdr:colOff>
      <xdr:row>19</xdr:row>
      <xdr:rowOff>38099</xdr:rowOff>
    </xdr:to>
    <xdr:sp macro="" textlink="">
      <xdr:nvSpPr>
        <xdr:cNvPr id="7" name="Rectangle 6"/>
        <xdr:cNvSpPr/>
      </xdr:nvSpPr>
      <xdr:spPr>
        <a:xfrm>
          <a:off x="1695451" y="2305050"/>
          <a:ext cx="1952623" cy="22859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Grievance Handling</a:t>
          </a:r>
        </a:p>
      </xdr:txBody>
    </xdr:sp>
    <xdr:clientData/>
  </xdr:twoCellAnchor>
  <xdr:twoCellAnchor>
    <xdr:from>
      <xdr:col>2</xdr:col>
      <xdr:colOff>476249</xdr:colOff>
      <xdr:row>19</xdr:row>
      <xdr:rowOff>190499</xdr:rowOff>
    </xdr:from>
    <xdr:to>
      <xdr:col>6</xdr:col>
      <xdr:colOff>123825</xdr:colOff>
      <xdr:row>24</xdr:row>
      <xdr:rowOff>47624</xdr:rowOff>
    </xdr:to>
    <xdr:sp macro="" textlink="">
      <xdr:nvSpPr>
        <xdr:cNvPr id="8" name="Rectangle 7"/>
        <xdr:cNvSpPr/>
      </xdr:nvSpPr>
      <xdr:spPr>
        <a:xfrm>
          <a:off x="1695449" y="2686049"/>
          <a:ext cx="19526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Complaint and grievance Handling of Donors/ Patrons</a:t>
          </a:r>
        </a:p>
      </xdr:txBody>
    </xdr:sp>
    <xdr:clientData/>
  </xdr:twoCellAnchor>
  <xdr:twoCellAnchor>
    <xdr:from>
      <xdr:col>0</xdr:col>
      <xdr:colOff>76200</xdr:colOff>
      <xdr:row>25</xdr:row>
      <xdr:rowOff>180976</xdr:rowOff>
    </xdr:from>
    <xdr:to>
      <xdr:col>2</xdr:col>
      <xdr:colOff>266700</xdr:colOff>
      <xdr:row>31</xdr:row>
      <xdr:rowOff>19050</xdr:rowOff>
    </xdr:to>
    <xdr:sp macro="" textlink="">
      <xdr:nvSpPr>
        <xdr:cNvPr id="14" name="Rectangle 13"/>
        <xdr:cNvSpPr/>
      </xdr:nvSpPr>
      <xdr:spPr>
        <a:xfrm>
          <a:off x="76200" y="3762376"/>
          <a:ext cx="1409700" cy="981074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INTERNAL BUSINESS PROCESS</a:t>
          </a:r>
        </a:p>
      </xdr:txBody>
    </xdr:sp>
    <xdr:clientData/>
  </xdr:twoCellAnchor>
  <xdr:twoCellAnchor>
    <xdr:from>
      <xdr:col>2</xdr:col>
      <xdr:colOff>476249</xdr:colOff>
      <xdr:row>25</xdr:row>
      <xdr:rowOff>171451</xdr:rowOff>
    </xdr:from>
    <xdr:to>
      <xdr:col>10</xdr:col>
      <xdr:colOff>228600</xdr:colOff>
      <xdr:row>27</xdr:row>
      <xdr:rowOff>47625</xdr:rowOff>
    </xdr:to>
    <xdr:sp macro="" textlink="">
      <xdr:nvSpPr>
        <xdr:cNvPr id="15" name="Rectangle 14"/>
        <xdr:cNvSpPr/>
      </xdr:nvSpPr>
      <xdr:spPr>
        <a:xfrm>
          <a:off x="1695449" y="4895851"/>
          <a:ext cx="449580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SKU Optimization and Pricing</a:t>
          </a:r>
        </a:p>
      </xdr:txBody>
    </xdr:sp>
    <xdr:clientData/>
  </xdr:twoCellAnchor>
  <xdr:twoCellAnchor>
    <xdr:from>
      <xdr:col>3</xdr:col>
      <xdr:colOff>9525</xdr:colOff>
      <xdr:row>27</xdr:row>
      <xdr:rowOff>161925</xdr:rowOff>
    </xdr:from>
    <xdr:to>
      <xdr:col>5</xdr:col>
      <xdr:colOff>295275</xdr:colOff>
      <xdr:row>31</xdr:row>
      <xdr:rowOff>0</xdr:rowOff>
    </xdr:to>
    <xdr:sp macro="" textlink="">
      <xdr:nvSpPr>
        <xdr:cNvPr id="16" name="Rectangle 15"/>
        <xdr:cNvSpPr/>
      </xdr:nvSpPr>
      <xdr:spPr>
        <a:xfrm>
          <a:off x="1704975" y="4124325"/>
          <a:ext cx="150495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SKU Rationalization: SST, IC and</a:t>
          </a:r>
          <a:r>
            <a:rPr lang="en-IN" sz="1000" b="1" baseline="0"/>
            <a:t> GST</a:t>
          </a:r>
          <a:endParaRPr lang="en-IN" sz="1000" b="1">
            <a:solidFill>
              <a:srgbClr val="C00000"/>
            </a:solidFill>
          </a:endParaRPr>
        </a:p>
      </xdr:txBody>
    </xdr:sp>
    <xdr:clientData/>
  </xdr:twoCellAnchor>
  <xdr:twoCellAnchor>
    <xdr:from>
      <xdr:col>5</xdr:col>
      <xdr:colOff>352425</xdr:colOff>
      <xdr:row>27</xdr:row>
      <xdr:rowOff>161925</xdr:rowOff>
    </xdr:from>
    <xdr:to>
      <xdr:col>7</xdr:col>
      <xdr:colOff>542925</xdr:colOff>
      <xdr:row>31</xdr:row>
      <xdr:rowOff>0</xdr:rowOff>
    </xdr:to>
    <xdr:sp macro="" textlink="">
      <xdr:nvSpPr>
        <xdr:cNvPr id="17" name="Rectangle 16"/>
        <xdr:cNvSpPr/>
      </xdr:nvSpPr>
      <xdr:spPr>
        <a:xfrm>
          <a:off x="3267075" y="4124325"/>
          <a:ext cx="14097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Room Day Performance of Yatri Niwas</a:t>
          </a:r>
        </a:p>
      </xdr:txBody>
    </xdr:sp>
    <xdr:clientData/>
  </xdr:twoCellAnchor>
  <xdr:twoCellAnchor>
    <xdr:from>
      <xdr:col>0</xdr:col>
      <xdr:colOff>85725</xdr:colOff>
      <xdr:row>33</xdr:row>
      <xdr:rowOff>0</xdr:rowOff>
    </xdr:from>
    <xdr:to>
      <xdr:col>2</xdr:col>
      <xdr:colOff>276225</xdr:colOff>
      <xdr:row>37</xdr:row>
      <xdr:rowOff>171450</xdr:rowOff>
    </xdr:to>
    <xdr:sp macro="" textlink="">
      <xdr:nvSpPr>
        <xdr:cNvPr id="20" name="Rectangle 19"/>
        <xdr:cNvSpPr/>
      </xdr:nvSpPr>
      <xdr:spPr>
        <a:xfrm>
          <a:off x="85725" y="5029200"/>
          <a:ext cx="1409700" cy="9334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PEOPLE &amp; SYSTEM</a:t>
          </a:r>
        </a:p>
      </xdr:txBody>
    </xdr:sp>
    <xdr:clientData/>
  </xdr:twoCellAnchor>
  <xdr:twoCellAnchor>
    <xdr:from>
      <xdr:col>2</xdr:col>
      <xdr:colOff>476249</xdr:colOff>
      <xdr:row>33</xdr:row>
      <xdr:rowOff>1</xdr:rowOff>
    </xdr:from>
    <xdr:to>
      <xdr:col>5</xdr:col>
      <xdr:colOff>333374</xdr:colOff>
      <xdr:row>34</xdr:row>
      <xdr:rowOff>66675</xdr:rowOff>
    </xdr:to>
    <xdr:sp macro="" textlink="">
      <xdr:nvSpPr>
        <xdr:cNvPr id="21" name="Rectangle 20"/>
        <xdr:cNvSpPr/>
      </xdr:nvSpPr>
      <xdr:spPr>
        <a:xfrm>
          <a:off x="1695449" y="5029201"/>
          <a:ext cx="1552575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Devotee</a:t>
          </a:r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476249</xdr:colOff>
      <xdr:row>35</xdr:row>
      <xdr:rowOff>0</xdr:rowOff>
    </xdr:from>
    <xdr:to>
      <xdr:col>5</xdr:col>
      <xdr:colOff>333374</xdr:colOff>
      <xdr:row>38</xdr:row>
      <xdr:rowOff>0</xdr:rowOff>
    </xdr:to>
    <xdr:sp macro="" textlink="">
      <xdr:nvSpPr>
        <xdr:cNvPr id="22" name="Rectangle 21"/>
        <xdr:cNvSpPr/>
      </xdr:nvSpPr>
      <xdr:spPr>
        <a:xfrm>
          <a:off x="1695449" y="5410200"/>
          <a:ext cx="1552575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Training Manhrs</a:t>
          </a:r>
        </a:p>
      </xdr:txBody>
    </xdr:sp>
    <xdr:clientData/>
  </xdr:twoCellAnchor>
  <xdr:twoCellAnchor>
    <xdr:from>
      <xdr:col>5</xdr:col>
      <xdr:colOff>561975</xdr:colOff>
      <xdr:row>35</xdr:row>
      <xdr:rowOff>0</xdr:rowOff>
    </xdr:from>
    <xdr:to>
      <xdr:col>8</xdr:col>
      <xdr:colOff>142875</xdr:colOff>
      <xdr:row>38</xdr:row>
      <xdr:rowOff>0</xdr:rowOff>
    </xdr:to>
    <xdr:sp macro="" textlink="">
      <xdr:nvSpPr>
        <xdr:cNvPr id="23" name="Rectangle 22"/>
        <xdr:cNvSpPr/>
      </xdr:nvSpPr>
      <xdr:spPr>
        <a:xfrm>
          <a:off x="3476625" y="5410200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Employee Training Manhr</a:t>
          </a:r>
        </a:p>
      </xdr:txBody>
    </xdr:sp>
    <xdr:clientData/>
  </xdr:twoCellAnchor>
  <xdr:twoCellAnchor>
    <xdr:from>
      <xdr:col>0</xdr:col>
      <xdr:colOff>66675</xdr:colOff>
      <xdr:row>4</xdr:row>
      <xdr:rowOff>0</xdr:rowOff>
    </xdr:from>
    <xdr:to>
      <xdr:col>18</xdr:col>
      <xdr:colOff>533400</xdr:colOff>
      <xdr:row>6</xdr:row>
      <xdr:rowOff>85725</xdr:rowOff>
    </xdr:to>
    <xdr:sp macro="" textlink="">
      <xdr:nvSpPr>
        <xdr:cNvPr id="24" name="Rectangle 23"/>
        <xdr:cNvSpPr/>
      </xdr:nvSpPr>
      <xdr:spPr>
        <a:xfrm>
          <a:off x="66675" y="638175"/>
          <a:ext cx="11306175" cy="561975"/>
        </a:xfrm>
        <a:prstGeom prst="rect">
          <a:avLst/>
        </a:prstGeom>
        <a:gradFill flip="none" rotWithShape="1">
          <a:gsLst>
            <a:gs pos="0">
              <a:srgbClr val="66FF99">
                <a:tint val="66000"/>
                <a:satMod val="160000"/>
              </a:srgbClr>
            </a:gs>
            <a:gs pos="50000">
              <a:srgbClr val="66FF99">
                <a:tint val="44500"/>
                <a:satMod val="160000"/>
              </a:srgbClr>
            </a:gs>
            <a:gs pos="100000">
              <a:srgbClr val="66FF99">
                <a:tint val="23500"/>
                <a:satMod val="160000"/>
              </a:srgbClr>
            </a:gs>
          </a:gsLst>
          <a:lin ang="16200000" scaled="1"/>
          <a:tileRect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IN" sz="1050" b="1" u="sng"/>
            <a:t>Objective 8</a:t>
          </a:r>
          <a:r>
            <a:rPr lang="en-IN" sz="1200" b="1"/>
            <a:t>:</a:t>
          </a:r>
          <a:r>
            <a:rPr lang="en-IN" sz="1200" b="1" baseline="0"/>
            <a:t> </a:t>
          </a:r>
          <a:r>
            <a:rPr lang="en-IN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IN" sz="1000" b="1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To create for-profit activities that helps to further Krishna consciousness and is also in line with the principles of Krishna consciousness, to meet the expenses of temple activities. </a:t>
          </a:r>
          <a:endParaRPr lang="en-IN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1050" b="1" u="sng">
              <a:solidFill>
                <a:schemeClr val="dk1"/>
              </a:solidFill>
              <a:latin typeface="+mn-lt"/>
              <a:ea typeface="+mn-ea"/>
              <a:cs typeface="+mn-cs"/>
            </a:rPr>
            <a:t>Objective 11</a:t>
          </a:r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: To promote sustainable and socially responsible practices while achieving the above objectives.</a:t>
          </a:r>
          <a:endParaRPr lang="en-IN" sz="1200" b="1"/>
        </a:p>
      </xdr:txBody>
    </xdr:sp>
    <xdr:clientData/>
  </xdr:twoCellAnchor>
  <xdr:twoCellAnchor>
    <xdr:from>
      <xdr:col>4</xdr:col>
      <xdr:colOff>333375</xdr:colOff>
      <xdr:row>17</xdr:row>
      <xdr:rowOff>19050</xdr:rowOff>
    </xdr:from>
    <xdr:to>
      <xdr:col>4</xdr:col>
      <xdr:colOff>514350</xdr:colOff>
      <xdr:row>17</xdr:row>
      <xdr:rowOff>161925</xdr:rowOff>
    </xdr:to>
    <xdr:sp macro="" textlink="">
      <xdr:nvSpPr>
        <xdr:cNvPr id="25" name="Up Arrow 24"/>
        <xdr:cNvSpPr/>
      </xdr:nvSpPr>
      <xdr:spPr>
        <a:xfrm>
          <a:off x="2638425" y="3276600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15</xdr:col>
      <xdr:colOff>257175</xdr:colOff>
      <xdr:row>17</xdr:row>
      <xdr:rowOff>38100</xdr:rowOff>
    </xdr:from>
    <xdr:to>
      <xdr:col>15</xdr:col>
      <xdr:colOff>438150</xdr:colOff>
      <xdr:row>17</xdr:row>
      <xdr:rowOff>180975</xdr:rowOff>
    </xdr:to>
    <xdr:sp macro="" textlink="">
      <xdr:nvSpPr>
        <xdr:cNvPr id="26" name="Up Arrow 25"/>
        <xdr:cNvSpPr/>
      </xdr:nvSpPr>
      <xdr:spPr>
        <a:xfrm>
          <a:off x="9267825" y="3295650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495300</xdr:colOff>
      <xdr:row>25</xdr:row>
      <xdr:rowOff>19050</xdr:rowOff>
    </xdr:from>
    <xdr:to>
      <xdr:col>7</xdr:col>
      <xdr:colOff>66675</xdr:colOff>
      <xdr:row>25</xdr:row>
      <xdr:rowOff>161925</xdr:rowOff>
    </xdr:to>
    <xdr:sp macro="" textlink="">
      <xdr:nvSpPr>
        <xdr:cNvPr id="28" name="Up Arrow 27"/>
        <xdr:cNvSpPr/>
      </xdr:nvSpPr>
      <xdr:spPr>
        <a:xfrm>
          <a:off x="4019550" y="4743450"/>
          <a:ext cx="180975" cy="14287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171450</xdr:colOff>
      <xdr:row>32</xdr:row>
      <xdr:rowOff>28575</xdr:rowOff>
    </xdr:from>
    <xdr:to>
      <xdr:col>4</xdr:col>
      <xdr:colOff>352425</xdr:colOff>
      <xdr:row>32</xdr:row>
      <xdr:rowOff>171450</xdr:rowOff>
    </xdr:to>
    <xdr:sp macro="" textlink="">
      <xdr:nvSpPr>
        <xdr:cNvPr id="29" name="Up Arrow 28"/>
        <xdr:cNvSpPr/>
      </xdr:nvSpPr>
      <xdr:spPr>
        <a:xfrm>
          <a:off x="2476500" y="4867275"/>
          <a:ext cx="180975" cy="142875"/>
        </a:xfrm>
        <a:prstGeom prst="up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542924</xdr:colOff>
      <xdr:row>33</xdr:row>
      <xdr:rowOff>1</xdr:rowOff>
    </xdr:from>
    <xdr:to>
      <xdr:col>10</xdr:col>
      <xdr:colOff>504825</xdr:colOff>
      <xdr:row>34</xdr:row>
      <xdr:rowOff>66675</xdr:rowOff>
    </xdr:to>
    <xdr:sp macro="" textlink="">
      <xdr:nvSpPr>
        <xdr:cNvPr id="36" name="Rectangle 35"/>
        <xdr:cNvSpPr/>
      </xdr:nvSpPr>
      <xdr:spPr>
        <a:xfrm>
          <a:off x="3457574" y="6172201"/>
          <a:ext cx="300990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Employee</a:t>
          </a:r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295275</xdr:colOff>
      <xdr:row>35</xdr:row>
      <xdr:rowOff>0</xdr:rowOff>
    </xdr:from>
    <xdr:to>
      <xdr:col>10</xdr:col>
      <xdr:colOff>485775</xdr:colOff>
      <xdr:row>38</xdr:row>
      <xdr:rowOff>0</xdr:rowOff>
    </xdr:to>
    <xdr:sp macro="" textlink="">
      <xdr:nvSpPr>
        <xdr:cNvPr id="37" name="Rectangle 36"/>
        <xdr:cNvSpPr/>
      </xdr:nvSpPr>
      <xdr:spPr>
        <a:xfrm>
          <a:off x="5038725" y="5410200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Employee Attrition</a:t>
          </a:r>
        </a:p>
      </xdr:txBody>
    </xdr:sp>
    <xdr:clientData/>
  </xdr:twoCellAnchor>
  <xdr:twoCellAnchor>
    <xdr:from>
      <xdr:col>8</xdr:col>
      <xdr:colOff>114300</xdr:colOff>
      <xdr:row>32</xdr:row>
      <xdr:rowOff>28575</xdr:rowOff>
    </xdr:from>
    <xdr:to>
      <xdr:col>8</xdr:col>
      <xdr:colOff>295275</xdr:colOff>
      <xdr:row>32</xdr:row>
      <xdr:rowOff>171450</xdr:rowOff>
    </xdr:to>
    <xdr:sp macro="" textlink="">
      <xdr:nvSpPr>
        <xdr:cNvPr id="39" name="Up Arrow 38"/>
        <xdr:cNvSpPr/>
      </xdr:nvSpPr>
      <xdr:spPr>
        <a:xfrm>
          <a:off x="4857750" y="6010275"/>
          <a:ext cx="180975" cy="142875"/>
        </a:xfrm>
        <a:prstGeom prst="up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9526</xdr:colOff>
      <xdr:row>10</xdr:row>
      <xdr:rowOff>76200</xdr:rowOff>
    </xdr:from>
    <xdr:to>
      <xdr:col>11</xdr:col>
      <xdr:colOff>247650</xdr:colOff>
      <xdr:row>11</xdr:row>
      <xdr:rowOff>133349</xdr:rowOff>
    </xdr:to>
    <xdr:sp macro="" textlink="">
      <xdr:nvSpPr>
        <xdr:cNvPr id="40" name="Rectangle 39"/>
        <xdr:cNvSpPr/>
      </xdr:nvSpPr>
      <xdr:spPr>
        <a:xfrm>
          <a:off x="1704976" y="2000250"/>
          <a:ext cx="5114924" cy="247649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Revenue Split</a:t>
          </a:r>
        </a:p>
      </xdr:txBody>
    </xdr:sp>
    <xdr:clientData/>
  </xdr:twoCellAnchor>
  <xdr:twoCellAnchor>
    <xdr:from>
      <xdr:col>2</xdr:col>
      <xdr:colOff>476249</xdr:colOff>
      <xdr:row>12</xdr:row>
      <xdr:rowOff>85725</xdr:rowOff>
    </xdr:from>
    <xdr:to>
      <xdr:col>4</xdr:col>
      <xdr:colOff>314325</xdr:colOff>
      <xdr:row>16</xdr:row>
      <xdr:rowOff>19051</xdr:rowOff>
    </xdr:to>
    <xdr:sp macro="" textlink="">
      <xdr:nvSpPr>
        <xdr:cNvPr id="41" name="Rectangle 40"/>
        <xdr:cNvSpPr/>
      </xdr:nvSpPr>
      <xdr:spPr>
        <a:xfrm>
          <a:off x="1695449" y="2390775"/>
          <a:ext cx="9239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Donations</a:t>
          </a:r>
        </a:p>
      </xdr:txBody>
    </xdr:sp>
    <xdr:clientData/>
  </xdr:twoCellAnchor>
  <xdr:twoCellAnchor>
    <xdr:from>
      <xdr:col>4</xdr:col>
      <xdr:colOff>428624</xdr:colOff>
      <xdr:row>12</xdr:row>
      <xdr:rowOff>85725</xdr:rowOff>
    </xdr:from>
    <xdr:to>
      <xdr:col>6</xdr:col>
      <xdr:colOff>133350</xdr:colOff>
      <xdr:row>16</xdr:row>
      <xdr:rowOff>19051</xdr:rowOff>
    </xdr:to>
    <xdr:sp macro="" textlink="">
      <xdr:nvSpPr>
        <xdr:cNvPr id="42" name="Rectangle 41"/>
        <xdr:cNvSpPr/>
      </xdr:nvSpPr>
      <xdr:spPr>
        <a:xfrm>
          <a:off x="2733674" y="2390775"/>
          <a:ext cx="9239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Kalyana Mantapa &amp; Yatri Niwas</a:t>
          </a:r>
        </a:p>
      </xdr:txBody>
    </xdr:sp>
    <xdr:clientData/>
  </xdr:twoCellAnchor>
  <xdr:twoCellAnchor>
    <xdr:from>
      <xdr:col>6</xdr:col>
      <xdr:colOff>238124</xdr:colOff>
      <xdr:row>12</xdr:row>
      <xdr:rowOff>95250</xdr:rowOff>
    </xdr:from>
    <xdr:to>
      <xdr:col>7</xdr:col>
      <xdr:colOff>590549</xdr:colOff>
      <xdr:row>16</xdr:row>
      <xdr:rowOff>28576</xdr:rowOff>
    </xdr:to>
    <xdr:sp macro="" textlink="">
      <xdr:nvSpPr>
        <xdr:cNvPr id="43" name="Rectangle 42"/>
        <xdr:cNvSpPr/>
      </xdr:nvSpPr>
      <xdr:spPr>
        <a:xfrm>
          <a:off x="3762374" y="2400300"/>
          <a:ext cx="962025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SST/IC/GST</a:t>
          </a:r>
        </a:p>
      </xdr:txBody>
    </xdr:sp>
    <xdr:clientData/>
  </xdr:twoCellAnchor>
  <xdr:twoCellAnchor>
    <xdr:from>
      <xdr:col>8</xdr:col>
      <xdr:colOff>66675</xdr:colOff>
      <xdr:row>12</xdr:row>
      <xdr:rowOff>95250</xdr:rowOff>
    </xdr:from>
    <xdr:to>
      <xdr:col>9</xdr:col>
      <xdr:colOff>381000</xdr:colOff>
      <xdr:row>16</xdr:row>
      <xdr:rowOff>28576</xdr:rowOff>
    </xdr:to>
    <xdr:sp macro="" textlink="">
      <xdr:nvSpPr>
        <xdr:cNvPr id="44" name="Rectangle 43"/>
        <xdr:cNvSpPr/>
      </xdr:nvSpPr>
      <xdr:spPr>
        <a:xfrm>
          <a:off x="4810125" y="2400300"/>
          <a:ext cx="923925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Temple: External: Online</a:t>
          </a:r>
        </a:p>
      </xdr:txBody>
    </xdr:sp>
    <xdr:clientData/>
  </xdr:twoCellAnchor>
  <xdr:twoCellAnchor>
    <xdr:from>
      <xdr:col>9</xdr:col>
      <xdr:colOff>485775</xdr:colOff>
      <xdr:row>12</xdr:row>
      <xdr:rowOff>104775</xdr:rowOff>
    </xdr:from>
    <xdr:to>
      <xdr:col>11</xdr:col>
      <xdr:colOff>266701</xdr:colOff>
      <xdr:row>16</xdr:row>
      <xdr:rowOff>38101</xdr:rowOff>
    </xdr:to>
    <xdr:sp macro="" textlink="">
      <xdr:nvSpPr>
        <xdr:cNvPr id="45" name="Rectangle 44"/>
        <xdr:cNvSpPr/>
      </xdr:nvSpPr>
      <xdr:spPr>
        <a:xfrm>
          <a:off x="5838825" y="2409825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Weekday: Weekend</a:t>
          </a:r>
        </a:p>
      </xdr:txBody>
    </xdr:sp>
    <xdr:clientData/>
  </xdr:twoCellAnchor>
  <xdr:twoCellAnchor>
    <xdr:from>
      <xdr:col>11</xdr:col>
      <xdr:colOff>457200</xdr:colOff>
      <xdr:row>12</xdr:row>
      <xdr:rowOff>104775</xdr:rowOff>
    </xdr:from>
    <xdr:to>
      <xdr:col>13</xdr:col>
      <xdr:colOff>238126</xdr:colOff>
      <xdr:row>16</xdr:row>
      <xdr:rowOff>38101</xdr:rowOff>
    </xdr:to>
    <xdr:sp macro="" textlink="">
      <xdr:nvSpPr>
        <xdr:cNvPr id="46" name="Rectangle 45"/>
        <xdr:cNvSpPr/>
      </xdr:nvSpPr>
      <xdr:spPr>
        <a:xfrm>
          <a:off x="7029450" y="2409825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PAT overall and across units</a:t>
          </a:r>
        </a:p>
      </xdr:txBody>
    </xdr:sp>
    <xdr:clientData/>
  </xdr:twoCellAnchor>
  <xdr:twoCellAnchor>
    <xdr:from>
      <xdr:col>13</xdr:col>
      <xdr:colOff>333375</xdr:colOff>
      <xdr:row>12</xdr:row>
      <xdr:rowOff>114300</xdr:rowOff>
    </xdr:from>
    <xdr:to>
      <xdr:col>15</xdr:col>
      <xdr:colOff>114301</xdr:colOff>
      <xdr:row>16</xdr:row>
      <xdr:rowOff>47626</xdr:rowOff>
    </xdr:to>
    <xdr:sp macro="" textlink="">
      <xdr:nvSpPr>
        <xdr:cNvPr id="47" name="Rectangle 46"/>
        <xdr:cNvSpPr/>
      </xdr:nvSpPr>
      <xdr:spPr>
        <a:xfrm>
          <a:off x="8124825" y="2419350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Overall Cost and across units</a:t>
          </a:r>
        </a:p>
      </xdr:txBody>
    </xdr:sp>
    <xdr:clientData/>
  </xdr:twoCellAnchor>
  <xdr:twoCellAnchor>
    <xdr:from>
      <xdr:col>15</xdr:col>
      <xdr:colOff>200025</xdr:colOff>
      <xdr:row>12</xdr:row>
      <xdr:rowOff>123825</xdr:rowOff>
    </xdr:from>
    <xdr:to>
      <xdr:col>16</xdr:col>
      <xdr:colOff>590551</xdr:colOff>
      <xdr:row>16</xdr:row>
      <xdr:rowOff>57151</xdr:rowOff>
    </xdr:to>
    <xdr:sp macro="" textlink="">
      <xdr:nvSpPr>
        <xdr:cNvPr id="48" name="Rectangle 47"/>
        <xdr:cNvSpPr/>
      </xdr:nvSpPr>
      <xdr:spPr>
        <a:xfrm>
          <a:off x="9210675" y="2428875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Net Donation</a:t>
          </a:r>
          <a:r>
            <a:rPr lang="en-IN" sz="1000" b="1" baseline="0"/>
            <a:t> for Charitable Activities</a:t>
          </a:r>
          <a:endParaRPr lang="en-IN" sz="1000" b="1"/>
        </a:p>
      </xdr:txBody>
    </xdr:sp>
    <xdr:clientData/>
  </xdr:twoCellAnchor>
  <xdr:twoCellAnchor>
    <xdr:from>
      <xdr:col>17</xdr:col>
      <xdr:colOff>66674</xdr:colOff>
      <xdr:row>12</xdr:row>
      <xdr:rowOff>123825</xdr:rowOff>
    </xdr:from>
    <xdr:to>
      <xdr:col>18</xdr:col>
      <xdr:colOff>514349</xdr:colOff>
      <xdr:row>16</xdr:row>
      <xdr:rowOff>57151</xdr:rowOff>
    </xdr:to>
    <xdr:sp macro="" textlink="">
      <xdr:nvSpPr>
        <xdr:cNvPr id="49" name="Rectangle 48"/>
        <xdr:cNvSpPr/>
      </xdr:nvSpPr>
      <xdr:spPr>
        <a:xfrm>
          <a:off x="10296524" y="2428875"/>
          <a:ext cx="1057275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Asset Utilization and People Productivity</a:t>
          </a:r>
        </a:p>
      </xdr:txBody>
    </xdr:sp>
    <xdr:clientData/>
  </xdr:twoCellAnchor>
  <xdr:twoCellAnchor>
    <xdr:from>
      <xdr:col>8</xdr:col>
      <xdr:colOff>0</xdr:colOff>
      <xdr:row>27</xdr:row>
      <xdr:rowOff>171450</xdr:rowOff>
    </xdr:from>
    <xdr:to>
      <xdr:col>10</xdr:col>
      <xdr:colOff>190500</xdr:colOff>
      <xdr:row>31</xdr:row>
      <xdr:rowOff>9525</xdr:rowOff>
    </xdr:to>
    <xdr:sp macro="" textlink="">
      <xdr:nvSpPr>
        <xdr:cNvPr id="51" name="Rectangle 50"/>
        <xdr:cNvSpPr/>
      </xdr:nvSpPr>
      <xdr:spPr>
        <a:xfrm>
          <a:off x="4743450" y="5276850"/>
          <a:ext cx="14097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Scheme Performance in Dhananjaya</a:t>
          </a:r>
        </a:p>
      </xdr:txBody>
    </xdr:sp>
    <xdr:clientData/>
  </xdr:twoCellAnchor>
  <xdr:twoCellAnchor>
    <xdr:from>
      <xdr:col>3</xdr:col>
      <xdr:colOff>461963</xdr:colOff>
      <xdr:row>16</xdr:row>
      <xdr:rowOff>19051</xdr:rowOff>
    </xdr:from>
    <xdr:to>
      <xdr:col>9</xdr:col>
      <xdr:colOff>95251</xdr:colOff>
      <xdr:row>27</xdr:row>
      <xdr:rowOff>171450</xdr:rowOff>
    </xdr:to>
    <xdr:cxnSp macro="">
      <xdr:nvCxnSpPr>
        <xdr:cNvPr id="53" name="Curved Connector 52"/>
        <xdr:cNvCxnSpPr>
          <a:stCxn id="51" idx="0"/>
          <a:endCxn id="41" idx="2"/>
        </xdr:cNvCxnSpPr>
      </xdr:nvCxnSpPr>
      <xdr:spPr>
        <a:xfrm rot="16200000" flipV="1">
          <a:off x="2707482" y="2536032"/>
          <a:ext cx="2190749" cy="329088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</xdr:row>
      <xdr:rowOff>28577</xdr:rowOff>
    </xdr:from>
    <xdr:to>
      <xdr:col>7</xdr:col>
      <xdr:colOff>109537</xdr:colOff>
      <xdr:row>27</xdr:row>
      <xdr:rowOff>161926</xdr:rowOff>
    </xdr:to>
    <xdr:cxnSp macro="">
      <xdr:nvCxnSpPr>
        <xdr:cNvPr id="55" name="Curved Connector 54"/>
        <xdr:cNvCxnSpPr>
          <a:stCxn id="16" idx="0"/>
          <a:endCxn id="43" idx="2"/>
        </xdr:cNvCxnSpPr>
      </xdr:nvCxnSpPr>
      <xdr:spPr>
        <a:xfrm rot="5400000" flipH="1" flipV="1">
          <a:off x="2264569" y="3288508"/>
          <a:ext cx="2171699" cy="1785937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280987</xdr:colOff>
      <xdr:row>16</xdr:row>
      <xdr:rowOff>19051</xdr:rowOff>
    </xdr:from>
    <xdr:to>
      <xdr:col>6</xdr:col>
      <xdr:colOff>447675</xdr:colOff>
      <xdr:row>27</xdr:row>
      <xdr:rowOff>161925</xdr:rowOff>
    </xdr:to>
    <xdr:cxnSp macro="">
      <xdr:nvCxnSpPr>
        <xdr:cNvPr id="57" name="Curved Connector 56"/>
        <xdr:cNvCxnSpPr>
          <a:stCxn id="17" idx="0"/>
          <a:endCxn id="42" idx="2"/>
        </xdr:cNvCxnSpPr>
      </xdr:nvCxnSpPr>
      <xdr:spPr>
        <a:xfrm rot="16200000" flipV="1">
          <a:off x="2493169" y="3788569"/>
          <a:ext cx="2181224" cy="77628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380999</xdr:colOff>
      <xdr:row>26</xdr:row>
      <xdr:rowOff>1</xdr:rowOff>
    </xdr:from>
    <xdr:to>
      <xdr:col>14</xdr:col>
      <xdr:colOff>209550</xdr:colOff>
      <xdr:row>27</xdr:row>
      <xdr:rowOff>66675</xdr:rowOff>
    </xdr:to>
    <xdr:sp macro="" textlink="">
      <xdr:nvSpPr>
        <xdr:cNvPr id="58" name="Rectangle 57"/>
        <xdr:cNvSpPr/>
      </xdr:nvSpPr>
      <xdr:spPr>
        <a:xfrm>
          <a:off x="6343649" y="4914901"/>
          <a:ext cx="226695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Marketing &amp;</a:t>
          </a:r>
          <a:r>
            <a:rPr lang="en-IN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Promotion</a:t>
          </a:r>
          <a:endParaRPr lang="en-IN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166686</xdr:colOff>
      <xdr:row>31</xdr:row>
      <xdr:rowOff>9526</xdr:rowOff>
    </xdr:from>
    <xdr:to>
      <xdr:col>9</xdr:col>
      <xdr:colOff>95249</xdr:colOff>
      <xdr:row>33</xdr:row>
      <xdr:rowOff>2</xdr:rowOff>
    </xdr:to>
    <xdr:cxnSp macro="">
      <xdr:nvCxnSpPr>
        <xdr:cNvPr id="60" name="Curved Connector 59"/>
        <xdr:cNvCxnSpPr>
          <a:stCxn id="21" idx="0"/>
          <a:endCxn id="51" idx="2"/>
        </xdr:cNvCxnSpPr>
      </xdr:nvCxnSpPr>
      <xdr:spPr>
        <a:xfrm rot="5400000" flipH="1" flipV="1">
          <a:off x="3812380" y="4536282"/>
          <a:ext cx="295276" cy="2976563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123826</xdr:colOff>
      <xdr:row>18</xdr:row>
      <xdr:rowOff>0</xdr:rowOff>
    </xdr:from>
    <xdr:to>
      <xdr:col>10</xdr:col>
      <xdr:colOff>247649</xdr:colOff>
      <xdr:row>19</xdr:row>
      <xdr:rowOff>38099</xdr:rowOff>
    </xdr:to>
    <xdr:sp macro="" textlink="">
      <xdr:nvSpPr>
        <xdr:cNvPr id="61" name="Rectangle 60"/>
        <xdr:cNvSpPr/>
      </xdr:nvSpPr>
      <xdr:spPr>
        <a:xfrm>
          <a:off x="4257676" y="3448050"/>
          <a:ext cx="1952623" cy="22859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Distribute Holy Name</a:t>
          </a:r>
        </a:p>
      </xdr:txBody>
    </xdr:sp>
    <xdr:clientData/>
  </xdr:twoCellAnchor>
  <xdr:twoCellAnchor>
    <xdr:from>
      <xdr:col>11</xdr:col>
      <xdr:colOff>19051</xdr:colOff>
      <xdr:row>18</xdr:row>
      <xdr:rowOff>28575</xdr:rowOff>
    </xdr:from>
    <xdr:to>
      <xdr:col>15</xdr:col>
      <xdr:colOff>590550</xdr:colOff>
      <xdr:row>19</xdr:row>
      <xdr:rowOff>47624</xdr:rowOff>
    </xdr:to>
    <xdr:sp macro="" textlink="">
      <xdr:nvSpPr>
        <xdr:cNvPr id="63" name="Rectangle 62"/>
        <xdr:cNvSpPr/>
      </xdr:nvSpPr>
      <xdr:spPr>
        <a:xfrm>
          <a:off x="6591301" y="3476625"/>
          <a:ext cx="3009899" cy="20954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Distribute  Books to  Desired</a:t>
          </a:r>
          <a:r>
            <a:rPr lang="en-IN" sz="1100" b="1" baseline="0">
              <a:solidFill>
                <a:schemeClr val="bg1"/>
              </a:solidFill>
            </a:rPr>
            <a:t> Audience</a:t>
          </a:r>
          <a:r>
            <a:rPr lang="en-IN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11</xdr:col>
      <xdr:colOff>9524</xdr:colOff>
      <xdr:row>20</xdr:row>
      <xdr:rowOff>28574</xdr:rowOff>
    </xdr:from>
    <xdr:to>
      <xdr:col>15</xdr:col>
      <xdr:colOff>600075</xdr:colOff>
      <xdr:row>24</xdr:row>
      <xdr:rowOff>76199</xdr:rowOff>
    </xdr:to>
    <xdr:sp macro="" textlink="">
      <xdr:nvSpPr>
        <xdr:cNvPr id="64" name="Rectangle 63"/>
        <xdr:cNvSpPr/>
      </xdr:nvSpPr>
      <xdr:spPr>
        <a:xfrm>
          <a:off x="6581774" y="3857624"/>
          <a:ext cx="3028951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Books distributed and related promotional activities  done</a:t>
          </a:r>
        </a:p>
      </xdr:txBody>
    </xdr:sp>
    <xdr:clientData/>
  </xdr:twoCellAnchor>
  <xdr:twoCellAnchor>
    <xdr:from>
      <xdr:col>7</xdr:col>
      <xdr:colOff>109538</xdr:colOff>
      <xdr:row>16</xdr:row>
      <xdr:rowOff>28576</xdr:rowOff>
    </xdr:from>
    <xdr:to>
      <xdr:col>13</xdr:col>
      <xdr:colOff>304802</xdr:colOff>
      <xdr:row>18</xdr:row>
      <xdr:rowOff>28575</xdr:rowOff>
    </xdr:to>
    <xdr:cxnSp macro="">
      <xdr:nvCxnSpPr>
        <xdr:cNvPr id="67" name="Curved Connector 66"/>
        <xdr:cNvCxnSpPr>
          <a:stCxn id="63" idx="0"/>
          <a:endCxn id="43" idx="2"/>
        </xdr:cNvCxnSpPr>
      </xdr:nvCxnSpPr>
      <xdr:spPr>
        <a:xfrm rot="16200000" flipV="1">
          <a:off x="5979320" y="1359694"/>
          <a:ext cx="380999" cy="3852864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76199</xdr:colOff>
      <xdr:row>26</xdr:row>
      <xdr:rowOff>19051</xdr:rowOff>
    </xdr:from>
    <xdr:to>
      <xdr:col>18</xdr:col>
      <xdr:colOff>514350</xdr:colOff>
      <xdr:row>27</xdr:row>
      <xdr:rowOff>85725</xdr:rowOff>
    </xdr:to>
    <xdr:sp macro="" textlink="">
      <xdr:nvSpPr>
        <xdr:cNvPr id="68" name="Rectangle 67"/>
        <xdr:cNvSpPr/>
      </xdr:nvSpPr>
      <xdr:spPr>
        <a:xfrm>
          <a:off x="9086849" y="4933951"/>
          <a:ext cx="226695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Social Responsibility</a:t>
          </a:r>
        </a:p>
      </xdr:txBody>
    </xdr:sp>
    <xdr:clientData/>
  </xdr:twoCellAnchor>
  <xdr:twoCellAnchor>
    <xdr:from>
      <xdr:col>10</xdr:col>
      <xdr:colOff>390524</xdr:colOff>
      <xdr:row>27</xdr:row>
      <xdr:rowOff>180975</xdr:rowOff>
    </xdr:from>
    <xdr:to>
      <xdr:col>14</xdr:col>
      <xdr:colOff>247649</xdr:colOff>
      <xdr:row>31</xdr:row>
      <xdr:rowOff>19050</xdr:rowOff>
    </xdr:to>
    <xdr:sp macro="" textlink="">
      <xdr:nvSpPr>
        <xdr:cNvPr id="69" name="Rectangle 68"/>
        <xdr:cNvSpPr/>
      </xdr:nvSpPr>
      <xdr:spPr>
        <a:xfrm>
          <a:off x="6353174" y="5286375"/>
          <a:ext cx="2295525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Engagement activities &amp; promotion efforts made to increase sales that helps to further Krishna Consciousness</a:t>
          </a:r>
        </a:p>
      </xdr:txBody>
    </xdr:sp>
    <xdr:clientData/>
  </xdr:twoCellAnchor>
  <xdr:twoCellAnchor>
    <xdr:from>
      <xdr:col>15</xdr:col>
      <xdr:colOff>381000</xdr:colOff>
      <xdr:row>28</xdr:row>
      <xdr:rowOff>0</xdr:rowOff>
    </xdr:from>
    <xdr:to>
      <xdr:col>18</xdr:col>
      <xdr:colOff>190500</xdr:colOff>
      <xdr:row>31</xdr:row>
      <xdr:rowOff>28575</xdr:rowOff>
    </xdr:to>
    <xdr:sp macro="" textlink="">
      <xdr:nvSpPr>
        <xdr:cNvPr id="70" name="Rectangle 69"/>
        <xdr:cNvSpPr/>
      </xdr:nvSpPr>
      <xdr:spPr>
        <a:xfrm>
          <a:off x="9391650" y="5295900"/>
          <a:ext cx="16383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Reduction in usage of material that spreads environmental pollution</a:t>
          </a:r>
        </a:p>
      </xdr:txBody>
    </xdr:sp>
    <xdr:clientData/>
  </xdr:twoCellAnchor>
  <xdr:twoCellAnchor>
    <xdr:from>
      <xdr:col>7</xdr:col>
      <xdr:colOff>128588</xdr:colOff>
      <xdr:row>11</xdr:row>
      <xdr:rowOff>133349</xdr:rowOff>
    </xdr:from>
    <xdr:to>
      <xdr:col>12</xdr:col>
      <xdr:colOff>295275</xdr:colOff>
      <xdr:row>26</xdr:row>
      <xdr:rowOff>1</xdr:rowOff>
    </xdr:to>
    <xdr:cxnSp macro="">
      <xdr:nvCxnSpPr>
        <xdr:cNvPr id="72" name="Curved Connector 71"/>
        <xdr:cNvCxnSpPr>
          <a:stCxn id="58" idx="0"/>
          <a:endCxn id="40" idx="2"/>
        </xdr:cNvCxnSpPr>
      </xdr:nvCxnSpPr>
      <xdr:spPr>
        <a:xfrm rot="16200000" flipV="1">
          <a:off x="4536281" y="1974056"/>
          <a:ext cx="2667002" cy="3214687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528639</xdr:colOff>
      <xdr:row>16</xdr:row>
      <xdr:rowOff>28576</xdr:rowOff>
    </xdr:from>
    <xdr:to>
      <xdr:col>16</xdr:col>
      <xdr:colOff>600076</xdr:colOff>
      <xdr:row>26</xdr:row>
      <xdr:rowOff>19051</xdr:rowOff>
    </xdr:to>
    <xdr:cxnSp macro="">
      <xdr:nvCxnSpPr>
        <xdr:cNvPr id="74" name="Curved Connector 73"/>
        <xdr:cNvCxnSpPr>
          <a:stCxn id="68" idx="0"/>
          <a:endCxn id="44" idx="2"/>
        </xdr:cNvCxnSpPr>
      </xdr:nvCxnSpPr>
      <xdr:spPr>
        <a:xfrm rot="16200000" flipV="1">
          <a:off x="6827045" y="1540670"/>
          <a:ext cx="1838325" cy="4948237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Autumn%20Leaf/Business%20process%20advisory/Project%20in%20execution/ISKCON/BSC/BSC%20Execution/AAD_Revenue/TSF%20Gifts%20BSC/Upto%20May/TSF%20(Gifts)%20BSC-Upto%20May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Autumn%20Leaf/Business%20process%20advisory/Project%20in%20execution/ISKCON/BSC/BSC%20Execution/AAD_Revenue/TSF%20Prasadam%20BSC/Upto%20May/TSF%20(Prasadam)%20BSC%20Draft%202_Krishnamurth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Autumn%20Leaf/Business%20process%20advisory/Project%20in%20execution/ISKCON/BSC/BSC%20Execution/AAD_Revenue/TSF%20Gifts%20BSC/BSC%20Revenue%20Block_SST%20revised_Gowri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t Map"/>
      <sheetName val="Strategic Intent Map"/>
      <sheetName val="Org Structure"/>
      <sheetName val="TSF Gifts Overall"/>
      <sheetName val="Temple Stores"/>
      <sheetName val="Temple"/>
      <sheetName val="External Sales"/>
      <sheetName val="Bruhat Mridangam"/>
      <sheetName val="Magazines"/>
      <sheetName val="Books"/>
    </sheetNames>
    <sheetDataSet>
      <sheetData sheetId="0" refreshError="1"/>
      <sheetData sheetId="1" refreshError="1"/>
      <sheetData sheetId="2" refreshError="1"/>
      <sheetData sheetId="3" refreshError="1">
        <row r="10">
          <cell r="I10">
            <v>26.21</v>
          </cell>
          <cell r="J10">
            <v>33.61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t Map"/>
      <sheetName val="Org Structure"/>
      <sheetName val="TSF Prasadam Overall"/>
      <sheetName val="HT Express BSC"/>
      <sheetName val="HT Stores BSC"/>
      <sheetName val="HT Fine Dining"/>
      <sheetName val="Strategic Intent Map"/>
      <sheetName val="Sheet3"/>
    </sheetNames>
    <sheetDataSet>
      <sheetData sheetId="0"/>
      <sheetData sheetId="1"/>
      <sheetData sheetId="2">
        <row r="3">
          <cell r="I3">
            <v>17215578</v>
          </cell>
          <cell r="J3">
            <v>17259219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 Revenue"/>
      <sheetName val="Non Book Revenue"/>
      <sheetName val="PAT"/>
      <sheetName val="Donation Paid"/>
      <sheetName val="Manpower, PP and L &amp; D"/>
      <sheetName val="Complaints"/>
      <sheetName val="Pricing"/>
      <sheetName val="Revenue based on Temple Visitor"/>
      <sheetName val="Sheet1"/>
    </sheetNames>
    <sheetDataSet>
      <sheetData sheetId="0">
        <row r="51">
          <cell r="D51">
            <v>24.509999999999998</v>
          </cell>
          <cell r="E51">
            <v>29.72</v>
          </cell>
        </row>
      </sheetData>
      <sheetData sheetId="1">
        <row r="51">
          <cell r="D51">
            <v>61.94</v>
          </cell>
          <cell r="E51">
            <v>92.79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showGridLines="0" zoomScaleNormal="100" workbookViewId="0">
      <selection activeCell="H35" sqref="H35"/>
    </sheetView>
  </sheetViews>
  <sheetFormatPr defaultRowHeight="15" x14ac:dyDescent="0.25"/>
  <sheetData>
    <row r="1" spans="1:36" x14ac:dyDescent="0.25">
      <c r="A1" s="7" t="s">
        <v>7</v>
      </c>
      <c r="C1" s="6"/>
      <c r="D1" s="6"/>
      <c r="E1" s="6"/>
      <c r="F1" s="7" t="s">
        <v>0</v>
      </c>
      <c r="G1" s="6"/>
      <c r="I1" s="6"/>
      <c r="J1" s="6"/>
      <c r="K1" s="7" t="s">
        <v>4</v>
      </c>
      <c r="M1" s="6"/>
      <c r="O1" s="7" t="s">
        <v>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7" spans="1:36" ht="8.25" customHeight="1" x14ac:dyDescent="0.25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36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6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36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36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36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36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36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36" ht="15" customHeight="1" x14ac:dyDescent="0.25"/>
    <row r="16" spans="1:36" ht="9.75" customHeight="1" x14ac:dyDescent="0.2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4:19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4:19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4:19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4:19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4:19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4:19" ht="11.25" customHeight="1" x14ac:dyDescent="0.25"/>
    <row r="23" spans="4:19" ht="9" customHeight="1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4:19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4:19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4:19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4:19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9" spans="4:19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4:19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4:19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4:19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12"/>
  <sheetViews>
    <sheetView showGridLines="0" workbookViewId="0">
      <pane xSplit="3" ySplit="2" topLeftCell="G64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RowHeight="12.75" x14ac:dyDescent="0.25"/>
  <cols>
    <col min="1" max="1" width="18.42578125" style="209" customWidth="1"/>
    <col min="2" max="2" width="25.140625" style="209" customWidth="1"/>
    <col min="3" max="3" width="41.7109375" style="209" customWidth="1"/>
    <col min="4" max="4" width="11" style="209" hidden="1" customWidth="1"/>
    <col min="5" max="5" width="11.5703125" style="209" hidden="1" customWidth="1"/>
    <col min="6" max="6" width="9.5703125" style="209" hidden="1" customWidth="1"/>
    <col min="7" max="7" width="0.85546875" style="211" customWidth="1"/>
    <col min="8" max="8" width="11.42578125" style="209" customWidth="1"/>
    <col min="9" max="9" width="11.85546875" style="209" customWidth="1"/>
    <col min="10" max="19" width="11.85546875" style="215" customWidth="1"/>
    <col min="20" max="20" width="15.5703125" style="215" customWidth="1"/>
    <col min="21" max="16384" width="9.140625" style="209"/>
  </cols>
  <sheetData>
    <row r="1" spans="1:20" ht="25.5" x14ac:dyDescent="0.25">
      <c r="A1" s="468" t="s">
        <v>1</v>
      </c>
      <c r="B1" s="468"/>
      <c r="C1" s="218" t="s">
        <v>2</v>
      </c>
      <c r="D1" s="218" t="s">
        <v>3</v>
      </c>
      <c r="E1" s="218" t="s">
        <v>8</v>
      </c>
      <c r="F1" s="138" t="s">
        <v>6</v>
      </c>
      <c r="G1" s="139"/>
      <c r="H1" s="140" t="s">
        <v>11</v>
      </c>
      <c r="I1" s="140" t="s">
        <v>12</v>
      </c>
      <c r="J1" s="140" t="s">
        <v>123</v>
      </c>
      <c r="K1" s="140" t="s">
        <v>124</v>
      </c>
      <c r="L1" s="140" t="s">
        <v>125</v>
      </c>
      <c r="M1" s="140" t="s">
        <v>126</v>
      </c>
      <c r="N1" s="140" t="s">
        <v>127</v>
      </c>
      <c r="O1" s="140" t="s">
        <v>128</v>
      </c>
      <c r="P1" s="140" t="s">
        <v>129</v>
      </c>
      <c r="Q1" s="140" t="s">
        <v>130</v>
      </c>
      <c r="R1" s="140" t="s">
        <v>131</v>
      </c>
      <c r="S1" s="140" t="s">
        <v>132</v>
      </c>
      <c r="T1" s="140" t="s">
        <v>133</v>
      </c>
    </row>
    <row r="2" spans="1:20" ht="15" customHeight="1" x14ac:dyDescent="0.25">
      <c r="A2" s="141" t="s">
        <v>29</v>
      </c>
      <c r="B2" s="141"/>
      <c r="C2" s="141"/>
      <c r="D2" s="142"/>
      <c r="E2" s="142"/>
      <c r="F2" s="143"/>
      <c r="G2" s="144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spans="1:20" ht="34.5" hidden="1" customHeight="1" x14ac:dyDescent="0.25">
      <c r="A3" s="463" t="s">
        <v>135</v>
      </c>
      <c r="B3" s="595" t="s">
        <v>141</v>
      </c>
      <c r="C3" s="189" t="s">
        <v>13</v>
      </c>
      <c r="D3" s="145"/>
      <c r="E3" s="145"/>
      <c r="F3" s="146"/>
      <c r="G3" s="147"/>
      <c r="H3" s="148">
        <f>SUM(H7:H41)</f>
        <v>1700.7462599999999</v>
      </c>
      <c r="I3" s="148">
        <f>SUM(I7:I41)</f>
        <v>2151.7423699999999</v>
      </c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>
        <f>SUM(H3:S3)</f>
        <v>3852.4886299999998</v>
      </c>
    </row>
    <row r="4" spans="1:20" ht="34.5" hidden="1" customHeight="1" x14ac:dyDescent="0.25">
      <c r="A4" s="464"/>
      <c r="B4" s="595"/>
      <c r="C4" s="189" t="s">
        <v>72</v>
      </c>
      <c r="D4" s="150"/>
      <c r="E4" s="145"/>
      <c r="F4" s="146"/>
      <c r="G4" s="147"/>
      <c r="H4" s="146"/>
      <c r="I4" s="146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</row>
    <row r="5" spans="1:20" ht="46.5" hidden="1" customHeight="1" x14ac:dyDescent="0.25">
      <c r="A5" s="464"/>
      <c r="B5" s="596"/>
      <c r="C5" s="230" t="s">
        <v>74</v>
      </c>
      <c r="D5" s="150"/>
      <c r="E5" s="150"/>
      <c r="F5" s="146"/>
      <c r="G5" s="147"/>
      <c r="H5" s="152"/>
      <c r="I5" s="152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</row>
    <row r="6" spans="1:20" ht="4.5" customHeight="1" x14ac:dyDescent="0.25">
      <c r="A6" s="464"/>
      <c r="B6" s="154"/>
      <c r="C6" s="155"/>
      <c r="D6" s="155"/>
      <c r="E6" s="155"/>
      <c r="F6" s="156"/>
      <c r="G6" s="147"/>
      <c r="H6" s="156"/>
      <c r="I6" s="157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</row>
    <row r="7" spans="1:20" ht="38.25" x14ac:dyDescent="0.25">
      <c r="A7" s="464"/>
      <c r="B7" s="597" t="s">
        <v>139</v>
      </c>
      <c r="C7" s="231" t="s">
        <v>200</v>
      </c>
      <c r="D7" s="145"/>
      <c r="E7" s="145"/>
      <c r="F7" s="146"/>
      <c r="G7" s="147"/>
      <c r="H7" s="227">
        <f>'Revenue Spilt IB'!E12/100000</f>
        <v>34.14913</v>
      </c>
      <c r="I7" s="227">
        <f>'Revenue Spilt IB'!G12/100000</f>
        <v>37.446759999999998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49">
        <f t="shared" ref="T7:T41" si="0">SUM(H7:S7)</f>
        <v>71.595889999999997</v>
      </c>
    </row>
    <row r="8" spans="1:20" x14ac:dyDescent="0.25">
      <c r="A8" s="464"/>
      <c r="B8" s="598"/>
      <c r="C8" s="231" t="s">
        <v>157</v>
      </c>
      <c r="D8" s="145"/>
      <c r="E8" s="145"/>
      <c r="F8" s="146"/>
      <c r="G8" s="147"/>
      <c r="H8" s="227">
        <f>'Revenue Spilt IB'!E20/100000</f>
        <v>27.44492</v>
      </c>
      <c r="I8" s="227">
        <f>'Revenue Spilt IB'!G20/100000</f>
        <v>18.758659999999999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49"/>
    </row>
    <row r="9" spans="1:20" ht="25.5" x14ac:dyDescent="0.25">
      <c r="A9" s="464"/>
      <c r="B9" s="598"/>
      <c r="C9" s="231" t="s">
        <v>201</v>
      </c>
      <c r="D9" s="145"/>
      <c r="E9" s="145"/>
      <c r="F9" s="146"/>
      <c r="G9" s="147"/>
      <c r="H9" s="227">
        <f>'Revenue Spilt IB'!E27/100000</f>
        <v>0.26523000000000002</v>
      </c>
      <c r="I9" s="227">
        <f>'Revenue Spilt IB'!G27/100000</f>
        <v>0.81991000000000003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49"/>
    </row>
    <row r="10" spans="1:20" ht="26.25" thickBot="1" x14ac:dyDescent="0.3">
      <c r="A10" s="464"/>
      <c r="B10" s="598"/>
      <c r="C10" s="232" t="s">
        <v>202</v>
      </c>
      <c r="D10" s="145"/>
      <c r="E10" s="145"/>
      <c r="F10" s="146"/>
      <c r="G10" s="147"/>
      <c r="H10" s="229">
        <f>'Revenue Spilt IB'!E33/100000</f>
        <v>25.010110000000001</v>
      </c>
      <c r="I10" s="229">
        <f>'Revenue Spilt IB'!G33/100000</f>
        <v>27.560890000000001</v>
      </c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49"/>
    </row>
    <row r="11" spans="1:20" ht="13.5" thickBot="1" x14ac:dyDescent="0.3">
      <c r="A11" s="464"/>
      <c r="B11" s="598"/>
      <c r="C11" s="235" t="s">
        <v>208</v>
      </c>
      <c r="D11" s="145"/>
      <c r="E11" s="145"/>
      <c r="F11" s="146"/>
      <c r="G11" s="147"/>
      <c r="H11" s="228">
        <f>SUM(H7:H10)</f>
        <v>86.869389999999996</v>
      </c>
      <c r="I11" s="228">
        <f>SUM(I7:I10)</f>
        <v>84.586219999999997</v>
      </c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49"/>
    </row>
    <row r="12" spans="1:20" ht="5.25" customHeight="1" thickTop="1" x14ac:dyDescent="0.25">
      <c r="A12" s="464"/>
      <c r="B12" s="598"/>
      <c r="C12" s="155"/>
      <c r="D12" s="155"/>
      <c r="E12" s="155"/>
      <c r="F12" s="156"/>
      <c r="G12" s="147"/>
      <c r="H12" s="156"/>
      <c r="I12" s="157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</row>
    <row r="13" spans="1:20" x14ac:dyDescent="0.25">
      <c r="A13" s="464"/>
      <c r="B13" s="598"/>
      <c r="C13" s="233" t="s">
        <v>203</v>
      </c>
      <c r="D13" s="145"/>
      <c r="E13" s="145"/>
      <c r="F13" s="146"/>
      <c r="G13" s="147"/>
      <c r="H13" s="227">
        <f>'Revenue Spilt IB'!E56/100000</f>
        <v>18.6191</v>
      </c>
      <c r="I13" s="227">
        <f>'Revenue Spilt IB'!G56/100000</f>
        <v>38.408050000000003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49">
        <f t="shared" si="0"/>
        <v>57.027150000000006</v>
      </c>
    </row>
    <row r="14" spans="1:20" ht="13.5" thickBot="1" x14ac:dyDescent="0.3">
      <c r="A14" s="464"/>
      <c r="B14" s="598"/>
      <c r="C14" s="234" t="s">
        <v>204</v>
      </c>
      <c r="D14" s="145"/>
      <c r="E14" s="145"/>
      <c r="F14" s="146"/>
      <c r="G14" s="147"/>
      <c r="H14" s="229">
        <f>'Revenue Spilt IB'!E57/100000</f>
        <v>1.1227499999999999</v>
      </c>
      <c r="I14" s="229">
        <f>'Revenue Spilt IB'!G57/100000</f>
        <v>1.3243499999999999</v>
      </c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49"/>
    </row>
    <row r="15" spans="1:20" ht="13.5" thickBot="1" x14ac:dyDescent="0.3">
      <c r="A15" s="464"/>
      <c r="B15" s="598"/>
      <c r="C15" s="235" t="s">
        <v>209</v>
      </c>
      <c r="D15" s="145"/>
      <c r="E15" s="145"/>
      <c r="F15" s="146"/>
      <c r="G15" s="147"/>
      <c r="H15" s="228">
        <f>SUM(H13:H14)</f>
        <v>19.741849999999999</v>
      </c>
      <c r="I15" s="228">
        <f>SUM(I13:I14)</f>
        <v>39.732400000000005</v>
      </c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49"/>
    </row>
    <row r="16" spans="1:20" ht="5.25" customHeight="1" thickTop="1" x14ac:dyDescent="0.25">
      <c r="A16" s="464"/>
      <c r="B16" s="598"/>
      <c r="C16" s="155"/>
      <c r="D16" s="155"/>
      <c r="E16" s="155"/>
      <c r="F16" s="156"/>
      <c r="G16" s="147"/>
      <c r="H16" s="156"/>
      <c r="I16" s="157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</row>
    <row r="17" spans="1:20" ht="12" customHeight="1" x14ac:dyDescent="0.25">
      <c r="A17" s="464"/>
      <c r="B17" s="598"/>
      <c r="C17" s="233" t="s">
        <v>205</v>
      </c>
      <c r="D17" s="145"/>
      <c r="E17" s="145"/>
      <c r="F17" s="146"/>
      <c r="G17" s="147"/>
      <c r="H17" s="227">
        <f>'Revenue Spilt IB'!E68/100000</f>
        <v>7.5484900000000001</v>
      </c>
      <c r="I17" s="227">
        <f>'Revenue Spilt IB'!G68/100000</f>
        <v>10.12008</v>
      </c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49">
        <f t="shared" ref="T17" si="1">SUM(H17:S17)</f>
        <v>17.668569999999999</v>
      </c>
    </row>
    <row r="18" spans="1:20" ht="12" customHeight="1" thickBot="1" x14ac:dyDescent="0.3">
      <c r="A18" s="464"/>
      <c r="B18" s="598"/>
      <c r="C18" s="234" t="s">
        <v>206</v>
      </c>
      <c r="D18" s="145"/>
      <c r="E18" s="145"/>
      <c r="F18" s="146"/>
      <c r="G18" s="147"/>
      <c r="H18" s="229"/>
      <c r="I18" s="229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49"/>
    </row>
    <row r="19" spans="1:20" ht="12" customHeight="1" thickBot="1" x14ac:dyDescent="0.3">
      <c r="A19" s="464"/>
      <c r="B19" s="598"/>
      <c r="C19" s="235" t="s">
        <v>210</v>
      </c>
      <c r="D19" s="145"/>
      <c r="E19" s="145"/>
      <c r="F19" s="146"/>
      <c r="G19" s="147"/>
      <c r="H19" s="228">
        <f>SUM(H17:H18)</f>
        <v>7.5484900000000001</v>
      </c>
      <c r="I19" s="228">
        <f>SUM(I17:I18)</f>
        <v>10.12008</v>
      </c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49"/>
    </row>
    <row r="20" spans="1:20" ht="4.5" customHeight="1" thickTop="1" x14ac:dyDescent="0.25">
      <c r="A20" s="464"/>
      <c r="B20" s="598"/>
      <c r="C20" s="155"/>
      <c r="D20" s="155"/>
      <c r="E20" s="155"/>
      <c r="F20" s="156"/>
      <c r="G20" s="147"/>
      <c r="H20" s="156"/>
      <c r="I20" s="157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</row>
    <row r="21" spans="1:20" ht="12" customHeight="1" x14ac:dyDescent="0.25">
      <c r="A21" s="464"/>
      <c r="B21" s="598"/>
      <c r="C21" s="233" t="s">
        <v>207</v>
      </c>
      <c r="D21" s="145"/>
      <c r="E21" s="145"/>
      <c r="F21" s="146"/>
      <c r="G21" s="147"/>
      <c r="H21" s="227">
        <f>'Revenue Spilt IB'!E81/100000</f>
        <v>29.852499999999999</v>
      </c>
      <c r="I21" s="227">
        <f>'Revenue Spilt IB'!G81/100000</f>
        <v>24.855250000000002</v>
      </c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49">
        <f t="shared" ref="T21" si="2">SUM(H21:S21)</f>
        <v>54.707750000000004</v>
      </c>
    </row>
    <row r="22" spans="1:20" ht="12" customHeight="1" thickBot="1" x14ac:dyDescent="0.3">
      <c r="A22" s="464"/>
      <c r="B22" s="598"/>
      <c r="C22" s="234" t="s">
        <v>169</v>
      </c>
      <c r="D22" s="145"/>
      <c r="E22" s="145"/>
      <c r="F22" s="146"/>
      <c r="G22" s="147"/>
      <c r="H22" s="229"/>
      <c r="I22" s="229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49"/>
    </row>
    <row r="23" spans="1:20" ht="12" customHeight="1" thickBot="1" x14ac:dyDescent="0.3">
      <c r="A23" s="464"/>
      <c r="B23" s="598"/>
      <c r="C23" s="235" t="s">
        <v>214</v>
      </c>
      <c r="D23" s="145"/>
      <c r="E23" s="145"/>
      <c r="F23" s="146"/>
      <c r="G23" s="147"/>
      <c r="H23" s="228">
        <f>SUM(H21:H22)</f>
        <v>29.852499999999999</v>
      </c>
      <c r="I23" s="228">
        <f>SUM(I21:I22)</f>
        <v>24.855250000000002</v>
      </c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49"/>
    </row>
    <row r="24" spans="1:20" ht="5.25" customHeight="1" thickTop="1" thickBot="1" x14ac:dyDescent="0.3">
      <c r="A24" s="464"/>
      <c r="B24" s="598"/>
      <c r="C24" s="236"/>
      <c r="D24" s="155"/>
      <c r="E24" s="155"/>
      <c r="F24" s="156"/>
      <c r="G24" s="147"/>
      <c r="H24" s="237"/>
      <c r="I24" s="23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</row>
    <row r="25" spans="1:20" ht="17.25" customHeight="1" thickBot="1" x14ac:dyDescent="0.3">
      <c r="A25" s="464"/>
      <c r="B25" s="598"/>
      <c r="C25" s="235" t="s">
        <v>215</v>
      </c>
      <c r="D25" s="145"/>
      <c r="E25" s="145"/>
      <c r="F25" s="146"/>
      <c r="G25" s="147"/>
      <c r="H25" s="228">
        <f>766000/100000</f>
        <v>7.66</v>
      </c>
      <c r="I25" s="228">
        <f>1007000/100000</f>
        <v>10.07</v>
      </c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49"/>
    </row>
    <row r="26" spans="1:20" ht="5.25" customHeight="1" thickTop="1" x14ac:dyDescent="0.25">
      <c r="A26" s="464"/>
      <c r="B26" s="598"/>
      <c r="C26" s="253"/>
      <c r="D26" s="155"/>
      <c r="E26" s="155"/>
      <c r="F26" s="156"/>
      <c r="G26" s="147"/>
      <c r="H26" s="147"/>
      <c r="I26" s="254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158"/>
    </row>
    <row r="27" spans="1:20" ht="14.25" customHeight="1" thickBot="1" x14ac:dyDescent="0.3">
      <c r="A27" s="464"/>
      <c r="B27" s="598"/>
      <c r="C27" s="239" t="s">
        <v>216</v>
      </c>
      <c r="D27" s="145"/>
      <c r="E27" s="145"/>
      <c r="F27" s="146"/>
      <c r="G27" s="147"/>
      <c r="H27" s="228">
        <f>H11+H15+H19+H23+H25</f>
        <v>151.67222999999998</v>
      </c>
      <c r="I27" s="228">
        <f>I11+I15+I19+I23+I25</f>
        <v>169.36395000000002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49"/>
    </row>
    <row r="28" spans="1:20" ht="4.5" customHeight="1" thickTop="1" x14ac:dyDescent="0.25">
      <c r="A28" s="464"/>
      <c r="B28" s="598"/>
      <c r="C28" s="155"/>
      <c r="D28" s="155"/>
      <c r="E28" s="155"/>
      <c r="F28" s="156"/>
      <c r="G28" s="147"/>
      <c r="H28" s="156"/>
      <c r="I28" s="157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</row>
    <row r="29" spans="1:20" x14ac:dyDescent="0.25">
      <c r="A29" s="464"/>
      <c r="B29" s="598"/>
      <c r="C29" s="243" t="s">
        <v>110</v>
      </c>
      <c r="D29" s="145"/>
      <c r="E29" s="145"/>
      <c r="F29" s="146"/>
      <c r="G29" s="147"/>
      <c r="H29" s="148">
        <f>'[1]TSF Gifts Overall'!$I$10</f>
        <v>26.21</v>
      </c>
      <c r="I29" s="148">
        <f>'[1]TSF Gifts Overall'!$J$10</f>
        <v>33.61</v>
      </c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>
        <f t="shared" si="0"/>
        <v>59.82</v>
      </c>
    </row>
    <row r="30" spans="1:20" x14ac:dyDescent="0.25">
      <c r="A30" s="464"/>
      <c r="B30" s="598"/>
      <c r="C30" s="243" t="s">
        <v>111</v>
      </c>
      <c r="D30" s="145"/>
      <c r="E30" s="145"/>
      <c r="F30" s="146"/>
      <c r="G30" s="147"/>
      <c r="H30" s="149">
        <v>78.290000000000006</v>
      </c>
      <c r="I30" s="149">
        <v>127.32</v>
      </c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</row>
    <row r="31" spans="1:20" ht="13.5" thickBot="1" x14ac:dyDescent="0.3">
      <c r="A31" s="464"/>
      <c r="B31" s="598"/>
      <c r="C31" s="235" t="s">
        <v>211</v>
      </c>
      <c r="D31" s="145"/>
      <c r="E31" s="145"/>
      <c r="F31" s="146"/>
      <c r="G31" s="147"/>
      <c r="H31" s="228">
        <f>H29+H30</f>
        <v>104.5</v>
      </c>
      <c r="I31" s="228">
        <f>I29+I30</f>
        <v>160.93</v>
      </c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</row>
    <row r="32" spans="1:20" ht="5.25" customHeight="1" thickTop="1" x14ac:dyDescent="0.25">
      <c r="A32" s="464"/>
      <c r="B32" s="598"/>
      <c r="C32" s="240"/>
      <c r="D32" s="240"/>
      <c r="E32" s="240"/>
      <c r="F32" s="183"/>
      <c r="G32" s="147"/>
      <c r="H32" s="241"/>
      <c r="I32" s="241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ht="13.5" thickBot="1" x14ac:dyDescent="0.3">
      <c r="A33" s="464"/>
      <c r="B33" s="598"/>
      <c r="C33" s="244" t="s">
        <v>114</v>
      </c>
      <c r="D33" s="145"/>
      <c r="E33" s="145"/>
      <c r="F33" s="146"/>
      <c r="G33" s="147"/>
      <c r="H33" s="245">
        <f>'[2]TSF Prasadam Overall'!$I$3/100000</f>
        <v>172.15577999999999</v>
      </c>
      <c r="I33" s="245">
        <f>'[2]TSF Prasadam Overall'!$J$3/100000</f>
        <v>172.59218999999999</v>
      </c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>
        <f t="shared" si="0"/>
        <v>344.74797000000001</v>
      </c>
    </row>
    <row r="34" spans="1:20" ht="5.25" customHeight="1" thickTop="1" x14ac:dyDescent="0.25">
      <c r="A34" s="464"/>
      <c r="B34" s="598"/>
      <c r="C34" s="240"/>
      <c r="D34" s="240"/>
      <c r="E34" s="240"/>
      <c r="F34" s="183"/>
      <c r="G34" s="147"/>
      <c r="H34" s="241"/>
      <c r="I34" s="241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ht="13.5" thickBot="1" x14ac:dyDescent="0.3">
      <c r="A35" s="464"/>
      <c r="B35" s="598"/>
      <c r="C35" s="244" t="s">
        <v>134</v>
      </c>
      <c r="D35" s="145"/>
      <c r="E35" s="145"/>
      <c r="F35" s="146"/>
      <c r="G35" s="147"/>
      <c r="H35" s="245">
        <v>31.07</v>
      </c>
      <c r="I35" s="245">
        <v>70.06</v>
      </c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>
        <f t="shared" si="0"/>
        <v>101.13</v>
      </c>
    </row>
    <row r="36" spans="1:20" ht="4.5" customHeight="1" thickTop="1" thickBot="1" x14ac:dyDescent="0.3">
      <c r="A36" s="464"/>
      <c r="B36" s="598"/>
      <c r="C36" s="240"/>
      <c r="D36" s="240"/>
      <c r="E36" s="240"/>
      <c r="F36" s="183"/>
      <c r="G36" s="147"/>
      <c r="H36" s="248"/>
      <c r="I36" s="248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>
        <f>SUM(H36:S36)</f>
        <v>0</v>
      </c>
    </row>
    <row r="37" spans="1:20" ht="13.5" thickBot="1" x14ac:dyDescent="0.3">
      <c r="A37" s="464"/>
      <c r="B37" s="598"/>
      <c r="C37" s="239" t="s">
        <v>212</v>
      </c>
      <c r="D37" s="145"/>
      <c r="E37" s="145"/>
      <c r="F37" s="146"/>
      <c r="G37" s="147"/>
      <c r="H37" s="247">
        <f>H31+H33+H35</f>
        <v>307.72577999999999</v>
      </c>
      <c r="I37" s="247">
        <f>I31+I33+I35</f>
        <v>403.58219000000003</v>
      </c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>
        <f t="shared" si="0"/>
        <v>711.30797000000007</v>
      </c>
    </row>
    <row r="38" spans="1:20" ht="4.5" customHeight="1" thickTop="1" thickBot="1" x14ac:dyDescent="0.3">
      <c r="A38" s="464"/>
      <c r="B38" s="598"/>
      <c r="C38" s="240"/>
      <c r="D38" s="240"/>
      <c r="E38" s="240"/>
      <c r="F38" s="183"/>
      <c r="G38" s="147"/>
      <c r="H38" s="248"/>
      <c r="I38" s="248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>
        <f>SUM(H38:S38)</f>
        <v>0</v>
      </c>
    </row>
    <row r="39" spans="1:20" ht="13.5" thickBot="1" x14ac:dyDescent="0.3">
      <c r="A39" s="464"/>
      <c r="B39" s="598"/>
      <c r="C39" s="249" t="s">
        <v>18</v>
      </c>
      <c r="D39" s="145"/>
      <c r="E39" s="145"/>
      <c r="F39" s="146"/>
      <c r="G39" s="147"/>
      <c r="H39" s="246">
        <v>37.020000000000003</v>
      </c>
      <c r="I39" s="246">
        <v>56.34</v>
      </c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</row>
    <row r="40" spans="1:20" ht="4.5" customHeight="1" thickTop="1" thickBot="1" x14ac:dyDescent="0.3">
      <c r="A40" s="464"/>
      <c r="B40" s="598"/>
      <c r="C40" s="240"/>
      <c r="D40" s="240"/>
      <c r="E40" s="240"/>
      <c r="F40" s="183"/>
      <c r="G40" s="147"/>
      <c r="H40" s="248"/>
      <c r="I40" s="248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>
        <f>SUM(H40:S40)</f>
        <v>0</v>
      </c>
    </row>
    <row r="41" spans="1:20" x14ac:dyDescent="0.25">
      <c r="A41" s="464"/>
      <c r="B41" s="599"/>
      <c r="C41" s="250" t="s">
        <v>213</v>
      </c>
      <c r="D41" s="145"/>
      <c r="E41" s="145"/>
      <c r="F41" s="146"/>
      <c r="G41" s="147"/>
      <c r="H41" s="246">
        <f>H27+H37+H39</f>
        <v>496.41800999999998</v>
      </c>
      <c r="I41" s="246">
        <f>I27+I37+I39</f>
        <v>629.28614000000005</v>
      </c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>
        <f t="shared" si="0"/>
        <v>1125.70415</v>
      </c>
    </row>
    <row r="42" spans="1:20" ht="3.75" customHeight="1" x14ac:dyDescent="0.25">
      <c r="A42" s="464"/>
      <c r="B42" s="154"/>
      <c r="C42" s="155"/>
      <c r="D42" s="163"/>
      <c r="E42" s="164"/>
      <c r="F42" s="165"/>
      <c r="G42" s="147"/>
      <c r="H42" s="156"/>
      <c r="I42" s="157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</row>
    <row r="43" spans="1:20" x14ac:dyDescent="0.25">
      <c r="A43" s="464"/>
      <c r="B43" s="600" t="s">
        <v>140</v>
      </c>
      <c r="C43" s="217" t="s">
        <v>14</v>
      </c>
      <c r="D43" s="145"/>
      <c r="E43" s="145"/>
      <c r="F43" s="146"/>
      <c r="G43" s="147"/>
      <c r="H43" s="148"/>
      <c r="I43" s="148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</row>
    <row r="44" spans="1:20" x14ac:dyDescent="0.25">
      <c r="A44" s="464"/>
      <c r="B44" s="601"/>
      <c r="C44" s="217" t="s">
        <v>118</v>
      </c>
      <c r="D44" s="145"/>
      <c r="E44" s="145"/>
      <c r="F44" s="146"/>
      <c r="G44" s="147"/>
      <c r="H44" s="148"/>
      <c r="I44" s="148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</row>
    <row r="45" spans="1:20" x14ac:dyDescent="0.25">
      <c r="A45" s="464"/>
      <c r="B45" s="601"/>
      <c r="C45" s="216" t="s">
        <v>110</v>
      </c>
      <c r="D45" s="145"/>
      <c r="E45" s="145"/>
      <c r="F45" s="146"/>
      <c r="G45" s="147"/>
      <c r="H45" s="148">
        <f>'[3]Book Revenue'!$D$51</f>
        <v>24.509999999999998</v>
      </c>
      <c r="I45" s="148">
        <f>'[3]Book Revenue'!$E$51</f>
        <v>29.72</v>
      </c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</row>
    <row r="46" spans="1:20" x14ac:dyDescent="0.25">
      <c r="A46" s="464"/>
      <c r="B46" s="601"/>
      <c r="C46" s="216" t="s">
        <v>111</v>
      </c>
      <c r="D46" s="145"/>
      <c r="E46" s="145"/>
      <c r="F46" s="146"/>
      <c r="G46" s="147"/>
      <c r="H46" s="148">
        <f>'[3]Non Book Revenue'!$D$51</f>
        <v>61.94</v>
      </c>
      <c r="I46" s="148">
        <f>'[3]Non Book Revenue'!$E$51</f>
        <v>92.79</v>
      </c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</row>
    <row r="47" spans="1:20" x14ac:dyDescent="0.25">
      <c r="A47" s="464"/>
      <c r="B47" s="601"/>
      <c r="C47" s="216" t="s">
        <v>114</v>
      </c>
      <c r="D47" s="145"/>
      <c r="E47" s="145"/>
      <c r="F47" s="146"/>
      <c r="G47" s="147"/>
      <c r="H47" s="148"/>
      <c r="I47" s="148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</row>
    <row r="48" spans="1:20" x14ac:dyDescent="0.25">
      <c r="A48" s="464"/>
      <c r="B48" s="601"/>
      <c r="C48" s="216" t="s">
        <v>134</v>
      </c>
      <c r="D48" s="145"/>
      <c r="E48" s="145"/>
      <c r="F48" s="146"/>
      <c r="G48" s="147"/>
      <c r="H48" s="148"/>
      <c r="I48" s="148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</row>
    <row r="49" spans="1:20" x14ac:dyDescent="0.25">
      <c r="A49" s="464"/>
      <c r="B49" s="601"/>
      <c r="C49" s="216" t="s">
        <v>17</v>
      </c>
      <c r="D49" s="145"/>
      <c r="E49" s="145"/>
      <c r="F49" s="146"/>
      <c r="G49" s="147"/>
      <c r="H49" s="148"/>
      <c r="I49" s="148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</row>
    <row r="50" spans="1:20" x14ac:dyDescent="0.25">
      <c r="A50" s="464"/>
      <c r="B50" s="601"/>
      <c r="C50" s="216" t="s">
        <v>16</v>
      </c>
      <c r="D50" s="145"/>
      <c r="E50" s="145"/>
      <c r="F50" s="146"/>
      <c r="G50" s="147"/>
      <c r="H50" s="148"/>
      <c r="I50" s="148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</row>
    <row r="51" spans="1:20" x14ac:dyDescent="0.25">
      <c r="A51" s="464"/>
      <c r="B51" s="602"/>
      <c r="C51" s="216" t="s">
        <v>18</v>
      </c>
      <c r="D51" s="145"/>
      <c r="E51" s="145"/>
      <c r="F51" s="146"/>
      <c r="G51" s="147"/>
      <c r="H51" s="148"/>
      <c r="I51" s="148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</row>
    <row r="52" spans="1:20" ht="3.75" customHeight="1" x14ac:dyDescent="0.25">
      <c r="A52" s="464"/>
      <c r="B52" s="154"/>
      <c r="C52" s="155"/>
      <c r="D52" s="163"/>
      <c r="E52" s="164"/>
      <c r="F52" s="165"/>
      <c r="G52" s="147"/>
      <c r="H52" s="156"/>
      <c r="I52" s="157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</row>
    <row r="53" spans="1:20" x14ac:dyDescent="0.25">
      <c r="A53" s="464"/>
      <c r="B53" s="600" t="s">
        <v>138</v>
      </c>
      <c r="C53" s="217" t="s">
        <v>14</v>
      </c>
      <c r="D53" s="145"/>
      <c r="E53" s="145"/>
      <c r="F53" s="146"/>
      <c r="G53" s="147"/>
      <c r="H53" s="148"/>
      <c r="I53" s="148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</row>
    <row r="54" spans="1:20" x14ac:dyDescent="0.25">
      <c r="A54" s="464"/>
      <c r="B54" s="601"/>
      <c r="C54" s="217" t="s">
        <v>118</v>
      </c>
      <c r="D54" s="145"/>
      <c r="E54" s="145"/>
      <c r="F54" s="146"/>
      <c r="G54" s="147"/>
      <c r="H54" s="148"/>
      <c r="I54" s="148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</row>
    <row r="55" spans="1:20" x14ac:dyDescent="0.25">
      <c r="A55" s="464"/>
      <c r="B55" s="601"/>
      <c r="C55" s="216" t="s">
        <v>110</v>
      </c>
      <c r="D55" s="145"/>
      <c r="E55" s="145"/>
      <c r="F55" s="146"/>
      <c r="G55" s="147"/>
      <c r="H55" s="180">
        <f>(H20-H45)/H45</f>
        <v>-1</v>
      </c>
      <c r="I55" s="180">
        <f>(I20-I45)/I45</f>
        <v>-1</v>
      </c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</row>
    <row r="56" spans="1:20" x14ac:dyDescent="0.25">
      <c r="A56" s="464"/>
      <c r="B56" s="601"/>
      <c r="C56" s="216" t="s">
        <v>111</v>
      </c>
      <c r="D56" s="145"/>
      <c r="E56" s="145"/>
      <c r="F56" s="146"/>
      <c r="G56" s="147"/>
      <c r="H56" s="180">
        <f>(H29-H46)/H46</f>
        <v>-0.5768485631256054</v>
      </c>
      <c r="I56" s="180">
        <f>(I29-I46)/I46</f>
        <v>-0.63778424399180944</v>
      </c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</row>
    <row r="57" spans="1:20" x14ac:dyDescent="0.25">
      <c r="A57" s="464"/>
      <c r="B57" s="601"/>
      <c r="C57" s="216" t="s">
        <v>114</v>
      </c>
      <c r="D57" s="145"/>
      <c r="E57" s="145"/>
      <c r="F57" s="146"/>
      <c r="G57" s="147"/>
      <c r="H57" s="148"/>
      <c r="I57" s="148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</row>
    <row r="58" spans="1:20" x14ac:dyDescent="0.25">
      <c r="A58" s="464"/>
      <c r="B58" s="601"/>
      <c r="C58" s="216" t="s">
        <v>134</v>
      </c>
      <c r="D58" s="145"/>
      <c r="E58" s="145"/>
      <c r="F58" s="146"/>
      <c r="G58" s="147"/>
      <c r="H58" s="148"/>
      <c r="I58" s="148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</row>
    <row r="59" spans="1:20" x14ac:dyDescent="0.25">
      <c r="A59" s="464"/>
      <c r="B59" s="601"/>
      <c r="C59" s="216" t="s">
        <v>17</v>
      </c>
      <c r="D59" s="145"/>
      <c r="E59" s="145"/>
      <c r="F59" s="146"/>
      <c r="G59" s="147"/>
      <c r="H59" s="148"/>
      <c r="I59" s="148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</row>
    <row r="60" spans="1:20" x14ac:dyDescent="0.25">
      <c r="A60" s="464"/>
      <c r="B60" s="601"/>
      <c r="C60" s="216" t="s">
        <v>16</v>
      </c>
      <c r="D60" s="145"/>
      <c r="E60" s="145"/>
      <c r="F60" s="146"/>
      <c r="G60" s="147"/>
      <c r="H60" s="148"/>
      <c r="I60" s="148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</row>
    <row r="61" spans="1:20" x14ac:dyDescent="0.25">
      <c r="A61" s="594"/>
      <c r="B61" s="602"/>
      <c r="C61" s="216" t="s">
        <v>18</v>
      </c>
      <c r="D61" s="145"/>
      <c r="E61" s="145"/>
      <c r="F61" s="146"/>
      <c r="G61" s="147"/>
      <c r="H61" s="148"/>
      <c r="I61" s="148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</row>
    <row r="62" spans="1:20" s="211" customFormat="1" ht="5.25" customHeight="1" x14ac:dyDescent="0.25">
      <c r="A62" s="154"/>
      <c r="B62" s="166"/>
      <c r="C62" s="155"/>
      <c r="D62" s="155"/>
      <c r="E62" s="155"/>
      <c r="F62" s="156"/>
      <c r="G62" s="147"/>
      <c r="H62" s="156"/>
      <c r="I62" s="157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</row>
    <row r="63" spans="1:20" x14ac:dyDescent="0.25">
      <c r="A63" s="489" t="s">
        <v>136</v>
      </c>
      <c r="B63" s="489"/>
      <c r="C63" s="212" t="s">
        <v>21</v>
      </c>
      <c r="D63" s="159"/>
      <c r="E63" s="160"/>
      <c r="F63" s="146"/>
      <c r="G63" s="147"/>
      <c r="H63" s="167"/>
      <c r="I63" s="167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</row>
    <row r="64" spans="1:20" x14ac:dyDescent="0.25">
      <c r="A64" s="494"/>
      <c r="B64" s="494"/>
      <c r="C64" s="213" t="s">
        <v>19</v>
      </c>
      <c r="D64" s="150"/>
      <c r="E64" s="145"/>
      <c r="F64" s="146"/>
      <c r="G64" s="147"/>
      <c r="H64" s="162">
        <f>61.86+7.55+21.25+25.01+1.14+0.36+0.04+YMG!H26+86.64+31.07</f>
        <v>318.51</v>
      </c>
      <c r="I64" s="162">
        <f>57.03+10.12+39.73+27.56+1.11+0.43+16.46+0.82+YMG!I26+132.33+70.06</f>
        <v>492.26000000000005</v>
      </c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</row>
    <row r="65" spans="1:20" x14ac:dyDescent="0.25">
      <c r="A65" s="494"/>
      <c r="B65" s="494"/>
      <c r="C65" s="213" t="s">
        <v>20</v>
      </c>
      <c r="D65" s="150"/>
      <c r="E65" s="145"/>
      <c r="F65" s="146"/>
      <c r="G65" s="147"/>
      <c r="H65" s="148">
        <f>7.73+YMG!H27+78.63</f>
        <v>94.03</v>
      </c>
      <c r="I65" s="148">
        <f>2.73+YMG!I27+33.36</f>
        <v>46.64</v>
      </c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</row>
    <row r="66" spans="1:20" x14ac:dyDescent="0.25">
      <c r="A66" s="494"/>
      <c r="B66" s="494"/>
      <c r="C66" s="213" t="s">
        <v>117</v>
      </c>
      <c r="D66" s="150"/>
      <c r="E66" s="145"/>
      <c r="F66" s="146"/>
      <c r="G66" s="147"/>
      <c r="H66" s="148">
        <f>YMG!H28</f>
        <v>11.32</v>
      </c>
      <c r="I66" s="148">
        <f>YMG!I28</f>
        <v>12.700000000000001</v>
      </c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</row>
    <row r="67" spans="1:20" s="211" customFormat="1" ht="5.25" customHeight="1" x14ac:dyDescent="0.25">
      <c r="A67" s="154"/>
      <c r="B67" s="166"/>
      <c r="C67" s="155"/>
      <c r="D67" s="155"/>
      <c r="E67" s="155"/>
      <c r="F67" s="156"/>
      <c r="G67" s="147"/>
      <c r="H67" s="156"/>
      <c r="I67" s="157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</row>
    <row r="68" spans="1:20" ht="15" customHeight="1" x14ac:dyDescent="0.25">
      <c r="A68" s="495" t="s">
        <v>137</v>
      </c>
      <c r="B68" s="496"/>
      <c r="C68" s="176" t="s">
        <v>53</v>
      </c>
      <c r="D68" s="150"/>
      <c r="E68" s="145"/>
      <c r="F68" s="146"/>
      <c r="G68" s="147"/>
      <c r="H68" s="146"/>
      <c r="I68" s="146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</row>
    <row r="69" spans="1:20" x14ac:dyDescent="0.25">
      <c r="A69" s="497"/>
      <c r="B69" s="498"/>
      <c r="C69" s="176" t="s">
        <v>22</v>
      </c>
      <c r="D69" s="150"/>
      <c r="E69" s="145"/>
      <c r="F69" s="146"/>
      <c r="G69" s="147"/>
      <c r="H69" s="170">
        <f>YMG!H31</f>
        <v>23.65</v>
      </c>
      <c r="I69" s="170">
        <f>YMG!I31</f>
        <v>58.32</v>
      </c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</row>
    <row r="70" spans="1:20" x14ac:dyDescent="0.25">
      <c r="A70" s="497"/>
      <c r="B70" s="498"/>
      <c r="C70" s="176" t="s">
        <v>23</v>
      </c>
      <c r="D70" s="150"/>
      <c r="E70" s="145"/>
      <c r="F70" s="146"/>
      <c r="G70" s="147"/>
      <c r="H70" s="170">
        <f>YMG!H32</f>
        <v>53.41</v>
      </c>
      <c r="I70" s="170">
        <f>YMG!I32</f>
        <v>78.84</v>
      </c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</row>
    <row r="71" spans="1:20" x14ac:dyDescent="0.25">
      <c r="A71" s="497"/>
      <c r="B71" s="498"/>
      <c r="C71" s="176" t="s">
        <v>26</v>
      </c>
      <c r="D71" s="150"/>
      <c r="E71" s="145"/>
      <c r="F71" s="146"/>
      <c r="G71" s="147"/>
      <c r="H71" s="146">
        <f>H72+H73</f>
        <v>2.87</v>
      </c>
      <c r="I71" s="146">
        <f>I72+I73</f>
        <v>3.8600000000000003</v>
      </c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</row>
    <row r="72" spans="1:20" x14ac:dyDescent="0.25">
      <c r="A72" s="497"/>
      <c r="B72" s="498"/>
      <c r="C72" s="176" t="s">
        <v>54</v>
      </c>
      <c r="D72" s="150"/>
      <c r="E72" s="145"/>
      <c r="F72" s="146"/>
      <c r="G72" s="147"/>
      <c r="H72" s="146">
        <v>1.26</v>
      </c>
      <c r="I72" s="146">
        <v>1.66</v>
      </c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</row>
    <row r="73" spans="1:20" x14ac:dyDescent="0.25">
      <c r="A73" s="497"/>
      <c r="B73" s="498"/>
      <c r="C73" s="176" t="s">
        <v>55</v>
      </c>
      <c r="D73" s="150"/>
      <c r="E73" s="145"/>
      <c r="F73" s="146"/>
      <c r="G73" s="147"/>
      <c r="H73" s="146">
        <v>1.61</v>
      </c>
      <c r="I73" s="146">
        <v>2.2000000000000002</v>
      </c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</row>
    <row r="74" spans="1:20" x14ac:dyDescent="0.25">
      <c r="A74" s="497"/>
      <c r="B74" s="498"/>
      <c r="C74" s="176" t="s">
        <v>27</v>
      </c>
      <c r="D74" s="150"/>
      <c r="E74" s="145"/>
      <c r="F74" s="146"/>
      <c r="G74" s="147"/>
      <c r="H74" s="171"/>
      <c r="I74" s="171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</row>
    <row r="75" spans="1:20" s="211" customFormat="1" ht="5.25" customHeight="1" x14ac:dyDescent="0.25">
      <c r="A75" s="154"/>
      <c r="B75" s="166"/>
      <c r="C75" s="155"/>
      <c r="D75" s="155"/>
      <c r="E75" s="155"/>
      <c r="F75" s="156"/>
      <c r="G75" s="147"/>
      <c r="H75" s="156"/>
      <c r="I75" s="157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</row>
    <row r="76" spans="1:20" ht="15" customHeight="1" x14ac:dyDescent="0.25">
      <c r="A76" s="173" t="s">
        <v>30</v>
      </c>
      <c r="B76" s="173"/>
      <c r="C76" s="173"/>
      <c r="D76" s="142"/>
      <c r="E76" s="142"/>
      <c r="F76" s="174"/>
      <c r="G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</row>
    <row r="77" spans="1:20" x14ac:dyDescent="0.25">
      <c r="A77" s="603" t="s">
        <v>78</v>
      </c>
      <c r="B77" s="175" t="s">
        <v>79</v>
      </c>
      <c r="C77" s="176" t="s">
        <v>31</v>
      </c>
      <c r="D77" s="177"/>
      <c r="E77" s="145"/>
      <c r="F77" s="146"/>
      <c r="G77" s="147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</row>
    <row r="78" spans="1:20" ht="4.5" customHeight="1" x14ac:dyDescent="0.25">
      <c r="A78" s="499"/>
      <c r="B78" s="154"/>
      <c r="C78" s="155"/>
      <c r="D78" s="155"/>
      <c r="E78" s="155"/>
      <c r="F78" s="156"/>
      <c r="G78" s="147"/>
      <c r="H78" s="256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</row>
    <row r="79" spans="1:20" x14ac:dyDescent="0.25">
      <c r="A79" s="499"/>
      <c r="B79" s="605" t="s">
        <v>80</v>
      </c>
      <c r="C79" s="210" t="s">
        <v>14</v>
      </c>
      <c r="D79" s="177"/>
      <c r="E79" s="145"/>
      <c r="F79" s="146"/>
      <c r="G79" s="147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</row>
    <row r="80" spans="1:20" x14ac:dyDescent="0.25">
      <c r="A80" s="499"/>
      <c r="B80" s="606"/>
      <c r="C80" s="210"/>
      <c r="D80" s="177"/>
      <c r="E80" s="145"/>
      <c r="F80" s="146"/>
      <c r="G80" s="147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</row>
    <row r="81" spans="1:20" x14ac:dyDescent="0.25">
      <c r="A81" s="499"/>
      <c r="B81" s="606"/>
      <c r="C81" s="210"/>
      <c r="D81" s="177"/>
      <c r="E81" s="145"/>
      <c r="F81" s="146"/>
      <c r="G81" s="147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</row>
    <row r="82" spans="1:20" x14ac:dyDescent="0.25">
      <c r="A82" s="499"/>
      <c r="B82" s="606"/>
      <c r="C82" s="210"/>
      <c r="D82" s="177"/>
      <c r="E82" s="145"/>
      <c r="F82" s="146"/>
      <c r="G82" s="147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</row>
    <row r="83" spans="1:20" x14ac:dyDescent="0.25">
      <c r="A83" s="499"/>
      <c r="B83" s="606"/>
      <c r="C83" s="210"/>
      <c r="D83" s="177"/>
      <c r="E83" s="145"/>
      <c r="F83" s="146"/>
      <c r="G83" s="147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</row>
    <row r="84" spans="1:20" x14ac:dyDescent="0.25">
      <c r="A84" s="499"/>
      <c r="B84" s="606"/>
      <c r="C84" s="210"/>
      <c r="D84" s="177"/>
      <c r="E84" s="145"/>
      <c r="F84" s="146"/>
      <c r="G84" s="147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</row>
    <row r="85" spans="1:20" x14ac:dyDescent="0.25">
      <c r="A85" s="499"/>
      <c r="B85" s="606"/>
      <c r="C85" s="210"/>
      <c r="D85" s="177"/>
      <c r="E85" s="145"/>
      <c r="F85" s="146"/>
      <c r="G85" s="147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</row>
    <row r="86" spans="1:20" x14ac:dyDescent="0.25">
      <c r="A86" s="499"/>
      <c r="B86" s="606"/>
      <c r="C86" s="210"/>
      <c r="D86" s="177"/>
      <c r="E86" s="145"/>
      <c r="F86" s="146"/>
      <c r="G86" s="147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</row>
    <row r="87" spans="1:20" x14ac:dyDescent="0.25">
      <c r="A87" s="499"/>
      <c r="B87" s="606"/>
      <c r="C87" s="210"/>
      <c r="D87" s="177"/>
      <c r="E87" s="145"/>
      <c r="F87" s="146"/>
      <c r="G87" s="147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</row>
    <row r="88" spans="1:20" x14ac:dyDescent="0.25">
      <c r="A88" s="499"/>
      <c r="B88" s="606"/>
      <c r="C88" s="210"/>
      <c r="D88" s="177"/>
      <c r="E88" s="145"/>
      <c r="F88" s="146"/>
      <c r="G88" s="147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</row>
    <row r="89" spans="1:20" x14ac:dyDescent="0.25">
      <c r="A89" s="499"/>
      <c r="B89" s="606"/>
      <c r="C89" s="210"/>
      <c r="D89" s="177"/>
      <c r="E89" s="145"/>
      <c r="F89" s="146"/>
      <c r="G89" s="147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</row>
    <row r="90" spans="1:20" x14ac:dyDescent="0.25">
      <c r="A90" s="499"/>
      <c r="B90" s="606"/>
      <c r="C90" s="210"/>
      <c r="D90" s="177"/>
      <c r="E90" s="145"/>
      <c r="F90" s="146"/>
      <c r="G90" s="147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</row>
    <row r="91" spans="1:20" x14ac:dyDescent="0.25">
      <c r="A91" s="499"/>
      <c r="B91" s="606"/>
      <c r="C91" s="210"/>
      <c r="D91" s="177"/>
      <c r="E91" s="145"/>
      <c r="F91" s="146"/>
      <c r="G91" s="147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</row>
    <row r="92" spans="1:20" x14ac:dyDescent="0.25">
      <c r="A92" s="499"/>
      <c r="B92" s="606"/>
      <c r="C92" s="210"/>
      <c r="D92" s="177"/>
      <c r="E92" s="145"/>
      <c r="F92" s="146"/>
      <c r="G92" s="147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</row>
    <row r="93" spans="1:20" x14ac:dyDescent="0.25">
      <c r="A93" s="499"/>
      <c r="B93" s="606"/>
      <c r="C93" s="210"/>
      <c r="D93" s="177"/>
      <c r="E93" s="145"/>
      <c r="F93" s="146"/>
      <c r="G93" s="147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</row>
    <row r="94" spans="1:20" x14ac:dyDescent="0.25">
      <c r="A94" s="499"/>
      <c r="B94" s="606"/>
      <c r="C94" s="210"/>
      <c r="D94" s="177"/>
      <c r="E94" s="145"/>
      <c r="F94" s="146"/>
      <c r="G94" s="147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</row>
    <row r="95" spans="1:20" x14ac:dyDescent="0.25">
      <c r="A95" s="499"/>
      <c r="B95" s="606"/>
      <c r="C95" s="210"/>
      <c r="D95" s="177"/>
      <c r="E95" s="145"/>
      <c r="F95" s="146"/>
      <c r="G95" s="147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</row>
    <row r="96" spans="1:20" x14ac:dyDescent="0.25">
      <c r="A96" s="499"/>
      <c r="B96" s="606"/>
      <c r="C96" s="210"/>
      <c r="D96" s="177"/>
      <c r="E96" s="145"/>
      <c r="F96" s="146"/>
      <c r="G96" s="147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</row>
    <row r="97" spans="1:20" x14ac:dyDescent="0.25">
      <c r="A97" s="499"/>
      <c r="B97" s="606"/>
      <c r="C97" s="210"/>
      <c r="D97" s="177"/>
      <c r="E97" s="145"/>
      <c r="F97" s="146"/>
      <c r="G97" s="147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</row>
    <row r="98" spans="1:20" x14ac:dyDescent="0.25">
      <c r="A98" s="499"/>
      <c r="B98" s="606"/>
      <c r="C98" s="210"/>
      <c r="D98" s="177"/>
      <c r="E98" s="145"/>
      <c r="F98" s="146"/>
      <c r="G98" s="147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</row>
    <row r="99" spans="1:20" x14ac:dyDescent="0.25">
      <c r="A99" s="499"/>
      <c r="B99" s="606"/>
      <c r="C99" s="178" t="s">
        <v>110</v>
      </c>
      <c r="D99" s="177"/>
      <c r="E99" s="145"/>
      <c r="F99" s="146"/>
      <c r="G99" s="147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</row>
    <row r="100" spans="1:20" x14ac:dyDescent="0.25">
      <c r="A100" s="499"/>
      <c r="B100" s="606"/>
      <c r="C100" s="178" t="s">
        <v>111</v>
      </c>
      <c r="D100" s="177"/>
      <c r="E100" s="145"/>
      <c r="F100" s="146"/>
      <c r="G100" s="147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</row>
    <row r="101" spans="1:20" x14ac:dyDescent="0.25">
      <c r="A101" s="499"/>
      <c r="B101" s="606"/>
      <c r="C101" s="178" t="s">
        <v>114</v>
      </c>
      <c r="D101" s="177"/>
      <c r="E101" s="145"/>
      <c r="F101" s="146"/>
      <c r="G101" s="147"/>
      <c r="H101" s="257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</row>
    <row r="102" spans="1:20" x14ac:dyDescent="0.25">
      <c r="A102" s="499"/>
      <c r="B102" s="606"/>
      <c r="C102" s="178" t="s">
        <v>16</v>
      </c>
      <c r="D102" s="177"/>
      <c r="E102" s="145"/>
      <c r="F102" s="146"/>
      <c r="G102" s="147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</row>
    <row r="103" spans="1:20" x14ac:dyDescent="0.25">
      <c r="A103" s="499"/>
      <c r="B103" s="606"/>
      <c r="C103" s="178" t="s">
        <v>17</v>
      </c>
      <c r="D103" s="177"/>
      <c r="E103" s="145"/>
      <c r="F103" s="146"/>
      <c r="G103" s="147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</row>
    <row r="104" spans="1:20" x14ac:dyDescent="0.25">
      <c r="A104" s="604"/>
      <c r="B104" s="607"/>
      <c r="C104" s="178" t="s">
        <v>18</v>
      </c>
      <c r="D104" s="177"/>
      <c r="E104" s="145"/>
      <c r="F104" s="146"/>
      <c r="G104" s="147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</row>
    <row r="105" spans="1:20" s="211" customFormat="1" ht="5.25" customHeight="1" x14ac:dyDescent="0.25">
      <c r="A105" s="154"/>
      <c r="B105" s="166"/>
      <c r="C105" s="155"/>
      <c r="D105" s="155"/>
      <c r="E105" s="155"/>
      <c r="F105" s="156"/>
      <c r="G105" s="147"/>
      <c r="H105" s="256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</row>
    <row r="106" spans="1:20" x14ac:dyDescent="0.25">
      <c r="A106" s="495" t="s">
        <v>81</v>
      </c>
      <c r="B106" s="503" t="s">
        <v>82</v>
      </c>
      <c r="C106" s="178" t="s">
        <v>56</v>
      </c>
      <c r="D106" s="177"/>
      <c r="E106" s="145"/>
      <c r="F106" s="146"/>
      <c r="G106" s="147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</row>
    <row r="107" spans="1:20" ht="25.5" x14ac:dyDescent="0.25">
      <c r="A107" s="497"/>
      <c r="B107" s="505"/>
      <c r="C107" s="178" t="s">
        <v>57</v>
      </c>
      <c r="D107" s="177"/>
      <c r="E107" s="145"/>
      <c r="F107" s="146"/>
      <c r="G107" s="147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</row>
    <row r="108" spans="1:20" ht="4.5" customHeight="1" x14ac:dyDescent="0.25">
      <c r="A108" s="497"/>
      <c r="B108" s="154"/>
      <c r="C108" s="155"/>
      <c r="D108" s="155"/>
      <c r="E108" s="155"/>
      <c r="F108" s="156"/>
      <c r="G108" s="147"/>
      <c r="H108" s="256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</row>
    <row r="109" spans="1:20" x14ac:dyDescent="0.25">
      <c r="A109" s="497"/>
      <c r="B109" s="503" t="s">
        <v>83</v>
      </c>
      <c r="C109" s="178" t="s">
        <v>84</v>
      </c>
      <c r="D109" s="177"/>
      <c r="E109" s="145"/>
      <c r="F109" s="146"/>
      <c r="G109" s="147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</row>
    <row r="110" spans="1:20" x14ac:dyDescent="0.25">
      <c r="A110" s="497"/>
      <c r="B110" s="504"/>
      <c r="C110" s="210" t="s">
        <v>14</v>
      </c>
      <c r="D110" s="177"/>
      <c r="E110" s="145"/>
      <c r="F110" s="146"/>
      <c r="G110" s="147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</row>
    <row r="111" spans="1:20" x14ac:dyDescent="0.25">
      <c r="A111" s="497"/>
      <c r="B111" s="504"/>
      <c r="C111" s="178" t="s">
        <v>110</v>
      </c>
      <c r="D111" s="177"/>
      <c r="E111" s="145"/>
      <c r="F111" s="146"/>
      <c r="G111" s="147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</row>
    <row r="112" spans="1:20" x14ac:dyDescent="0.25">
      <c r="A112" s="497"/>
      <c r="B112" s="504"/>
      <c r="C112" s="178" t="s">
        <v>111</v>
      </c>
      <c r="D112" s="177"/>
      <c r="E112" s="145"/>
      <c r="F112" s="146"/>
      <c r="G112" s="147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</row>
    <row r="113" spans="1:20" x14ac:dyDescent="0.25">
      <c r="A113" s="497"/>
      <c r="B113" s="504"/>
      <c r="C113" s="178" t="s">
        <v>114</v>
      </c>
      <c r="D113" s="177"/>
      <c r="E113" s="145"/>
      <c r="F113" s="146"/>
      <c r="G113" s="147"/>
      <c r="H113" s="258"/>
      <c r="I113" s="258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</row>
    <row r="114" spans="1:20" x14ac:dyDescent="0.25">
      <c r="A114" s="497"/>
      <c r="B114" s="504"/>
      <c r="C114" s="178" t="s">
        <v>16</v>
      </c>
      <c r="D114" s="177"/>
      <c r="E114" s="145"/>
      <c r="F114" s="146"/>
      <c r="G114" s="147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</row>
    <row r="115" spans="1:20" x14ac:dyDescent="0.25">
      <c r="A115" s="497"/>
      <c r="B115" s="504"/>
      <c r="C115" s="178" t="s">
        <v>17</v>
      </c>
      <c r="D115" s="177"/>
      <c r="E115" s="145"/>
      <c r="F115" s="146"/>
      <c r="G115" s="147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</row>
    <row r="116" spans="1:20" x14ac:dyDescent="0.25">
      <c r="A116" s="502"/>
      <c r="B116" s="505"/>
      <c r="C116" s="178" t="s">
        <v>18</v>
      </c>
      <c r="D116" s="177"/>
      <c r="E116" s="145"/>
      <c r="F116" s="146"/>
      <c r="G116" s="147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</row>
    <row r="117" spans="1:20" s="211" customFormat="1" ht="5.25" customHeight="1" x14ac:dyDescent="0.25">
      <c r="A117" s="154"/>
      <c r="B117" s="166"/>
      <c r="C117" s="155"/>
      <c r="D117" s="155"/>
      <c r="E117" s="155"/>
      <c r="F117" s="156"/>
      <c r="G117" s="147"/>
      <c r="H117" s="156"/>
      <c r="I117" s="157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</row>
    <row r="118" spans="1:20" ht="15" customHeight="1" x14ac:dyDescent="0.25">
      <c r="A118" s="485" t="s">
        <v>60</v>
      </c>
      <c r="B118" s="487" t="s">
        <v>86</v>
      </c>
      <c r="C118" s="179" t="s">
        <v>58</v>
      </c>
      <c r="D118" s="177"/>
      <c r="E118" s="145"/>
      <c r="F118" s="146"/>
      <c r="G118" s="147"/>
      <c r="H118" s="146">
        <f>H110+H106</f>
        <v>0</v>
      </c>
      <c r="I118" s="146">
        <f>I110+I106</f>
        <v>0</v>
      </c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</row>
    <row r="119" spans="1:20" x14ac:dyDescent="0.25">
      <c r="A119" s="486"/>
      <c r="B119" s="488"/>
      <c r="C119" s="179" t="s">
        <v>59</v>
      </c>
      <c r="D119" s="177"/>
      <c r="E119" s="145"/>
      <c r="F119" s="146"/>
      <c r="G119" s="147"/>
      <c r="H119" s="146">
        <f>H118</f>
        <v>0</v>
      </c>
      <c r="I119" s="146">
        <f>I118+H119</f>
        <v>0</v>
      </c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</row>
    <row r="120" spans="1:20" ht="25.5" x14ac:dyDescent="0.25">
      <c r="A120" s="486"/>
      <c r="B120" s="489"/>
      <c r="C120" s="179" t="s">
        <v>85</v>
      </c>
      <c r="D120" s="177"/>
      <c r="E120" s="145"/>
      <c r="F120" s="146"/>
      <c r="G120" s="147"/>
      <c r="H120" s="180">
        <f>H119/H3</f>
        <v>0</v>
      </c>
      <c r="I120" s="180">
        <f>I119/SUM(H3:I3)</f>
        <v>0</v>
      </c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</row>
    <row r="121" spans="1:20" ht="4.5" customHeight="1" x14ac:dyDescent="0.25">
      <c r="A121" s="486"/>
      <c r="B121" s="182"/>
      <c r="C121" s="155"/>
      <c r="D121" s="155"/>
      <c r="E121" s="155"/>
      <c r="F121" s="156"/>
      <c r="G121" s="147"/>
      <c r="H121" s="156"/>
      <c r="I121" s="157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</row>
    <row r="122" spans="1:20" ht="25.5" x14ac:dyDescent="0.25">
      <c r="A122" s="486"/>
      <c r="B122" s="487" t="s">
        <v>87</v>
      </c>
      <c r="C122" s="179" t="s">
        <v>112</v>
      </c>
      <c r="D122" s="177"/>
      <c r="E122" s="145"/>
      <c r="F122" s="146"/>
      <c r="G122" s="147"/>
      <c r="H122" s="146">
        <v>0.5</v>
      </c>
      <c r="I122" s="146">
        <v>5.5</v>
      </c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</row>
    <row r="123" spans="1:20" ht="25.5" x14ac:dyDescent="0.25">
      <c r="A123" s="486"/>
      <c r="B123" s="488"/>
      <c r="C123" s="179" t="s">
        <v>113</v>
      </c>
      <c r="D123" s="177"/>
      <c r="E123" s="145"/>
      <c r="F123" s="146"/>
      <c r="G123" s="147"/>
      <c r="H123" s="146"/>
      <c r="I123" s="146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</row>
    <row r="124" spans="1:20" ht="4.5" customHeight="1" x14ac:dyDescent="0.25">
      <c r="A124" s="486"/>
      <c r="B124" s="488"/>
      <c r="C124" s="155"/>
      <c r="D124" s="155"/>
      <c r="E124" s="155"/>
      <c r="F124" s="156"/>
      <c r="G124" s="147"/>
      <c r="H124" s="156"/>
      <c r="I124" s="157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</row>
    <row r="125" spans="1:20" ht="25.5" x14ac:dyDescent="0.25">
      <c r="A125" s="486"/>
      <c r="B125" s="488"/>
      <c r="C125" s="179" t="s">
        <v>115</v>
      </c>
      <c r="D125" s="177"/>
      <c r="E125" s="145"/>
      <c r="F125" s="146"/>
      <c r="G125" s="147"/>
      <c r="H125" s="146"/>
      <c r="I125" s="146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</row>
    <row r="126" spans="1:20" ht="25.5" x14ac:dyDescent="0.25">
      <c r="A126" s="486"/>
      <c r="B126" s="488"/>
      <c r="C126" s="179" t="s">
        <v>116</v>
      </c>
      <c r="D126" s="177"/>
      <c r="E126" s="145"/>
      <c r="F126" s="146"/>
      <c r="G126" s="147"/>
      <c r="H126" s="146"/>
      <c r="I126" s="146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</row>
    <row r="127" spans="1:20" ht="4.5" customHeight="1" x14ac:dyDescent="0.25">
      <c r="A127" s="486"/>
      <c r="B127" s="488"/>
      <c r="C127" s="155"/>
      <c r="D127" s="155"/>
      <c r="E127" s="155"/>
      <c r="F127" s="156"/>
      <c r="G127" s="147"/>
      <c r="H127" s="156"/>
      <c r="I127" s="157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</row>
    <row r="128" spans="1:20" x14ac:dyDescent="0.25">
      <c r="A128" s="486"/>
      <c r="B128" s="488"/>
      <c r="C128" s="179" t="s">
        <v>88</v>
      </c>
      <c r="D128" s="177"/>
      <c r="E128" s="145"/>
      <c r="F128" s="146"/>
      <c r="G128" s="147"/>
      <c r="H128" s="146"/>
      <c r="I128" s="146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</row>
    <row r="129" spans="1:20" ht="25.5" x14ac:dyDescent="0.25">
      <c r="A129" s="486"/>
      <c r="B129" s="489"/>
      <c r="C129" s="179" t="s">
        <v>89</v>
      </c>
      <c r="D129" s="177"/>
      <c r="E129" s="145"/>
      <c r="F129" s="146"/>
      <c r="G129" s="147"/>
      <c r="H129" s="183">
        <v>8.1999999999999993</v>
      </c>
      <c r="I129" s="183">
        <v>21</v>
      </c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</row>
    <row r="130" spans="1:20" s="211" customFormat="1" ht="5.25" customHeight="1" x14ac:dyDescent="0.25">
      <c r="A130" s="154"/>
      <c r="B130" s="166"/>
      <c r="C130" s="155"/>
      <c r="D130" s="155"/>
      <c r="E130" s="155"/>
      <c r="F130" s="156"/>
      <c r="G130" s="147"/>
      <c r="H130" s="156"/>
      <c r="I130" s="157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</row>
    <row r="131" spans="1:20" ht="25.5" x14ac:dyDescent="0.25">
      <c r="A131" s="608" t="s">
        <v>32</v>
      </c>
      <c r="B131" s="609"/>
      <c r="C131" s="185" t="s">
        <v>33</v>
      </c>
      <c r="D131" s="177"/>
      <c r="E131" s="177"/>
      <c r="F131" s="177"/>
      <c r="G131" s="186"/>
      <c r="H131" s="187" t="e">
        <f>(+H7+H13+H37+H36)/H107</f>
        <v>#DIV/0!</v>
      </c>
      <c r="I131" s="187" t="e">
        <f>(+I7+I13+I37+I36)/I107</f>
        <v>#DIV/0!</v>
      </c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</row>
    <row r="132" spans="1:20" x14ac:dyDescent="0.25">
      <c r="A132" s="610"/>
      <c r="B132" s="611"/>
      <c r="C132" s="185" t="s">
        <v>34</v>
      </c>
      <c r="D132" s="177"/>
      <c r="E132" s="177"/>
      <c r="F132" s="177"/>
      <c r="G132" s="186"/>
      <c r="H132" s="187" t="e">
        <f>+(H13+H37+H36)/H106</f>
        <v>#DIV/0!</v>
      </c>
      <c r="I132" s="187" t="e">
        <f>+(I13+I37+I36)/I106</f>
        <v>#DIV/0!</v>
      </c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</row>
    <row r="133" spans="1:20" s="211" customFormat="1" ht="5.25" customHeight="1" x14ac:dyDescent="0.25">
      <c r="A133" s="154"/>
      <c r="B133" s="166"/>
      <c r="C133" s="155"/>
      <c r="D133" s="155"/>
      <c r="E133" s="155"/>
      <c r="F133" s="156"/>
      <c r="G133" s="147"/>
      <c r="H133" s="156"/>
      <c r="I133" s="157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</row>
    <row r="134" spans="1:20" ht="15" customHeight="1" x14ac:dyDescent="0.25">
      <c r="A134" s="173" t="s">
        <v>35</v>
      </c>
      <c r="B134" s="173"/>
      <c r="C134" s="173"/>
      <c r="D134" s="142"/>
      <c r="E134" s="142"/>
      <c r="F134" s="174"/>
      <c r="G134" s="144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</row>
    <row r="135" spans="1:20" s="211" customFormat="1" ht="5.25" customHeight="1" x14ac:dyDescent="0.25">
      <c r="A135" s="154"/>
      <c r="B135" s="166"/>
      <c r="C135" s="155"/>
      <c r="D135" s="155"/>
      <c r="E135" s="155"/>
      <c r="F135" s="156"/>
      <c r="G135" s="147"/>
      <c r="H135" s="156"/>
      <c r="I135" s="157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</row>
    <row r="136" spans="1:20" ht="24" customHeight="1" x14ac:dyDescent="0.25">
      <c r="A136" s="612" t="s">
        <v>103</v>
      </c>
      <c r="B136" s="613"/>
      <c r="C136" s="189" t="s">
        <v>96</v>
      </c>
      <c r="D136" s="145"/>
      <c r="E136" s="145"/>
      <c r="F136" s="146"/>
      <c r="G136" s="147"/>
      <c r="H136" s="190"/>
      <c r="I136" s="190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</row>
    <row r="137" spans="1:20" ht="25.5" x14ac:dyDescent="0.25">
      <c r="A137" s="614"/>
      <c r="B137" s="615"/>
      <c r="C137" s="189" t="s">
        <v>97</v>
      </c>
      <c r="D137" s="145"/>
      <c r="E137" s="145"/>
      <c r="F137" s="146"/>
      <c r="G137" s="147"/>
      <c r="H137" s="146">
        <v>0</v>
      </c>
      <c r="I137" s="146">
        <v>1</v>
      </c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</row>
    <row r="138" spans="1:20" ht="24" customHeight="1" x14ac:dyDescent="0.25">
      <c r="A138" s="616"/>
      <c r="B138" s="617"/>
      <c r="C138" s="189" t="s">
        <v>98</v>
      </c>
      <c r="D138" s="145"/>
      <c r="E138" s="145"/>
      <c r="F138" s="146"/>
      <c r="G138" s="147"/>
      <c r="H138" s="146">
        <v>0</v>
      </c>
      <c r="I138" s="146">
        <v>90</v>
      </c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</row>
    <row r="139" spans="1:20" s="214" customFormat="1" ht="5.25" customHeight="1" x14ac:dyDescent="0.25">
      <c r="A139" s="192"/>
      <c r="B139" s="192"/>
      <c r="C139" s="193"/>
      <c r="D139" s="193"/>
      <c r="E139" s="193"/>
      <c r="F139" s="194"/>
      <c r="G139" s="147"/>
      <c r="H139" s="194"/>
      <c r="I139" s="147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</row>
    <row r="140" spans="1:20" ht="27.75" customHeight="1" x14ac:dyDescent="0.25">
      <c r="A140" s="484" t="s">
        <v>91</v>
      </c>
      <c r="B140" s="484"/>
      <c r="C140" s="176" t="s">
        <v>92</v>
      </c>
      <c r="D140" s="145"/>
      <c r="E140" s="145"/>
      <c r="F140" s="146"/>
      <c r="G140" s="147"/>
      <c r="H140" s="183"/>
      <c r="I140" s="183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</row>
    <row r="141" spans="1:20" s="211" customFormat="1" ht="5.25" customHeight="1" x14ac:dyDescent="0.25">
      <c r="A141" s="154"/>
      <c r="B141" s="166"/>
      <c r="C141" s="155"/>
      <c r="D141" s="155"/>
      <c r="E141" s="155"/>
      <c r="F141" s="156"/>
      <c r="G141" s="147"/>
      <c r="H141" s="156"/>
      <c r="I141" s="157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</row>
    <row r="142" spans="1:20" ht="25.5" x14ac:dyDescent="0.25">
      <c r="A142" s="618" t="s">
        <v>94</v>
      </c>
      <c r="B142" s="619"/>
      <c r="C142" s="189" t="s">
        <v>95</v>
      </c>
      <c r="D142" s="145"/>
      <c r="E142" s="145"/>
      <c r="F142" s="146"/>
      <c r="G142" s="147"/>
      <c r="H142" s="146"/>
      <c r="I142" s="146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</row>
    <row r="143" spans="1:20" s="211" customFormat="1" ht="5.25" customHeight="1" x14ac:dyDescent="0.25">
      <c r="A143" s="154"/>
      <c r="B143" s="166"/>
      <c r="C143" s="155"/>
      <c r="D143" s="155"/>
      <c r="E143" s="155"/>
      <c r="F143" s="156"/>
      <c r="G143" s="147"/>
      <c r="H143" s="156"/>
      <c r="I143" s="157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</row>
    <row r="144" spans="1:20" ht="15" customHeight="1" x14ac:dyDescent="0.25">
      <c r="A144" s="173" t="s">
        <v>104</v>
      </c>
      <c r="B144" s="173"/>
      <c r="C144" s="173"/>
      <c r="D144" s="142"/>
      <c r="E144" s="142"/>
      <c r="F144" s="174"/>
      <c r="G144" s="144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</row>
    <row r="145" spans="1:20" s="211" customFormat="1" ht="5.25" customHeight="1" x14ac:dyDescent="0.25">
      <c r="A145" s="154"/>
      <c r="B145" s="166"/>
      <c r="C145" s="155"/>
      <c r="D145" s="155"/>
      <c r="E145" s="155"/>
      <c r="F145" s="156"/>
      <c r="G145" s="147"/>
      <c r="H145" s="156"/>
      <c r="I145" s="157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</row>
    <row r="146" spans="1:20" ht="36.75" customHeight="1" x14ac:dyDescent="0.25">
      <c r="A146" s="481" t="s">
        <v>36</v>
      </c>
      <c r="B146" s="481" t="s">
        <v>14</v>
      </c>
      <c r="C146" s="196" t="s">
        <v>37</v>
      </c>
      <c r="D146" s="145"/>
      <c r="E146" s="145"/>
      <c r="F146" s="146"/>
      <c r="G146" s="147"/>
      <c r="H146" s="197"/>
      <c r="I146" s="197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</row>
    <row r="147" spans="1:20" ht="29.25" customHeight="1" x14ac:dyDescent="0.25">
      <c r="A147" s="481"/>
      <c r="B147" s="481"/>
      <c r="C147" s="196" t="s">
        <v>38</v>
      </c>
      <c r="D147" s="145"/>
      <c r="E147" s="145"/>
      <c r="F147" s="146"/>
      <c r="G147" s="147"/>
      <c r="H147" s="197"/>
      <c r="I147" s="197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</row>
    <row r="148" spans="1:20" x14ac:dyDescent="0.25">
      <c r="A148" s="481"/>
      <c r="B148" s="481" t="s">
        <v>108</v>
      </c>
      <c r="C148" s="196" t="s">
        <v>62</v>
      </c>
      <c r="D148" s="145"/>
      <c r="E148" s="145"/>
      <c r="F148" s="146"/>
      <c r="G148" s="147"/>
      <c r="H148" s="199"/>
      <c r="I148" s="199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</row>
    <row r="149" spans="1:20" x14ac:dyDescent="0.25">
      <c r="A149" s="481"/>
      <c r="B149" s="481"/>
      <c r="C149" s="196" t="s">
        <v>61</v>
      </c>
      <c r="D149" s="145"/>
      <c r="E149" s="145"/>
      <c r="F149" s="146"/>
      <c r="G149" s="147"/>
      <c r="H149" s="199"/>
      <c r="I149" s="199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</row>
    <row r="150" spans="1:20" x14ac:dyDescent="0.25">
      <c r="A150" s="481"/>
      <c r="B150" s="481"/>
      <c r="C150" s="196" t="s">
        <v>63</v>
      </c>
      <c r="D150" s="145"/>
      <c r="E150" s="145"/>
      <c r="F150" s="146"/>
      <c r="G150" s="147"/>
      <c r="H150" s="199"/>
      <c r="I150" s="199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</row>
    <row r="151" spans="1:20" x14ac:dyDescent="0.25">
      <c r="A151" s="481"/>
      <c r="B151" s="481" t="s">
        <v>15</v>
      </c>
      <c r="C151" s="196" t="s">
        <v>39</v>
      </c>
      <c r="D151" s="145"/>
      <c r="E151" s="145"/>
      <c r="F151" s="146"/>
      <c r="G151" s="147"/>
      <c r="H151" s="146"/>
      <c r="I151" s="146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</row>
    <row r="152" spans="1:20" x14ac:dyDescent="0.25">
      <c r="A152" s="481"/>
      <c r="B152" s="481"/>
      <c r="C152" s="196" t="s">
        <v>40</v>
      </c>
      <c r="D152" s="145"/>
      <c r="E152" s="145"/>
      <c r="F152" s="146"/>
      <c r="G152" s="147"/>
      <c r="H152" s="146"/>
      <c r="I152" s="146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</row>
    <row r="153" spans="1:20" x14ac:dyDescent="0.25">
      <c r="A153" s="481"/>
      <c r="B153" s="481" t="s">
        <v>41</v>
      </c>
      <c r="C153" s="196" t="s">
        <v>64</v>
      </c>
      <c r="D153" s="145"/>
      <c r="E153" s="145"/>
      <c r="F153" s="146"/>
      <c r="G153" s="147"/>
      <c r="H153" s="183">
        <f>70*30</f>
        <v>2100</v>
      </c>
      <c r="I153" s="183">
        <f>70*31</f>
        <v>2170</v>
      </c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</row>
    <row r="154" spans="1:20" x14ac:dyDescent="0.25">
      <c r="A154" s="481"/>
      <c r="B154" s="481"/>
      <c r="C154" s="196" t="s">
        <v>65</v>
      </c>
      <c r="D154" s="145"/>
      <c r="E154" s="145"/>
      <c r="F154" s="146"/>
      <c r="G154" s="147"/>
      <c r="H154" s="183"/>
      <c r="I154" s="183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</row>
    <row r="155" spans="1:20" x14ac:dyDescent="0.25">
      <c r="A155" s="481"/>
      <c r="B155" s="481"/>
      <c r="C155" s="196" t="s">
        <v>66</v>
      </c>
      <c r="D155" s="145"/>
      <c r="E155" s="145"/>
      <c r="F155" s="146"/>
      <c r="G155" s="147"/>
      <c r="H155" s="183"/>
      <c r="I155" s="183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</row>
    <row r="156" spans="1:20" x14ac:dyDescent="0.25">
      <c r="A156" s="481"/>
      <c r="B156" s="481"/>
      <c r="C156" s="196" t="s">
        <v>67</v>
      </c>
      <c r="D156" s="145"/>
      <c r="E156" s="145"/>
      <c r="F156" s="146"/>
      <c r="G156" s="147"/>
      <c r="H156" s="201">
        <f>(H153-782)/H153</f>
        <v>0.62761904761904763</v>
      </c>
      <c r="I156" s="201">
        <f>(I153-752)/I153</f>
        <v>0.65345622119815672</v>
      </c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</row>
    <row r="157" spans="1:20" s="214" customFormat="1" ht="5.25" customHeight="1" x14ac:dyDescent="0.25">
      <c r="A157" s="192"/>
      <c r="B157" s="192"/>
      <c r="C157" s="193"/>
      <c r="D157" s="193"/>
      <c r="E157" s="193"/>
      <c r="F157" s="194"/>
      <c r="G157" s="147"/>
      <c r="H157" s="194"/>
      <c r="I157" s="147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</row>
    <row r="158" spans="1:20" ht="48" customHeight="1" x14ac:dyDescent="0.25">
      <c r="A158" s="620" t="s">
        <v>101</v>
      </c>
      <c r="B158" s="620"/>
      <c r="C158" s="189" t="s">
        <v>102</v>
      </c>
      <c r="D158" s="145"/>
      <c r="E158" s="145"/>
      <c r="F158" s="146"/>
      <c r="G158" s="147"/>
      <c r="H158" s="146"/>
      <c r="I158" s="146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</row>
    <row r="159" spans="1:20" ht="48" customHeight="1" x14ac:dyDescent="0.25">
      <c r="A159" s="620"/>
      <c r="B159" s="620"/>
      <c r="C159" s="189" t="s">
        <v>99</v>
      </c>
      <c r="D159" s="145"/>
      <c r="E159" s="145"/>
      <c r="F159" s="146"/>
      <c r="G159" s="147"/>
      <c r="H159" s="146"/>
      <c r="I159" s="146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</row>
    <row r="160" spans="1:20" ht="24" customHeight="1" x14ac:dyDescent="0.25">
      <c r="A160" s="620"/>
      <c r="B160" s="620"/>
      <c r="C160" s="189" t="s">
        <v>100</v>
      </c>
      <c r="D160" s="145"/>
      <c r="E160" s="145"/>
      <c r="F160" s="146"/>
      <c r="G160" s="147"/>
      <c r="H160" s="146"/>
      <c r="I160" s="146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</row>
    <row r="161" spans="1:20" s="214" customFormat="1" ht="5.25" customHeight="1" x14ac:dyDescent="0.25">
      <c r="A161" s="192"/>
      <c r="B161" s="192"/>
      <c r="C161" s="193"/>
      <c r="D161" s="193"/>
      <c r="E161" s="193"/>
      <c r="F161" s="194"/>
      <c r="G161" s="147"/>
      <c r="H161" s="194"/>
      <c r="I161" s="147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</row>
    <row r="162" spans="1:20" ht="22.5" customHeight="1" x14ac:dyDescent="0.25">
      <c r="A162" s="618" t="s">
        <v>106</v>
      </c>
      <c r="B162" s="619"/>
      <c r="C162" s="189" t="s">
        <v>105</v>
      </c>
      <c r="D162" s="145"/>
      <c r="E162" s="145"/>
      <c r="F162" s="146"/>
      <c r="G162" s="147"/>
      <c r="H162" s="146"/>
      <c r="I162" s="146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</row>
    <row r="163" spans="1:20" s="214" customFormat="1" ht="5.25" customHeight="1" x14ac:dyDescent="0.25">
      <c r="A163" s="192"/>
      <c r="B163" s="192"/>
      <c r="C163" s="193"/>
      <c r="D163" s="193"/>
      <c r="E163" s="193"/>
      <c r="F163" s="194"/>
      <c r="G163" s="147"/>
      <c r="H163" s="194"/>
      <c r="I163" s="147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</row>
    <row r="164" spans="1:20" ht="15" customHeight="1" x14ac:dyDescent="0.25">
      <c r="A164" s="203" t="s">
        <v>9</v>
      </c>
      <c r="B164" s="173"/>
      <c r="C164" s="204"/>
      <c r="D164" s="205"/>
      <c r="E164" s="142"/>
      <c r="F164" s="143"/>
      <c r="G164" s="144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</row>
    <row r="165" spans="1:20" s="214" customFormat="1" ht="5.25" customHeight="1" x14ac:dyDescent="0.25">
      <c r="A165" s="192"/>
      <c r="B165" s="192"/>
      <c r="C165" s="193"/>
      <c r="D165" s="193"/>
      <c r="E165" s="193"/>
      <c r="F165" s="194"/>
      <c r="G165" s="147"/>
      <c r="H165" s="194"/>
      <c r="I165" s="147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</row>
    <row r="166" spans="1:20" x14ac:dyDescent="0.25">
      <c r="A166" s="481" t="s">
        <v>10</v>
      </c>
      <c r="B166" s="481"/>
      <c r="C166" s="196" t="s">
        <v>68</v>
      </c>
      <c r="D166" s="145"/>
      <c r="E166" s="145"/>
      <c r="F166" s="145"/>
      <c r="G166" s="206"/>
      <c r="H166" s="146"/>
      <c r="I166" s="146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</row>
    <row r="167" spans="1:20" x14ac:dyDescent="0.25">
      <c r="A167" s="481" t="s">
        <v>42</v>
      </c>
      <c r="B167" s="481"/>
      <c r="C167" s="196" t="s">
        <v>69</v>
      </c>
      <c r="D167" s="145"/>
      <c r="E167" s="145"/>
      <c r="F167" s="145"/>
      <c r="G167" s="206"/>
      <c r="H167" s="146"/>
      <c r="I167" s="146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</row>
    <row r="168" spans="1:20" ht="51" x14ac:dyDescent="0.25">
      <c r="A168" s="475" t="s">
        <v>43</v>
      </c>
      <c r="B168" s="476"/>
      <c r="C168" s="196" t="s">
        <v>90</v>
      </c>
      <c r="D168" s="145"/>
      <c r="E168" s="145"/>
      <c r="F168" s="145"/>
      <c r="G168" s="206"/>
      <c r="H168" s="146"/>
      <c r="I168" s="146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</row>
    <row r="169" spans="1:20" x14ac:dyDescent="0.25">
      <c r="A169" s="477"/>
      <c r="B169" s="478"/>
      <c r="C169" s="196" t="s">
        <v>70</v>
      </c>
      <c r="D169" s="145"/>
      <c r="E169" s="145"/>
      <c r="F169" s="145"/>
      <c r="G169" s="206"/>
      <c r="H169" s="146"/>
      <c r="I169" s="146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</row>
    <row r="170" spans="1:20" x14ac:dyDescent="0.25">
      <c r="A170" s="479"/>
      <c r="B170" s="480"/>
      <c r="C170" s="196" t="s">
        <v>71</v>
      </c>
      <c r="D170" s="145"/>
      <c r="E170" s="145"/>
      <c r="F170" s="145"/>
      <c r="G170" s="206"/>
      <c r="H170" s="146"/>
      <c r="I170" s="146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</row>
    <row r="171" spans="1:20" x14ac:dyDescent="0.25">
      <c r="A171" s="207"/>
      <c r="B171" s="207"/>
      <c r="C171" s="207"/>
      <c r="D171" s="207"/>
      <c r="E171" s="207"/>
      <c r="F171" s="207"/>
      <c r="G171" s="147"/>
      <c r="H171" s="207"/>
      <c r="I171" s="207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</row>
    <row r="172" spans="1:20" x14ac:dyDescent="0.25">
      <c r="A172" s="207"/>
      <c r="B172" s="207"/>
      <c r="C172" s="207"/>
      <c r="D172" s="207"/>
      <c r="E172" s="207"/>
      <c r="F172" s="207"/>
      <c r="G172" s="147"/>
      <c r="H172" s="207"/>
      <c r="I172" s="207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</row>
    <row r="173" spans="1:20" x14ac:dyDescent="0.25">
      <c r="A173" s="207"/>
      <c r="B173" s="207"/>
      <c r="C173" s="207"/>
      <c r="D173" s="207"/>
      <c r="E173" s="207"/>
      <c r="F173" s="207"/>
      <c r="G173" s="147"/>
      <c r="H173" s="207"/>
      <c r="I173" s="207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</row>
    <row r="174" spans="1:20" x14ac:dyDescent="0.25">
      <c r="A174" s="207"/>
      <c r="B174" s="207"/>
      <c r="C174" s="207"/>
      <c r="D174" s="207"/>
      <c r="E174" s="207"/>
      <c r="F174" s="207"/>
      <c r="G174" s="147"/>
      <c r="H174" s="207"/>
      <c r="I174" s="207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</row>
    <row r="175" spans="1:20" x14ac:dyDescent="0.25">
      <c r="A175" s="207"/>
      <c r="B175" s="207"/>
      <c r="C175" s="207"/>
      <c r="D175" s="207"/>
      <c r="E175" s="207"/>
      <c r="F175" s="207"/>
      <c r="G175" s="147"/>
      <c r="H175" s="207"/>
      <c r="I175" s="207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</row>
    <row r="176" spans="1:20" x14ac:dyDescent="0.25">
      <c r="A176" s="207"/>
      <c r="B176" s="207"/>
      <c r="C176" s="207"/>
      <c r="D176" s="207"/>
      <c r="E176" s="207"/>
      <c r="F176" s="207"/>
      <c r="G176" s="147"/>
      <c r="H176" s="207"/>
      <c r="I176" s="207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</row>
    <row r="177" spans="1:20" x14ac:dyDescent="0.25">
      <c r="A177" s="207"/>
      <c r="B177" s="207"/>
      <c r="C177" s="207"/>
      <c r="D177" s="207"/>
      <c r="E177" s="207"/>
      <c r="F177" s="207"/>
      <c r="G177" s="147"/>
      <c r="H177" s="207"/>
      <c r="I177" s="207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</row>
    <row r="178" spans="1:20" x14ac:dyDescent="0.25">
      <c r="A178" s="207"/>
      <c r="B178" s="207"/>
      <c r="C178" s="207"/>
      <c r="D178" s="207"/>
      <c r="E178" s="207"/>
      <c r="F178" s="207"/>
      <c r="G178" s="147"/>
      <c r="H178" s="207"/>
      <c r="I178" s="207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</row>
    <row r="179" spans="1:20" x14ac:dyDescent="0.25">
      <c r="A179" s="207"/>
      <c r="B179" s="207"/>
      <c r="C179" s="207"/>
      <c r="D179" s="207"/>
      <c r="E179" s="207"/>
      <c r="F179" s="207"/>
      <c r="G179" s="147"/>
      <c r="H179" s="207"/>
      <c r="I179" s="207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</row>
    <row r="180" spans="1:20" x14ac:dyDescent="0.25">
      <c r="A180" s="207"/>
      <c r="B180" s="207"/>
      <c r="C180" s="207"/>
      <c r="D180" s="207"/>
      <c r="E180" s="207"/>
      <c r="F180" s="207"/>
      <c r="G180" s="147"/>
      <c r="H180" s="207"/>
      <c r="I180" s="207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</row>
    <row r="181" spans="1:20" x14ac:dyDescent="0.25">
      <c r="A181" s="207"/>
      <c r="B181" s="207"/>
      <c r="C181" s="207"/>
      <c r="D181" s="207"/>
      <c r="E181" s="207"/>
      <c r="F181" s="207"/>
      <c r="G181" s="147"/>
      <c r="H181" s="207"/>
      <c r="I181" s="207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</row>
    <row r="182" spans="1:20" x14ac:dyDescent="0.25">
      <c r="A182" s="207"/>
      <c r="B182" s="207"/>
      <c r="C182" s="207"/>
      <c r="D182" s="207"/>
      <c r="E182" s="207"/>
      <c r="F182" s="207"/>
      <c r="G182" s="147"/>
      <c r="H182" s="207"/>
      <c r="I182" s="207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</row>
    <row r="183" spans="1:20" x14ac:dyDescent="0.25">
      <c r="A183" s="207"/>
      <c r="B183" s="207"/>
      <c r="C183" s="207"/>
      <c r="D183" s="207"/>
      <c r="E183" s="207"/>
      <c r="F183" s="207"/>
      <c r="G183" s="147"/>
      <c r="H183" s="207"/>
      <c r="I183" s="207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</row>
    <row r="184" spans="1:20" x14ac:dyDescent="0.25">
      <c r="A184" s="207"/>
      <c r="B184" s="207"/>
      <c r="C184" s="207"/>
      <c r="D184" s="207"/>
      <c r="E184" s="207"/>
      <c r="F184" s="207"/>
      <c r="G184" s="147"/>
      <c r="H184" s="207"/>
      <c r="I184" s="207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</row>
    <row r="185" spans="1:20" x14ac:dyDescent="0.25">
      <c r="A185" s="207"/>
      <c r="B185" s="207"/>
      <c r="C185" s="207"/>
      <c r="D185" s="207"/>
      <c r="E185" s="207"/>
      <c r="F185" s="207"/>
      <c r="G185" s="147"/>
      <c r="H185" s="207"/>
      <c r="I185" s="207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</row>
    <row r="186" spans="1:20" x14ac:dyDescent="0.25">
      <c r="A186" s="207"/>
      <c r="B186" s="207"/>
      <c r="C186" s="207"/>
      <c r="D186" s="207"/>
      <c r="E186" s="207"/>
      <c r="F186" s="207"/>
      <c r="G186" s="147"/>
      <c r="H186" s="207"/>
      <c r="I186" s="207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</row>
    <row r="187" spans="1:20" x14ac:dyDescent="0.25">
      <c r="A187" s="207"/>
      <c r="B187" s="207"/>
      <c r="C187" s="207"/>
      <c r="D187" s="207"/>
      <c r="E187" s="207"/>
      <c r="F187" s="207"/>
      <c r="G187" s="147"/>
      <c r="H187" s="207"/>
      <c r="I187" s="207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</row>
    <row r="188" spans="1:20" x14ac:dyDescent="0.25">
      <c r="A188" s="207"/>
      <c r="B188" s="207"/>
      <c r="C188" s="207"/>
      <c r="D188" s="207"/>
      <c r="E188" s="207"/>
      <c r="F188" s="207"/>
      <c r="G188" s="147"/>
      <c r="H188" s="207"/>
      <c r="I188" s="207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</row>
    <row r="189" spans="1:20" x14ac:dyDescent="0.25">
      <c r="A189" s="207"/>
      <c r="B189" s="207"/>
      <c r="C189" s="207"/>
      <c r="D189" s="207"/>
      <c r="E189" s="207"/>
      <c r="F189" s="207"/>
      <c r="G189" s="147"/>
      <c r="H189" s="207"/>
      <c r="I189" s="207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</row>
    <row r="190" spans="1:20" x14ac:dyDescent="0.25">
      <c r="A190" s="207"/>
      <c r="B190" s="207"/>
      <c r="C190" s="207"/>
      <c r="D190" s="207"/>
      <c r="E190" s="207"/>
      <c r="F190" s="207"/>
      <c r="G190" s="147"/>
      <c r="H190" s="207"/>
      <c r="I190" s="207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</row>
    <row r="191" spans="1:20" x14ac:dyDescent="0.25">
      <c r="A191" s="207"/>
      <c r="B191" s="207"/>
      <c r="C191" s="207"/>
      <c r="D191" s="207"/>
      <c r="E191" s="207"/>
      <c r="F191" s="207"/>
      <c r="G191" s="147"/>
      <c r="H191" s="207"/>
      <c r="I191" s="207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</row>
    <row r="192" spans="1:20" x14ac:dyDescent="0.25">
      <c r="A192" s="207"/>
      <c r="B192" s="207"/>
      <c r="C192" s="207"/>
      <c r="D192" s="207"/>
      <c r="E192" s="207"/>
      <c r="F192" s="207"/>
      <c r="G192" s="147"/>
      <c r="H192" s="207"/>
      <c r="I192" s="207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</row>
    <row r="193" spans="1:20" x14ac:dyDescent="0.25">
      <c r="A193" s="207"/>
      <c r="B193" s="207"/>
      <c r="C193" s="207"/>
      <c r="D193" s="207"/>
      <c r="E193" s="207"/>
      <c r="F193" s="207"/>
      <c r="G193" s="147"/>
      <c r="H193" s="207"/>
      <c r="I193" s="207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</row>
    <row r="194" spans="1:20" x14ac:dyDescent="0.25">
      <c r="A194" s="207"/>
      <c r="B194" s="207"/>
      <c r="C194" s="207"/>
      <c r="D194" s="207"/>
      <c r="E194" s="207"/>
      <c r="F194" s="207"/>
      <c r="G194" s="147"/>
      <c r="H194" s="207"/>
      <c r="I194" s="207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</row>
    <row r="195" spans="1:20" x14ac:dyDescent="0.25">
      <c r="A195" s="207"/>
      <c r="B195" s="207"/>
      <c r="C195" s="207"/>
      <c r="D195" s="207"/>
      <c r="E195" s="207"/>
      <c r="F195" s="207"/>
      <c r="G195" s="147"/>
      <c r="H195" s="207"/>
      <c r="I195" s="207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</row>
    <row r="196" spans="1:20" x14ac:dyDescent="0.25">
      <c r="A196" s="207"/>
      <c r="B196" s="207"/>
      <c r="C196" s="207"/>
      <c r="D196" s="207"/>
      <c r="E196" s="207"/>
      <c r="F196" s="207"/>
      <c r="G196" s="147"/>
      <c r="H196" s="207"/>
      <c r="I196" s="207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</row>
    <row r="197" spans="1:20" x14ac:dyDescent="0.25">
      <c r="A197" s="207"/>
      <c r="B197" s="207"/>
      <c r="C197" s="207"/>
      <c r="D197" s="207"/>
      <c r="E197" s="207"/>
      <c r="F197" s="207"/>
      <c r="G197" s="147"/>
      <c r="H197" s="207"/>
      <c r="I197" s="207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</row>
    <row r="198" spans="1:20" x14ac:dyDescent="0.25">
      <c r="A198" s="207"/>
      <c r="B198" s="207"/>
      <c r="C198" s="207"/>
      <c r="D198" s="207"/>
      <c r="E198" s="207"/>
      <c r="F198" s="207"/>
      <c r="G198" s="147"/>
      <c r="H198" s="207"/>
      <c r="I198" s="207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</row>
    <row r="199" spans="1:20" x14ac:dyDescent="0.25">
      <c r="A199" s="207"/>
      <c r="B199" s="207"/>
      <c r="C199" s="207"/>
      <c r="D199" s="207"/>
      <c r="E199" s="207"/>
      <c r="F199" s="207"/>
      <c r="G199" s="147"/>
      <c r="H199" s="207"/>
      <c r="I199" s="207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</row>
    <row r="200" spans="1:20" x14ac:dyDescent="0.25">
      <c r="A200" s="207"/>
      <c r="B200" s="207"/>
      <c r="C200" s="207"/>
      <c r="D200" s="207"/>
      <c r="E200" s="207"/>
      <c r="F200" s="207"/>
      <c r="G200" s="147"/>
      <c r="H200" s="207"/>
      <c r="I200" s="207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</row>
    <row r="201" spans="1:20" x14ac:dyDescent="0.25">
      <c r="A201" s="207"/>
      <c r="B201" s="207"/>
      <c r="C201" s="207"/>
      <c r="D201" s="207"/>
      <c r="E201" s="207"/>
      <c r="F201" s="207"/>
      <c r="G201" s="147"/>
      <c r="H201" s="207"/>
      <c r="I201" s="207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</row>
    <row r="202" spans="1:20" x14ac:dyDescent="0.25">
      <c r="A202" s="207"/>
      <c r="B202" s="207"/>
      <c r="C202" s="207"/>
      <c r="D202" s="207"/>
      <c r="E202" s="207"/>
      <c r="F202" s="207"/>
      <c r="G202" s="147"/>
      <c r="H202" s="207"/>
      <c r="I202" s="207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</row>
    <row r="203" spans="1:20" x14ac:dyDescent="0.25">
      <c r="A203" s="207"/>
      <c r="B203" s="207"/>
      <c r="C203" s="207"/>
      <c r="D203" s="207"/>
      <c r="E203" s="207"/>
      <c r="F203" s="207"/>
      <c r="G203" s="147"/>
      <c r="H203" s="207"/>
      <c r="I203" s="207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</row>
    <row r="204" spans="1:20" x14ac:dyDescent="0.25">
      <c r="A204" s="207"/>
      <c r="B204" s="207"/>
      <c r="C204" s="207"/>
      <c r="D204" s="207"/>
      <c r="E204" s="207"/>
      <c r="F204" s="207"/>
      <c r="G204" s="147"/>
      <c r="H204" s="207"/>
      <c r="I204" s="207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</row>
    <row r="205" spans="1:20" x14ac:dyDescent="0.25">
      <c r="A205" s="207"/>
      <c r="B205" s="207"/>
      <c r="C205" s="207"/>
      <c r="D205" s="207"/>
      <c r="E205" s="207"/>
      <c r="F205" s="207"/>
      <c r="G205" s="147"/>
      <c r="H205" s="207"/>
      <c r="I205" s="207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</row>
    <row r="206" spans="1:20" x14ac:dyDescent="0.25">
      <c r="A206" s="207"/>
      <c r="B206" s="207"/>
      <c r="C206" s="207"/>
      <c r="D206" s="207"/>
      <c r="E206" s="207"/>
      <c r="F206" s="207"/>
      <c r="G206" s="147"/>
      <c r="H206" s="207"/>
      <c r="I206" s="207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</row>
    <row r="207" spans="1:20" x14ac:dyDescent="0.25">
      <c r="A207" s="207"/>
      <c r="B207" s="207"/>
      <c r="C207" s="207"/>
      <c r="D207" s="207"/>
      <c r="E207" s="207"/>
      <c r="F207" s="207"/>
      <c r="G207" s="147"/>
      <c r="H207" s="207"/>
      <c r="I207" s="207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</row>
    <row r="208" spans="1:20" x14ac:dyDescent="0.25">
      <c r="A208" s="207"/>
      <c r="B208" s="207"/>
      <c r="C208" s="207"/>
      <c r="D208" s="207"/>
      <c r="E208" s="207"/>
      <c r="F208" s="207"/>
      <c r="G208" s="147"/>
      <c r="H208" s="207"/>
      <c r="I208" s="207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</row>
    <row r="209" spans="1:20" x14ac:dyDescent="0.25">
      <c r="A209" s="207"/>
      <c r="B209" s="207"/>
      <c r="C209" s="207"/>
      <c r="D209" s="207"/>
      <c r="E209" s="207"/>
      <c r="F209" s="207"/>
      <c r="G209" s="147"/>
      <c r="H209" s="207"/>
      <c r="I209" s="207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</row>
    <row r="210" spans="1:20" x14ac:dyDescent="0.25">
      <c r="A210" s="207"/>
      <c r="B210" s="207"/>
      <c r="C210" s="207"/>
      <c r="D210" s="207"/>
      <c r="E210" s="207"/>
      <c r="F210" s="207"/>
      <c r="G210" s="147"/>
      <c r="H210" s="207"/>
      <c r="I210" s="207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</row>
    <row r="211" spans="1:20" x14ac:dyDescent="0.25">
      <c r="A211" s="207"/>
      <c r="B211" s="207"/>
      <c r="C211" s="207"/>
      <c r="D211" s="207"/>
      <c r="E211" s="207"/>
      <c r="F211" s="207"/>
      <c r="G211" s="147"/>
      <c r="H211" s="207"/>
      <c r="I211" s="207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</row>
    <row r="212" spans="1:20" x14ac:dyDescent="0.25">
      <c r="A212" s="207"/>
      <c r="B212" s="207"/>
      <c r="C212" s="207"/>
      <c r="D212" s="207"/>
      <c r="E212" s="207"/>
      <c r="F212" s="207"/>
      <c r="G212" s="147"/>
      <c r="H212" s="207"/>
      <c r="I212" s="207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</row>
  </sheetData>
  <mergeCells count="30">
    <mergeCell ref="A158:B160"/>
    <mergeCell ref="A162:B162"/>
    <mergeCell ref="A166:B166"/>
    <mergeCell ref="A167:B167"/>
    <mergeCell ref="A168:B170"/>
    <mergeCell ref="A142:B142"/>
    <mergeCell ref="A146:A156"/>
    <mergeCell ref="B146:B147"/>
    <mergeCell ref="B148:B150"/>
    <mergeCell ref="B151:B152"/>
    <mergeCell ref="B153:B156"/>
    <mergeCell ref="A140:B140"/>
    <mergeCell ref="A63:B66"/>
    <mergeCell ref="A68:B74"/>
    <mergeCell ref="A77:A104"/>
    <mergeCell ref="B79:B104"/>
    <mergeCell ref="A106:A116"/>
    <mergeCell ref="B106:B107"/>
    <mergeCell ref="B109:B116"/>
    <mergeCell ref="A118:A129"/>
    <mergeCell ref="B118:B120"/>
    <mergeCell ref="B122:B129"/>
    <mergeCell ref="A131:B132"/>
    <mergeCell ref="A136:B138"/>
    <mergeCell ref="A1:B1"/>
    <mergeCell ref="A3:A61"/>
    <mergeCell ref="B3:B5"/>
    <mergeCell ref="B7:B41"/>
    <mergeCell ref="B43:B51"/>
    <mergeCell ref="B53:B61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99"/>
  <sheetViews>
    <sheetView topLeftCell="A52" workbookViewId="0">
      <selection activeCell="P54" sqref="P54"/>
    </sheetView>
  </sheetViews>
  <sheetFormatPr defaultRowHeight="15" x14ac:dyDescent="0.25"/>
  <cols>
    <col min="2" max="2" width="37.140625" customWidth="1"/>
    <col min="3" max="3" width="22" customWidth="1"/>
  </cols>
  <sheetData>
    <row r="5" spans="1:3" x14ac:dyDescent="0.25">
      <c r="B5" s="293" t="s">
        <v>283</v>
      </c>
    </row>
    <row r="6" spans="1:3" x14ac:dyDescent="0.25">
      <c r="A6">
        <v>1</v>
      </c>
      <c r="B6" t="s">
        <v>284</v>
      </c>
    </row>
    <row r="7" spans="1:3" x14ac:dyDescent="0.25">
      <c r="B7" t="s">
        <v>285</v>
      </c>
    </row>
    <row r="8" spans="1:3" x14ac:dyDescent="0.25">
      <c r="B8" t="s">
        <v>286</v>
      </c>
    </row>
    <row r="10" spans="1:3" x14ac:dyDescent="0.25">
      <c r="A10">
        <v>2</v>
      </c>
      <c r="B10" t="s">
        <v>287</v>
      </c>
    </row>
    <row r="11" spans="1:3" x14ac:dyDescent="0.25">
      <c r="B11" t="s">
        <v>288</v>
      </c>
      <c r="C11">
        <v>67.75</v>
      </c>
    </row>
    <row r="12" spans="1:3" x14ac:dyDescent="0.25">
      <c r="B12" t="s">
        <v>289</v>
      </c>
      <c r="C12">
        <v>9.89</v>
      </c>
    </row>
    <row r="13" spans="1:3" x14ac:dyDescent="0.25">
      <c r="B13" t="s">
        <v>290</v>
      </c>
      <c r="C13">
        <v>4.21</v>
      </c>
    </row>
    <row r="14" spans="1:3" x14ac:dyDescent="0.25">
      <c r="B14" t="s">
        <v>292</v>
      </c>
      <c r="C14">
        <v>1.39</v>
      </c>
    </row>
    <row r="15" spans="1:3" x14ac:dyDescent="0.25">
      <c r="B15" t="s">
        <v>291</v>
      </c>
      <c r="C15">
        <v>2.93</v>
      </c>
    </row>
    <row r="17" spans="1:2" x14ac:dyDescent="0.25">
      <c r="A17">
        <v>3</v>
      </c>
      <c r="B17" t="s">
        <v>293</v>
      </c>
    </row>
    <row r="18" spans="1:2" x14ac:dyDescent="0.25">
      <c r="B18" t="s">
        <v>294</v>
      </c>
    </row>
    <row r="19" spans="1:2" x14ac:dyDescent="0.25">
      <c r="B19" t="s">
        <v>295</v>
      </c>
    </row>
    <row r="20" spans="1:2" x14ac:dyDescent="0.25">
      <c r="B20" t="s">
        <v>296</v>
      </c>
    </row>
    <row r="21" spans="1:2" x14ac:dyDescent="0.25">
      <c r="B21" t="s">
        <v>297</v>
      </c>
    </row>
    <row r="22" spans="1:2" x14ac:dyDescent="0.25">
      <c r="B22" t="s">
        <v>298</v>
      </c>
    </row>
    <row r="28" spans="1:2" x14ac:dyDescent="0.25">
      <c r="B28" s="293" t="s">
        <v>299</v>
      </c>
    </row>
    <row r="29" spans="1:2" x14ac:dyDescent="0.25">
      <c r="A29">
        <v>1</v>
      </c>
      <c r="B29" t="s">
        <v>284</v>
      </c>
    </row>
    <row r="30" spans="1:2" x14ac:dyDescent="0.25">
      <c r="B30" t="s">
        <v>285</v>
      </c>
    </row>
    <row r="31" spans="1:2" x14ac:dyDescent="0.25">
      <c r="B31" t="s">
        <v>286</v>
      </c>
    </row>
    <row r="33" spans="1:3" x14ac:dyDescent="0.25">
      <c r="A33">
        <v>2</v>
      </c>
      <c r="B33" t="s">
        <v>287</v>
      </c>
    </row>
    <row r="34" spans="1:3" x14ac:dyDescent="0.25">
      <c r="B34" t="s">
        <v>288</v>
      </c>
      <c r="C34">
        <v>67.75</v>
      </c>
    </row>
    <row r="35" spans="1:3" x14ac:dyDescent="0.25">
      <c r="B35" t="s">
        <v>289</v>
      </c>
      <c r="C35">
        <v>9.89</v>
      </c>
    </row>
    <row r="36" spans="1:3" x14ac:dyDescent="0.25">
      <c r="B36" t="s">
        <v>290</v>
      </c>
      <c r="C36">
        <v>4.21</v>
      </c>
    </row>
    <row r="37" spans="1:3" x14ac:dyDescent="0.25">
      <c r="B37" t="s">
        <v>292</v>
      </c>
      <c r="C37">
        <v>1.39</v>
      </c>
    </row>
    <row r="38" spans="1:3" x14ac:dyDescent="0.25">
      <c r="B38" t="s">
        <v>291</v>
      </c>
      <c r="C38">
        <v>2.93</v>
      </c>
    </row>
    <row r="40" spans="1:3" x14ac:dyDescent="0.25">
      <c r="A40">
        <v>3</v>
      </c>
      <c r="B40" t="s">
        <v>293</v>
      </c>
    </row>
    <row r="41" spans="1:3" x14ac:dyDescent="0.25">
      <c r="B41" t="s">
        <v>294</v>
      </c>
    </row>
    <row r="42" spans="1:3" x14ac:dyDescent="0.25">
      <c r="B42" t="s">
        <v>295</v>
      </c>
    </row>
    <row r="43" spans="1:3" x14ac:dyDescent="0.25">
      <c r="B43" t="s">
        <v>296</v>
      </c>
    </row>
    <row r="44" spans="1:3" x14ac:dyDescent="0.25">
      <c r="B44" t="s">
        <v>297</v>
      </c>
    </row>
    <row r="45" spans="1:3" x14ac:dyDescent="0.25">
      <c r="B45" t="s">
        <v>298</v>
      </c>
    </row>
    <row r="52" spans="1:2" x14ac:dyDescent="0.25">
      <c r="B52" s="293" t="s">
        <v>300</v>
      </c>
    </row>
    <row r="53" spans="1:2" x14ac:dyDescent="0.25">
      <c r="A53">
        <v>1</v>
      </c>
      <c r="B53" t="s">
        <v>301</v>
      </c>
    </row>
    <row r="54" spans="1:2" x14ac:dyDescent="0.25">
      <c r="B54" t="s">
        <v>302</v>
      </c>
    </row>
    <row r="55" spans="1:2" x14ac:dyDescent="0.25">
      <c r="B55" t="s">
        <v>303</v>
      </c>
    </row>
    <row r="56" spans="1:2" x14ac:dyDescent="0.25">
      <c r="B56" t="s">
        <v>304</v>
      </c>
    </row>
    <row r="57" spans="1:2" x14ac:dyDescent="0.25">
      <c r="B57" t="s">
        <v>305</v>
      </c>
    </row>
    <row r="58" spans="1:2" x14ac:dyDescent="0.25">
      <c r="B58" t="s">
        <v>306</v>
      </c>
    </row>
    <row r="64" spans="1:2" x14ac:dyDescent="0.25">
      <c r="A64">
        <v>2</v>
      </c>
      <c r="B64" t="s">
        <v>287</v>
      </c>
    </row>
    <row r="65" spans="1:3" x14ac:dyDescent="0.25">
      <c r="B65" t="s">
        <v>288</v>
      </c>
      <c r="C65">
        <v>67.75</v>
      </c>
    </row>
    <row r="66" spans="1:3" x14ac:dyDescent="0.25">
      <c r="B66" t="s">
        <v>289</v>
      </c>
      <c r="C66">
        <v>9.89</v>
      </c>
    </row>
    <row r="67" spans="1:3" x14ac:dyDescent="0.25">
      <c r="B67" t="s">
        <v>290</v>
      </c>
      <c r="C67">
        <v>4.21</v>
      </c>
    </row>
    <row r="68" spans="1:3" x14ac:dyDescent="0.25">
      <c r="B68" t="s">
        <v>292</v>
      </c>
      <c r="C68">
        <v>1.39</v>
      </c>
    </row>
    <row r="69" spans="1:3" x14ac:dyDescent="0.25">
      <c r="B69" t="s">
        <v>291</v>
      </c>
      <c r="C69">
        <v>2.93</v>
      </c>
    </row>
    <row r="71" spans="1:3" x14ac:dyDescent="0.25">
      <c r="A71">
        <v>3</v>
      </c>
      <c r="B71" t="s">
        <v>293</v>
      </c>
    </row>
    <row r="72" spans="1:3" x14ac:dyDescent="0.25">
      <c r="B72" t="s">
        <v>294</v>
      </c>
    </row>
    <row r="73" spans="1:3" x14ac:dyDescent="0.25">
      <c r="B73" t="s">
        <v>295</v>
      </c>
    </row>
    <row r="74" spans="1:3" x14ac:dyDescent="0.25">
      <c r="B74" t="s">
        <v>296</v>
      </c>
    </row>
    <row r="75" spans="1:3" x14ac:dyDescent="0.25">
      <c r="B75" t="s">
        <v>297</v>
      </c>
    </row>
    <row r="76" spans="1:3" x14ac:dyDescent="0.25">
      <c r="B76" t="s">
        <v>298</v>
      </c>
    </row>
    <row r="82" spans="1:3" x14ac:dyDescent="0.25">
      <c r="B82" s="293" t="s">
        <v>299</v>
      </c>
    </row>
    <row r="83" spans="1:3" x14ac:dyDescent="0.25">
      <c r="A83">
        <v>1</v>
      </c>
      <c r="B83" t="s">
        <v>284</v>
      </c>
    </row>
    <row r="84" spans="1:3" x14ac:dyDescent="0.25">
      <c r="B84" t="s">
        <v>285</v>
      </c>
    </row>
    <row r="85" spans="1:3" x14ac:dyDescent="0.25">
      <c r="B85" t="s">
        <v>286</v>
      </c>
    </row>
    <row r="87" spans="1:3" x14ac:dyDescent="0.25">
      <c r="A87">
        <v>2</v>
      </c>
      <c r="B87" t="s">
        <v>287</v>
      </c>
    </row>
    <row r="88" spans="1:3" x14ac:dyDescent="0.25">
      <c r="B88" t="s">
        <v>288</v>
      </c>
      <c r="C88">
        <v>67.75</v>
      </c>
    </row>
    <row r="89" spans="1:3" x14ac:dyDescent="0.25">
      <c r="B89" t="s">
        <v>289</v>
      </c>
      <c r="C89">
        <v>9.89</v>
      </c>
    </row>
    <row r="90" spans="1:3" x14ac:dyDescent="0.25">
      <c r="B90" t="s">
        <v>290</v>
      </c>
      <c r="C90">
        <v>4.21</v>
      </c>
    </row>
    <row r="91" spans="1:3" x14ac:dyDescent="0.25">
      <c r="B91" t="s">
        <v>292</v>
      </c>
      <c r="C91">
        <v>1.39</v>
      </c>
    </row>
    <row r="92" spans="1:3" x14ac:dyDescent="0.25">
      <c r="B92" t="s">
        <v>291</v>
      </c>
      <c r="C92">
        <v>2.93</v>
      </c>
    </row>
    <row r="94" spans="1:3" x14ac:dyDescent="0.25">
      <c r="A94">
        <v>3</v>
      </c>
      <c r="B94" t="s">
        <v>293</v>
      </c>
    </row>
    <row r="95" spans="1:3" x14ac:dyDescent="0.25">
      <c r="B95" t="s">
        <v>294</v>
      </c>
    </row>
    <row r="96" spans="1:3" x14ac:dyDescent="0.25">
      <c r="B96" t="s">
        <v>295</v>
      </c>
    </row>
    <row r="97" spans="2:2" x14ac:dyDescent="0.25">
      <c r="B97" t="s">
        <v>296</v>
      </c>
    </row>
    <row r="98" spans="2:2" x14ac:dyDescent="0.25">
      <c r="B98" t="s">
        <v>297</v>
      </c>
    </row>
    <row r="99" spans="2:2" x14ac:dyDescent="0.25">
      <c r="B99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217"/>
  <sheetViews>
    <sheetView showGridLines="0" tabSelected="1" zoomScaleNormal="100" workbookViewId="0">
      <pane xSplit="3" ySplit="2" topLeftCell="I121" activePane="bottomRight" state="frozen"/>
      <selection pane="topRight" activeCell="D1" sqref="D1"/>
      <selection pane="bottomLeft" activeCell="A3" sqref="A3"/>
      <selection pane="bottomRight" activeCell="N152" sqref="N152"/>
    </sheetView>
  </sheetViews>
  <sheetFormatPr defaultRowHeight="12.75" outlineLevelCol="1" x14ac:dyDescent="0.25"/>
  <cols>
    <col min="1" max="1" width="11.7109375" style="209" customWidth="1"/>
    <col min="2" max="2" width="13" style="209" customWidth="1"/>
    <col min="3" max="3" width="41.7109375" style="209" customWidth="1"/>
    <col min="4" max="4" width="6.5703125" style="209" hidden="1" customWidth="1"/>
    <col min="5" max="5" width="7.7109375" style="209" hidden="1" customWidth="1"/>
    <col min="6" max="6" width="10.42578125" style="209" hidden="1" customWidth="1"/>
    <col min="7" max="7" width="9.5703125" style="209" hidden="1" customWidth="1"/>
    <col min="8" max="8" width="0.85546875" style="211" hidden="1" customWidth="1"/>
    <col min="9" max="10" width="11.42578125" style="209" customWidth="1" outlineLevel="1"/>
    <col min="11" max="11" width="9.42578125" style="209" bestFit="1" customWidth="1" outlineLevel="1"/>
    <col min="12" max="12" width="11.85546875" style="209" customWidth="1" outlineLevel="1"/>
    <col min="13" max="13" width="11.85546875" style="215" customWidth="1" outlineLevel="1"/>
    <col min="14" max="14" width="9.42578125" style="215" bestFit="1" customWidth="1" outlineLevel="1"/>
    <col min="15" max="15" width="11.85546875" style="209" customWidth="1" outlineLevel="1"/>
    <col min="16" max="16" width="11.85546875" style="215" customWidth="1" outlineLevel="1"/>
    <col min="17" max="17" width="9.42578125" style="215" bestFit="1" customWidth="1" outlineLevel="1"/>
    <col min="18" max="18" width="11.85546875" style="209" customWidth="1" outlineLevel="1"/>
    <col min="19" max="19" width="11.85546875" style="215" customWidth="1" outlineLevel="1"/>
    <col min="20" max="20" width="9.42578125" style="215" bestFit="1" customWidth="1" outlineLevel="1"/>
    <col min="21" max="29" width="11.85546875" style="215" hidden="1" customWidth="1" outlineLevel="1"/>
    <col min="30" max="32" width="11.85546875" style="215" hidden="1" customWidth="1"/>
    <col min="33" max="41" width="11.85546875" style="215" hidden="1" customWidth="1" outlineLevel="1"/>
    <col min="42" max="44" width="11.85546875" style="215" hidden="1" customWidth="1"/>
    <col min="45" max="53" width="11.85546875" style="215" hidden="1" customWidth="1" outlineLevel="1"/>
    <col min="54" max="56" width="11.85546875" style="215" hidden="1" customWidth="1"/>
    <col min="57" max="57" width="11.85546875" style="209" hidden="1" customWidth="1" outlineLevel="1"/>
    <col min="58" max="59" width="11.85546875" style="215" hidden="1" customWidth="1" outlineLevel="1"/>
    <col min="60" max="60" width="9.140625" style="209" collapsed="1"/>
    <col min="61" max="16384" width="9.140625" style="209"/>
  </cols>
  <sheetData>
    <row r="1" spans="1:59" ht="54.75" customHeight="1" x14ac:dyDescent="0.25">
      <c r="A1" s="468" t="s">
        <v>1</v>
      </c>
      <c r="B1" s="468"/>
      <c r="C1" s="251" t="s">
        <v>2</v>
      </c>
      <c r="D1" s="252" t="s">
        <v>3</v>
      </c>
      <c r="E1" s="252" t="s">
        <v>273</v>
      </c>
      <c r="F1" s="252" t="s">
        <v>274</v>
      </c>
      <c r="G1" s="252" t="s">
        <v>275</v>
      </c>
      <c r="H1" s="139"/>
      <c r="I1" s="465" t="s">
        <v>11</v>
      </c>
      <c r="J1" s="466"/>
      <c r="K1" s="467"/>
      <c r="L1" s="465" t="s">
        <v>12</v>
      </c>
      <c r="M1" s="466"/>
      <c r="N1" s="467"/>
      <c r="O1" s="465" t="s">
        <v>123</v>
      </c>
      <c r="P1" s="466"/>
      <c r="Q1" s="467"/>
      <c r="R1" s="465" t="s">
        <v>268</v>
      </c>
      <c r="S1" s="466"/>
      <c r="T1" s="467"/>
      <c r="U1" s="462" t="s">
        <v>124</v>
      </c>
      <c r="V1" s="462"/>
      <c r="W1" s="462"/>
      <c r="X1" s="462" t="s">
        <v>125</v>
      </c>
      <c r="Y1" s="462"/>
      <c r="Z1" s="462"/>
      <c r="AA1" s="462" t="s">
        <v>126</v>
      </c>
      <c r="AB1" s="462"/>
      <c r="AC1" s="462"/>
      <c r="AD1" s="462" t="s">
        <v>269</v>
      </c>
      <c r="AE1" s="462"/>
      <c r="AF1" s="462"/>
      <c r="AG1" s="462" t="s">
        <v>127</v>
      </c>
      <c r="AH1" s="462"/>
      <c r="AI1" s="462"/>
      <c r="AJ1" s="462" t="s">
        <v>128</v>
      </c>
      <c r="AK1" s="462"/>
      <c r="AL1" s="462"/>
      <c r="AM1" s="462" t="s">
        <v>129</v>
      </c>
      <c r="AN1" s="462"/>
      <c r="AO1" s="462"/>
      <c r="AP1" s="462" t="s">
        <v>270</v>
      </c>
      <c r="AQ1" s="462"/>
      <c r="AR1" s="462"/>
      <c r="AS1" s="462" t="s">
        <v>130</v>
      </c>
      <c r="AT1" s="462"/>
      <c r="AU1" s="462"/>
      <c r="AV1" s="462" t="s">
        <v>131</v>
      </c>
      <c r="AW1" s="462"/>
      <c r="AX1" s="462"/>
      <c r="AY1" s="462" t="s">
        <v>132</v>
      </c>
      <c r="AZ1" s="462"/>
      <c r="BA1" s="462"/>
      <c r="BB1" s="462" t="s">
        <v>271</v>
      </c>
      <c r="BC1" s="462"/>
      <c r="BD1" s="462"/>
      <c r="BE1" s="465" t="s">
        <v>133</v>
      </c>
      <c r="BF1" s="466"/>
      <c r="BG1" s="467"/>
    </row>
    <row r="2" spans="1:59" ht="15" customHeight="1" thickBot="1" x14ac:dyDescent="0.3">
      <c r="A2" s="434" t="s">
        <v>29</v>
      </c>
      <c r="B2" s="141"/>
      <c r="C2" s="141"/>
      <c r="D2" s="142"/>
      <c r="E2" s="142"/>
      <c r="F2" s="142"/>
      <c r="G2" s="143"/>
      <c r="H2" s="144"/>
      <c r="I2" s="311" t="s">
        <v>145</v>
      </c>
      <c r="J2" s="312" t="s">
        <v>144</v>
      </c>
      <c r="K2" s="313" t="s">
        <v>267</v>
      </c>
      <c r="L2" s="311" t="s">
        <v>145</v>
      </c>
      <c r="M2" s="312" t="s">
        <v>144</v>
      </c>
      <c r="N2" s="313" t="s">
        <v>267</v>
      </c>
      <c r="O2" s="311" t="s">
        <v>145</v>
      </c>
      <c r="P2" s="312" t="s">
        <v>144</v>
      </c>
      <c r="Q2" s="313" t="s">
        <v>267</v>
      </c>
      <c r="R2" s="311" t="s">
        <v>145</v>
      </c>
      <c r="S2" s="312" t="s">
        <v>144</v>
      </c>
      <c r="T2" s="313" t="s">
        <v>267</v>
      </c>
      <c r="U2" s="309" t="s">
        <v>145</v>
      </c>
      <c r="V2" s="309" t="s">
        <v>144</v>
      </c>
      <c r="W2" s="309" t="s">
        <v>267</v>
      </c>
      <c r="X2" s="309" t="s">
        <v>145</v>
      </c>
      <c r="Y2" s="309" t="s">
        <v>144</v>
      </c>
      <c r="Z2" s="309" t="s">
        <v>267</v>
      </c>
      <c r="AA2" s="309" t="s">
        <v>145</v>
      </c>
      <c r="AB2" s="309" t="s">
        <v>144</v>
      </c>
      <c r="AC2" s="309" t="s">
        <v>267</v>
      </c>
      <c r="AD2" s="309" t="s">
        <v>145</v>
      </c>
      <c r="AE2" s="309" t="s">
        <v>144</v>
      </c>
      <c r="AF2" s="309" t="s">
        <v>267</v>
      </c>
      <c r="AG2" s="309" t="s">
        <v>145</v>
      </c>
      <c r="AH2" s="309" t="s">
        <v>144</v>
      </c>
      <c r="AI2" s="309" t="s">
        <v>267</v>
      </c>
      <c r="AJ2" s="309" t="s">
        <v>145</v>
      </c>
      <c r="AK2" s="309" t="s">
        <v>144</v>
      </c>
      <c r="AL2" s="309" t="s">
        <v>267</v>
      </c>
      <c r="AM2" s="309" t="s">
        <v>145</v>
      </c>
      <c r="AN2" s="309" t="s">
        <v>144</v>
      </c>
      <c r="AO2" s="309" t="s">
        <v>267</v>
      </c>
      <c r="AP2" s="309" t="s">
        <v>145</v>
      </c>
      <c r="AQ2" s="309" t="s">
        <v>144</v>
      </c>
      <c r="AR2" s="309" t="s">
        <v>267</v>
      </c>
      <c r="AS2" s="309" t="s">
        <v>145</v>
      </c>
      <c r="AT2" s="309" t="s">
        <v>144</v>
      </c>
      <c r="AU2" s="309" t="s">
        <v>267</v>
      </c>
      <c r="AV2" s="309" t="s">
        <v>145</v>
      </c>
      <c r="AW2" s="309" t="s">
        <v>144</v>
      </c>
      <c r="AX2" s="309" t="s">
        <v>267</v>
      </c>
      <c r="AY2" s="309" t="s">
        <v>145</v>
      </c>
      <c r="AZ2" s="309" t="s">
        <v>144</v>
      </c>
      <c r="BA2" s="309" t="s">
        <v>267</v>
      </c>
      <c r="BB2" s="309" t="s">
        <v>145</v>
      </c>
      <c r="BC2" s="309" t="s">
        <v>144</v>
      </c>
      <c r="BD2" s="309" t="s">
        <v>267</v>
      </c>
      <c r="BE2" s="311" t="s">
        <v>145</v>
      </c>
      <c r="BF2" s="312" t="s">
        <v>144</v>
      </c>
      <c r="BG2" s="313" t="s">
        <v>267</v>
      </c>
    </row>
    <row r="3" spans="1:59" ht="4.5" customHeight="1" thickBot="1" x14ac:dyDescent="0.3">
      <c r="A3" s="154"/>
      <c r="B3" s="154"/>
      <c r="C3" s="155"/>
      <c r="D3" s="155"/>
      <c r="E3" s="155"/>
      <c r="F3" s="155"/>
      <c r="G3" s="156"/>
      <c r="H3" s="147"/>
      <c r="I3" s="147"/>
      <c r="J3" s="147"/>
      <c r="K3" s="147"/>
      <c r="L3" s="254"/>
      <c r="M3" s="392"/>
      <c r="N3" s="392"/>
      <c r="O3" s="254"/>
      <c r="P3" s="392"/>
      <c r="Q3" s="392"/>
      <c r="R3" s="254"/>
      <c r="S3" s="392"/>
      <c r="T3" s="392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254"/>
      <c r="BF3" s="392"/>
      <c r="BG3" s="392"/>
    </row>
    <row r="4" spans="1:59" ht="38.25" x14ac:dyDescent="0.25">
      <c r="A4" s="463" t="s">
        <v>272</v>
      </c>
      <c r="B4" s="491" t="s">
        <v>139</v>
      </c>
      <c r="C4" s="231" t="s">
        <v>200</v>
      </c>
      <c r="D4" s="145"/>
      <c r="E4" s="145"/>
      <c r="F4" s="145"/>
      <c r="G4" s="146"/>
      <c r="H4" s="147"/>
      <c r="I4" s="314">
        <v>15</v>
      </c>
      <c r="J4" s="315">
        <v>14</v>
      </c>
      <c r="K4" s="316">
        <f>(I4-J4)/J4</f>
        <v>7.1428571428571425E-2</v>
      </c>
      <c r="L4" s="314">
        <v>15</v>
      </c>
      <c r="M4" s="315">
        <v>14</v>
      </c>
      <c r="N4" s="316">
        <f>(L4-M4)/M4</f>
        <v>7.1428571428571425E-2</v>
      </c>
      <c r="O4" s="314">
        <v>15</v>
      </c>
      <c r="P4" s="315">
        <v>14</v>
      </c>
      <c r="Q4" s="316">
        <f>(O4-P4)/P4</f>
        <v>7.1428571428571425E-2</v>
      </c>
      <c r="R4" s="314">
        <f>I4+L4+O4</f>
        <v>45</v>
      </c>
      <c r="S4" s="315">
        <f>J4+M4+P4</f>
        <v>42</v>
      </c>
      <c r="T4" s="316">
        <f>(R4-S4)/S4</f>
        <v>7.1428571428571425E-2</v>
      </c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>
        <f>AA4+X4+U4</f>
        <v>0</v>
      </c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>
        <f>AM4+AJ4+AG4</f>
        <v>0</v>
      </c>
      <c r="AR4" s="271"/>
      <c r="AS4" s="271"/>
      <c r="AT4" s="271"/>
      <c r="AU4" s="271"/>
      <c r="AV4" s="271"/>
      <c r="AW4" s="271"/>
      <c r="AX4" s="271"/>
      <c r="AY4" s="271"/>
      <c r="AZ4" s="271"/>
      <c r="BA4" s="271"/>
      <c r="BB4" s="271"/>
      <c r="BC4" s="271">
        <f>AY4+AV4+AS4</f>
        <v>0</v>
      </c>
      <c r="BD4" s="410"/>
      <c r="BE4" s="314">
        <f>I4+L4+O4+U4+X4+AA4+AG4+AJ4+AM4+AS4+AV4+AY4</f>
        <v>45</v>
      </c>
      <c r="BF4" s="315">
        <f>J4+M4+P4+V4+Y4+AB4+AH4+AK4+AN4+AT4+AW4+AZ4</f>
        <v>42</v>
      </c>
      <c r="BG4" s="316">
        <f>(BE4-BF4)/BF4</f>
        <v>7.1428571428571425E-2</v>
      </c>
    </row>
    <row r="5" spans="1:59" x14ac:dyDescent="0.25">
      <c r="A5" s="464"/>
      <c r="B5" s="492"/>
      <c r="C5" s="231" t="s">
        <v>157</v>
      </c>
      <c r="D5" s="145"/>
      <c r="E5" s="145"/>
      <c r="F5" s="145"/>
      <c r="G5" s="146"/>
      <c r="H5" s="147"/>
      <c r="I5" s="317">
        <v>10</v>
      </c>
      <c r="J5" s="270">
        <v>5</v>
      </c>
      <c r="K5" s="318">
        <f t="shared" ref="K5:K6" si="0">(I5-J5)/J5</f>
        <v>1</v>
      </c>
      <c r="L5" s="317">
        <v>10</v>
      </c>
      <c r="M5" s="270">
        <v>5</v>
      </c>
      <c r="N5" s="325">
        <f t="shared" ref="N5:N6" si="1">(L5-M5)/M5</f>
        <v>1</v>
      </c>
      <c r="O5" s="317">
        <v>10</v>
      </c>
      <c r="P5" s="270">
        <v>5</v>
      </c>
      <c r="Q5" s="325">
        <f>(O5-P5)/P5</f>
        <v>1</v>
      </c>
      <c r="R5" s="317">
        <f t="shared" ref="R5" si="2">I5+L5+O5</f>
        <v>30</v>
      </c>
      <c r="S5" s="270">
        <f t="shared" ref="S5:S7" si="3">J5+M5+P5</f>
        <v>15</v>
      </c>
      <c r="T5" s="325">
        <f t="shared" ref="T5:T7" si="4">(R5-S5)/S5</f>
        <v>1</v>
      </c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1"/>
      <c r="AW5" s="271"/>
      <c r="AX5" s="271"/>
      <c r="AY5" s="271"/>
      <c r="AZ5" s="271"/>
      <c r="BA5" s="271"/>
      <c r="BB5" s="271"/>
      <c r="BC5" s="271"/>
      <c r="BD5" s="410"/>
      <c r="BE5" s="317">
        <f t="shared" ref="BE5:BE7" si="5">I5+L5+O5+U5+X5+AA5+AG5+AJ5+AM5+AS5+AV5+AY5</f>
        <v>30</v>
      </c>
      <c r="BF5" s="270">
        <f t="shared" ref="BF5:BF7" si="6">J5+M5+P5+V5+Y5+AB5+AH5+AK5+AN5+AT5+AW5+AZ5</f>
        <v>15</v>
      </c>
      <c r="BG5" s="325">
        <f t="shared" ref="BG5:BG7" si="7">(BE5-BF5)/BF5</f>
        <v>1</v>
      </c>
    </row>
    <row r="6" spans="1:59" ht="25.5" x14ac:dyDescent="0.25">
      <c r="A6" s="464"/>
      <c r="B6" s="492"/>
      <c r="C6" s="231" t="s">
        <v>201</v>
      </c>
      <c r="D6" s="145"/>
      <c r="E6" s="145"/>
      <c r="F6" s="145"/>
      <c r="G6" s="146"/>
      <c r="H6" s="147"/>
      <c r="I6" s="317">
        <v>5</v>
      </c>
      <c r="J6" s="270">
        <v>1</v>
      </c>
      <c r="K6" s="318">
        <f t="shared" si="0"/>
        <v>4</v>
      </c>
      <c r="L6" s="317">
        <v>5</v>
      </c>
      <c r="M6" s="270">
        <v>1</v>
      </c>
      <c r="N6" s="318">
        <f t="shared" si="1"/>
        <v>4</v>
      </c>
      <c r="O6" s="317">
        <v>5</v>
      </c>
      <c r="P6" s="270">
        <v>1</v>
      </c>
      <c r="Q6" s="318">
        <f>(O6-P6)/P6</f>
        <v>4</v>
      </c>
      <c r="R6" s="317">
        <f>I6+L6+O6</f>
        <v>15</v>
      </c>
      <c r="S6" s="270">
        <f t="shared" si="3"/>
        <v>3</v>
      </c>
      <c r="T6" s="318">
        <f t="shared" si="4"/>
        <v>4</v>
      </c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/>
      <c r="AW6" s="271"/>
      <c r="AX6" s="271"/>
      <c r="AY6" s="271"/>
      <c r="AZ6" s="271"/>
      <c r="BA6" s="271"/>
      <c r="BB6" s="271"/>
      <c r="BC6" s="271"/>
      <c r="BD6" s="410"/>
      <c r="BE6" s="317">
        <f t="shared" si="5"/>
        <v>15</v>
      </c>
      <c r="BF6" s="270">
        <f t="shared" si="6"/>
        <v>3</v>
      </c>
      <c r="BG6" s="325">
        <f t="shared" si="7"/>
        <v>4</v>
      </c>
    </row>
    <row r="7" spans="1:59" ht="26.25" thickBot="1" x14ac:dyDescent="0.3">
      <c r="A7" s="464"/>
      <c r="B7" s="492"/>
      <c r="C7" s="232" t="s">
        <v>202</v>
      </c>
      <c r="D7" s="145"/>
      <c r="E7" s="145"/>
      <c r="F7" s="145"/>
      <c r="G7" s="146"/>
      <c r="H7" s="147"/>
      <c r="I7" s="319">
        <v>15</v>
      </c>
      <c r="J7" s="273">
        <v>5</v>
      </c>
      <c r="K7" s="320">
        <f>(I7-J7)/J7</f>
        <v>2</v>
      </c>
      <c r="L7" s="319">
        <v>15</v>
      </c>
      <c r="M7" s="273">
        <v>5</v>
      </c>
      <c r="N7" s="393">
        <f>(L7-M7)/M7</f>
        <v>2</v>
      </c>
      <c r="O7" s="319">
        <v>15</v>
      </c>
      <c r="P7" s="273">
        <v>5</v>
      </c>
      <c r="Q7" s="393">
        <f>(O7-P7)/P7</f>
        <v>2</v>
      </c>
      <c r="R7" s="319">
        <f>I7+L7+O7</f>
        <v>45</v>
      </c>
      <c r="S7" s="273">
        <f t="shared" si="3"/>
        <v>15</v>
      </c>
      <c r="T7" s="393">
        <f t="shared" si="4"/>
        <v>2</v>
      </c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1"/>
      <c r="BA7" s="271"/>
      <c r="BB7" s="271"/>
      <c r="BC7" s="271"/>
      <c r="BD7" s="410"/>
      <c r="BE7" s="319">
        <f t="shared" si="5"/>
        <v>45</v>
      </c>
      <c r="BF7" s="273">
        <f t="shared" si="6"/>
        <v>15</v>
      </c>
      <c r="BG7" s="320">
        <f t="shared" si="7"/>
        <v>2</v>
      </c>
    </row>
    <row r="8" spans="1:59" ht="13.5" thickBot="1" x14ac:dyDescent="0.3">
      <c r="A8" s="464"/>
      <c r="B8" s="492"/>
      <c r="C8" s="235" t="s">
        <v>208</v>
      </c>
      <c r="D8" s="145"/>
      <c r="E8" s="145"/>
      <c r="F8" s="145"/>
      <c r="G8" s="146"/>
      <c r="H8" s="147"/>
      <c r="I8" s="321">
        <f>SUM(I4:I7)</f>
        <v>45</v>
      </c>
      <c r="J8" s="310">
        <f>SUM(J4:J7)</f>
        <v>25</v>
      </c>
      <c r="K8" s="322">
        <f>(I8-J8)/J8</f>
        <v>0.8</v>
      </c>
      <c r="L8" s="321">
        <f>SUM(L4:L7)</f>
        <v>45</v>
      </c>
      <c r="M8" s="310">
        <f>SUM(M4:M7)</f>
        <v>25</v>
      </c>
      <c r="N8" s="322">
        <f>(L8-M8)/M8</f>
        <v>0.8</v>
      </c>
      <c r="O8" s="321">
        <f>SUM(O4:O7)</f>
        <v>45</v>
      </c>
      <c r="P8" s="310">
        <f>SUM(P4:P7)</f>
        <v>25</v>
      </c>
      <c r="Q8" s="322">
        <f>(O8-P8)/P8</f>
        <v>0.8</v>
      </c>
      <c r="R8" s="321">
        <f>I8+L8+O8</f>
        <v>135</v>
      </c>
      <c r="S8" s="310">
        <f>J8+M8+P8</f>
        <v>75</v>
      </c>
      <c r="T8" s="322">
        <f>(R8-S8)/S8</f>
        <v>0.8</v>
      </c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2"/>
      <c r="AF8" s="282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2"/>
      <c r="AU8" s="282"/>
      <c r="AV8" s="282"/>
      <c r="AW8" s="282"/>
      <c r="AX8" s="282"/>
      <c r="AY8" s="282"/>
      <c r="AZ8" s="282"/>
      <c r="BA8" s="282"/>
      <c r="BB8" s="282"/>
      <c r="BC8" s="282"/>
      <c r="BD8" s="411"/>
      <c r="BE8" s="321">
        <f>SUM(BE4:BE7)</f>
        <v>135</v>
      </c>
      <c r="BF8" s="310">
        <f>SUM(BF4:BF7)</f>
        <v>75</v>
      </c>
      <c r="BG8" s="322">
        <f>(BE8-BF8)/BF8</f>
        <v>0.8</v>
      </c>
    </row>
    <row r="9" spans="1:59" ht="5.25" customHeight="1" thickTop="1" x14ac:dyDescent="0.25">
      <c r="A9" s="464"/>
      <c r="B9" s="492"/>
      <c r="C9" s="155"/>
      <c r="D9" s="155"/>
      <c r="E9" s="155"/>
      <c r="F9" s="155"/>
      <c r="G9" s="156"/>
      <c r="H9" s="147"/>
      <c r="I9" s="323"/>
      <c r="J9" s="278"/>
      <c r="K9" s="324"/>
      <c r="L9" s="323"/>
      <c r="M9" s="278"/>
      <c r="N9" s="394"/>
      <c r="O9" s="323"/>
      <c r="P9" s="278"/>
      <c r="Q9" s="394"/>
      <c r="R9" s="336"/>
      <c r="S9" s="279"/>
      <c r="T9" s="394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412"/>
      <c r="BE9" s="336"/>
      <c r="BF9" s="279"/>
      <c r="BG9" s="394"/>
    </row>
    <row r="10" spans="1:59" x14ac:dyDescent="0.25">
      <c r="A10" s="464"/>
      <c r="B10" s="492"/>
      <c r="C10" s="233" t="s">
        <v>203</v>
      </c>
      <c r="D10" s="145"/>
      <c r="E10" s="145"/>
      <c r="F10" s="145"/>
      <c r="G10" s="146"/>
      <c r="H10" s="147"/>
      <c r="I10" s="317">
        <v>10</v>
      </c>
      <c r="J10" s="270">
        <v>6</v>
      </c>
      <c r="K10" s="325">
        <f>(I10-J10)/J10</f>
        <v>0.66666666666666663</v>
      </c>
      <c r="L10" s="317">
        <v>10</v>
      </c>
      <c r="M10" s="270">
        <v>6</v>
      </c>
      <c r="N10" s="325">
        <f>(L10-M10)/M10</f>
        <v>0.66666666666666663</v>
      </c>
      <c r="O10" s="317">
        <v>10</v>
      </c>
      <c r="P10" s="270">
        <v>6</v>
      </c>
      <c r="Q10" s="325">
        <f>(O10-P10)/P10</f>
        <v>0.66666666666666663</v>
      </c>
      <c r="R10" s="317">
        <f t="shared" ref="R10:R11" si="8">I10+L10+O10</f>
        <v>30</v>
      </c>
      <c r="S10" s="270">
        <f t="shared" ref="S10:S11" si="9">J10+M10+P10</f>
        <v>18</v>
      </c>
      <c r="T10" s="325">
        <f t="shared" ref="T10:T11" si="10">(R10-S10)/S10</f>
        <v>0.66666666666666663</v>
      </c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410"/>
      <c r="BE10" s="317">
        <f>I10+L10+O10+U10+X10+AA10+AG10+AJ10+AM10+AS10+AV10+AY10</f>
        <v>30</v>
      </c>
      <c r="BF10" s="270">
        <f>J10+M10+P10+V10+Y10+AB10+AH10+AK10+AN10+AT10+AW10+AZ10</f>
        <v>18</v>
      </c>
      <c r="BG10" s="325">
        <f>(BE10-BF10)/BF10</f>
        <v>0.66666666666666663</v>
      </c>
    </row>
    <row r="11" spans="1:59" ht="13.5" thickBot="1" x14ac:dyDescent="0.3">
      <c r="A11" s="464"/>
      <c r="B11" s="492"/>
      <c r="C11" s="234" t="s">
        <v>204</v>
      </c>
      <c r="D11" s="145"/>
      <c r="E11" s="145"/>
      <c r="F11" s="145"/>
      <c r="G11" s="146"/>
      <c r="H11" s="147"/>
      <c r="I11" s="319">
        <v>1</v>
      </c>
      <c r="J11" s="273">
        <v>1.0266999999999999</v>
      </c>
      <c r="K11" s="320">
        <f>(I11-J11)/J11</f>
        <v>-2.600564916723478E-2</v>
      </c>
      <c r="L11" s="319">
        <v>1</v>
      </c>
      <c r="M11" s="273">
        <v>1.0266999999999999</v>
      </c>
      <c r="N11" s="320">
        <f>(L11-M11)/M11</f>
        <v>-2.600564916723478E-2</v>
      </c>
      <c r="O11" s="319">
        <v>1</v>
      </c>
      <c r="P11" s="273">
        <v>1.0266999999999999</v>
      </c>
      <c r="Q11" s="320">
        <f>(O11-P11)/P11</f>
        <v>-2.600564916723478E-2</v>
      </c>
      <c r="R11" s="319">
        <f t="shared" si="8"/>
        <v>3</v>
      </c>
      <c r="S11" s="273">
        <f t="shared" si="9"/>
        <v>3.0800999999999998</v>
      </c>
      <c r="T11" s="320">
        <f t="shared" si="10"/>
        <v>-2.600564916723478E-2</v>
      </c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410"/>
      <c r="BE11" s="319">
        <f>I11+L11+O11+U11+X11+AA11+AG11+AJ11+AM11+AS11+AV11+AY11</f>
        <v>3</v>
      </c>
      <c r="BF11" s="273">
        <f>J11+M11+P11+V11+Y11+AB11+AH11+AK11+AN11+AT11+AW11+AZ11</f>
        <v>3.0800999999999998</v>
      </c>
      <c r="BG11" s="325">
        <f>(BE11-BF11)/BF11</f>
        <v>-2.600564916723478E-2</v>
      </c>
    </row>
    <row r="12" spans="1:59" ht="13.5" thickBot="1" x14ac:dyDescent="0.3">
      <c r="A12" s="464"/>
      <c r="B12" s="492"/>
      <c r="C12" s="235" t="s">
        <v>209</v>
      </c>
      <c r="D12" s="145"/>
      <c r="E12" s="145"/>
      <c r="F12" s="145"/>
      <c r="G12" s="146"/>
      <c r="H12" s="147"/>
      <c r="I12" s="321">
        <f>SUM(I10:I11)</f>
        <v>11</v>
      </c>
      <c r="J12" s="310">
        <f>SUM(J10:J11)</f>
        <v>7.0266999999999999</v>
      </c>
      <c r="K12" s="326">
        <f>(I12-J12)/J12</f>
        <v>0.5654574693668436</v>
      </c>
      <c r="L12" s="321">
        <f>SUM(L10:L11)</f>
        <v>11</v>
      </c>
      <c r="M12" s="310">
        <f>SUM(M10:M11)</f>
        <v>7.0266999999999999</v>
      </c>
      <c r="N12" s="326">
        <f>(L12-M12)/M12</f>
        <v>0.5654574693668436</v>
      </c>
      <c r="O12" s="321">
        <f>SUM(O10:O11)</f>
        <v>11</v>
      </c>
      <c r="P12" s="310">
        <f>SUM(P10:P11)</f>
        <v>7.0266999999999999</v>
      </c>
      <c r="Q12" s="326">
        <f>(O12-P12)/P12</f>
        <v>0.5654574693668436</v>
      </c>
      <c r="R12" s="321">
        <f>I12+L12+O12</f>
        <v>33</v>
      </c>
      <c r="S12" s="310">
        <f>J12+M12+P12</f>
        <v>21.080100000000002</v>
      </c>
      <c r="T12" s="326">
        <f>(R12-S12)/S12</f>
        <v>0.56545746936684349</v>
      </c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2"/>
      <c r="AX12" s="282"/>
      <c r="AY12" s="282"/>
      <c r="AZ12" s="282"/>
      <c r="BA12" s="282"/>
      <c r="BB12" s="282"/>
      <c r="BC12" s="282"/>
      <c r="BD12" s="411"/>
      <c r="BE12" s="321">
        <f>SUM(BE10:BE11)</f>
        <v>33</v>
      </c>
      <c r="BF12" s="310">
        <f>SUM(BF10:BF11)</f>
        <v>21.080100000000002</v>
      </c>
      <c r="BG12" s="326">
        <f>(BE12-BF12)/BF12</f>
        <v>0.56545746936684349</v>
      </c>
    </row>
    <row r="13" spans="1:59" ht="5.25" customHeight="1" thickTop="1" x14ac:dyDescent="0.25">
      <c r="A13" s="464"/>
      <c r="B13" s="492"/>
      <c r="C13" s="155"/>
      <c r="D13" s="155"/>
      <c r="E13" s="155"/>
      <c r="F13" s="155"/>
      <c r="G13" s="156"/>
      <c r="H13" s="147"/>
      <c r="I13" s="323"/>
      <c r="J13" s="278"/>
      <c r="K13" s="324"/>
      <c r="L13" s="323"/>
      <c r="M13" s="278"/>
      <c r="N13" s="394"/>
      <c r="O13" s="323"/>
      <c r="P13" s="278"/>
      <c r="Q13" s="394"/>
      <c r="R13" s="336"/>
      <c r="S13" s="279"/>
      <c r="T13" s="394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412"/>
      <c r="BE13" s="336"/>
      <c r="BF13" s="279"/>
      <c r="BG13" s="394"/>
    </row>
    <row r="14" spans="1:59" ht="12" customHeight="1" x14ac:dyDescent="0.25">
      <c r="A14" s="464"/>
      <c r="B14" s="492"/>
      <c r="C14" s="233" t="s">
        <v>205</v>
      </c>
      <c r="D14" s="145"/>
      <c r="E14" s="145"/>
      <c r="F14" s="145"/>
      <c r="G14" s="146"/>
      <c r="H14" s="147"/>
      <c r="I14" s="317">
        <v>8</v>
      </c>
      <c r="J14" s="270">
        <v>4</v>
      </c>
      <c r="K14" s="327"/>
      <c r="L14" s="317">
        <v>8</v>
      </c>
      <c r="M14" s="270">
        <v>4</v>
      </c>
      <c r="N14" s="395"/>
      <c r="O14" s="317">
        <v>8</v>
      </c>
      <c r="P14" s="270">
        <v>4</v>
      </c>
      <c r="Q14" s="395"/>
      <c r="R14" s="317">
        <f t="shared" ref="R14" si="11">I14+L14+O14</f>
        <v>24</v>
      </c>
      <c r="S14" s="270">
        <f t="shared" ref="S14" si="12">J14+M14+P14</f>
        <v>12</v>
      </c>
      <c r="T14" s="395">
        <f t="shared" ref="T14" si="13">(R14-S14)/S14</f>
        <v>1</v>
      </c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1"/>
      <c r="AX14" s="271"/>
      <c r="AY14" s="271"/>
      <c r="AZ14" s="271"/>
      <c r="BA14" s="271"/>
      <c r="BB14" s="271"/>
      <c r="BC14" s="271"/>
      <c r="BD14" s="410"/>
      <c r="BE14" s="317">
        <f>I14+L14+O14+U14+X14+AA14+AG14+AJ14+AM14+AS14+AV14+AY14</f>
        <v>24</v>
      </c>
      <c r="BF14" s="270">
        <f>J14+M14+P14+V14+Y14+AB14+AH14+AK14+AN14+AT14+AW14+AZ14</f>
        <v>12</v>
      </c>
      <c r="BG14" s="325">
        <f>(BE14-BF14)/BF14</f>
        <v>1</v>
      </c>
    </row>
    <row r="15" spans="1:59" ht="12" customHeight="1" thickBot="1" x14ac:dyDescent="0.3">
      <c r="A15" s="464"/>
      <c r="B15" s="492"/>
      <c r="C15" s="234" t="s">
        <v>206</v>
      </c>
      <c r="D15" s="145"/>
      <c r="E15" s="145"/>
      <c r="F15" s="145"/>
      <c r="G15" s="146"/>
      <c r="H15" s="147"/>
      <c r="I15" s="319"/>
      <c r="J15" s="273"/>
      <c r="K15" s="328"/>
      <c r="L15" s="319"/>
      <c r="M15" s="273"/>
      <c r="N15" s="395"/>
      <c r="O15" s="319"/>
      <c r="P15" s="273"/>
      <c r="Q15" s="395"/>
      <c r="R15" s="319"/>
      <c r="S15" s="271"/>
      <c r="T15" s="395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  <c r="AW15" s="271"/>
      <c r="AX15" s="271"/>
      <c r="AY15" s="271"/>
      <c r="AZ15" s="271"/>
      <c r="BA15" s="271"/>
      <c r="BB15" s="271"/>
      <c r="BC15" s="271"/>
      <c r="BD15" s="410"/>
      <c r="BE15" s="319">
        <f>I15+L15+O15+U15+X15+AA15+AG15+AJ15+AM15+AS15+AV15+AY15</f>
        <v>0</v>
      </c>
      <c r="BF15" s="273">
        <f>J15+M15+P15+V15+Y15+AB15+AH15+AK15+AN15+AT15+AW15+AZ15</f>
        <v>0</v>
      </c>
      <c r="BG15" s="395"/>
    </row>
    <row r="16" spans="1:59" ht="12" customHeight="1" thickBot="1" x14ac:dyDescent="0.3">
      <c r="A16" s="464"/>
      <c r="B16" s="492"/>
      <c r="C16" s="235" t="s">
        <v>210</v>
      </c>
      <c r="D16" s="145"/>
      <c r="E16" s="145"/>
      <c r="F16" s="145"/>
      <c r="G16" s="146"/>
      <c r="H16" s="147"/>
      <c r="I16" s="321">
        <f>SUM(I14:I15)</f>
        <v>8</v>
      </c>
      <c r="J16" s="310">
        <f>SUM(J14:J15)</f>
        <v>4</v>
      </c>
      <c r="K16" s="326">
        <f>(I16-J16)/J16</f>
        <v>1</v>
      </c>
      <c r="L16" s="321">
        <f>SUM(L14:L15)</f>
        <v>8</v>
      </c>
      <c r="M16" s="310">
        <f>SUM(M14:M15)</f>
        <v>4</v>
      </c>
      <c r="N16" s="322">
        <f>(L16-M16)/M16</f>
        <v>1</v>
      </c>
      <c r="O16" s="321">
        <f>SUM(O14:O15)</f>
        <v>8</v>
      </c>
      <c r="P16" s="310">
        <f>SUM(P14:P15)</f>
        <v>4</v>
      </c>
      <c r="Q16" s="322">
        <f>(O16-P16)/P16</f>
        <v>1</v>
      </c>
      <c r="R16" s="321">
        <f>I16+L16+O16</f>
        <v>24</v>
      </c>
      <c r="S16" s="310">
        <f>J16+M16+P16</f>
        <v>12</v>
      </c>
      <c r="T16" s="322">
        <f>(R16-S16)/S16</f>
        <v>1</v>
      </c>
      <c r="U16" s="282"/>
      <c r="V16" s="282"/>
      <c r="W16" s="282"/>
      <c r="X16" s="282"/>
      <c r="Y16" s="282"/>
      <c r="Z16" s="282"/>
      <c r="AA16" s="282"/>
      <c r="AB16" s="282"/>
      <c r="AC16" s="282"/>
      <c r="AD16" s="282"/>
      <c r="AE16" s="282"/>
      <c r="AF16" s="282"/>
      <c r="AG16" s="282"/>
      <c r="AH16" s="282"/>
      <c r="AI16" s="282"/>
      <c r="AJ16" s="282"/>
      <c r="AK16" s="282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82"/>
      <c r="AX16" s="282"/>
      <c r="AY16" s="282"/>
      <c r="AZ16" s="282"/>
      <c r="BA16" s="282"/>
      <c r="BB16" s="282"/>
      <c r="BC16" s="282"/>
      <c r="BD16" s="411"/>
      <c r="BE16" s="321">
        <f>SUM(BE14:BE15)</f>
        <v>24</v>
      </c>
      <c r="BF16" s="310">
        <f>SUM(BF14:BF15)</f>
        <v>12</v>
      </c>
      <c r="BG16" s="326">
        <f>(BE16-BF16)/BF16</f>
        <v>1</v>
      </c>
    </row>
    <row r="17" spans="1:60" ht="4.5" customHeight="1" thickTop="1" x14ac:dyDescent="0.25">
      <c r="A17" s="464"/>
      <c r="B17" s="492"/>
      <c r="C17" s="155"/>
      <c r="D17" s="155"/>
      <c r="E17" s="155"/>
      <c r="F17" s="155"/>
      <c r="G17" s="156"/>
      <c r="H17" s="147"/>
      <c r="I17" s="323"/>
      <c r="J17" s="278"/>
      <c r="K17" s="324"/>
      <c r="L17" s="323"/>
      <c r="M17" s="278"/>
      <c r="N17" s="394"/>
      <c r="O17" s="323"/>
      <c r="P17" s="278"/>
      <c r="Q17" s="394"/>
      <c r="R17" s="336"/>
      <c r="S17" s="279"/>
      <c r="T17" s="394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  <c r="BD17" s="412"/>
      <c r="BE17" s="336"/>
      <c r="BF17" s="279"/>
      <c r="BG17" s="394"/>
    </row>
    <row r="18" spans="1:60" ht="12" customHeight="1" x14ac:dyDescent="0.25">
      <c r="A18" s="464"/>
      <c r="B18" s="492"/>
      <c r="C18" s="233" t="s">
        <v>207</v>
      </c>
      <c r="D18" s="145"/>
      <c r="E18" s="145"/>
      <c r="F18" s="145"/>
      <c r="G18" s="146"/>
      <c r="H18" s="147"/>
      <c r="I18" s="317">
        <v>5</v>
      </c>
      <c r="J18" s="270">
        <v>5</v>
      </c>
      <c r="K18" s="325">
        <f>(I18-J18)/J18</f>
        <v>0</v>
      </c>
      <c r="L18" s="317">
        <v>5</v>
      </c>
      <c r="M18" s="270">
        <v>5</v>
      </c>
      <c r="N18" s="325">
        <f>(L18-M18)/M18</f>
        <v>0</v>
      </c>
      <c r="O18" s="317">
        <v>5</v>
      </c>
      <c r="P18" s="270">
        <v>5</v>
      </c>
      <c r="Q18" s="325">
        <f>(O18-P18)/P18</f>
        <v>0</v>
      </c>
      <c r="R18" s="317">
        <f t="shared" ref="R18" si="14">I18+L18+O18</f>
        <v>15</v>
      </c>
      <c r="S18" s="270">
        <f t="shared" ref="S18" si="15">J18+M18+P18</f>
        <v>15</v>
      </c>
      <c r="T18" s="325">
        <f t="shared" ref="T18" si="16">(R18-S18)/S18</f>
        <v>0</v>
      </c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/>
      <c r="AV18" s="271"/>
      <c r="AW18" s="271"/>
      <c r="AX18" s="271"/>
      <c r="AY18" s="271"/>
      <c r="AZ18" s="271"/>
      <c r="BA18" s="271"/>
      <c r="BB18" s="271"/>
      <c r="BC18" s="271"/>
      <c r="BD18" s="410"/>
      <c r="BE18" s="317">
        <f>I18+L18+O18+U18+X18+AA18+AG18+AJ18+AM18+AS18+AV18+AY18</f>
        <v>15</v>
      </c>
      <c r="BF18" s="270">
        <f>J18+M18+P18+V18+Y18+AB18+AH18+AK18+AN18+AT18+AW18+AZ18</f>
        <v>15</v>
      </c>
      <c r="BG18" s="325">
        <f>(BE18-BF18)/BF18</f>
        <v>0</v>
      </c>
    </row>
    <row r="19" spans="1:60" ht="12" customHeight="1" thickBot="1" x14ac:dyDescent="0.3">
      <c r="A19" s="464"/>
      <c r="B19" s="492"/>
      <c r="C19" s="234" t="s">
        <v>169</v>
      </c>
      <c r="D19" s="145"/>
      <c r="E19" s="145"/>
      <c r="F19" s="145"/>
      <c r="G19" s="146"/>
      <c r="H19" s="147"/>
      <c r="I19" s="319"/>
      <c r="J19" s="273"/>
      <c r="K19" s="328"/>
      <c r="L19" s="319"/>
      <c r="M19" s="273"/>
      <c r="N19" s="395"/>
      <c r="O19" s="319"/>
      <c r="P19" s="273"/>
      <c r="Q19" s="395"/>
      <c r="R19" s="319"/>
      <c r="S19" s="271"/>
      <c r="T19" s="395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410"/>
      <c r="BE19" s="319">
        <f>I19+L19+O19+U19+X19+AA19+AG19+AJ19+AM19+AS19+AV19+AY19</f>
        <v>0</v>
      </c>
      <c r="BF19" s="273">
        <f>J19+M19+P19+V19+Y19+AB19+AH19+AK19+AN19+AT19+AW19+AZ19</f>
        <v>0</v>
      </c>
      <c r="BG19" s="395"/>
    </row>
    <row r="20" spans="1:60" ht="12" customHeight="1" thickBot="1" x14ac:dyDescent="0.3">
      <c r="A20" s="464"/>
      <c r="B20" s="492"/>
      <c r="C20" s="235" t="s">
        <v>214</v>
      </c>
      <c r="D20" s="145"/>
      <c r="E20" s="145"/>
      <c r="F20" s="145"/>
      <c r="G20" s="146"/>
      <c r="H20" s="147"/>
      <c r="I20" s="321">
        <f>SUM(I18:I19)</f>
        <v>5</v>
      </c>
      <c r="J20" s="310">
        <f>SUM(J18:J19)</f>
        <v>5</v>
      </c>
      <c r="K20" s="326">
        <f>(I20-J20)/J20</f>
        <v>0</v>
      </c>
      <c r="L20" s="321">
        <f>SUM(L18:L19)</f>
        <v>5</v>
      </c>
      <c r="M20" s="310">
        <f>SUM(M18:M19)</f>
        <v>5</v>
      </c>
      <c r="N20" s="326">
        <f>(L20-M20)/M20</f>
        <v>0</v>
      </c>
      <c r="O20" s="321">
        <f>SUM(O18:O19)</f>
        <v>5</v>
      </c>
      <c r="P20" s="310">
        <f>SUM(P18:P19)</f>
        <v>5</v>
      </c>
      <c r="Q20" s="326">
        <f>(O20-P20)/P20</f>
        <v>0</v>
      </c>
      <c r="R20" s="321">
        <f>I20+L20+O20</f>
        <v>15</v>
      </c>
      <c r="S20" s="310">
        <f>J20+M20+P20</f>
        <v>15</v>
      </c>
      <c r="T20" s="326">
        <f>(R20-S20)/S20</f>
        <v>0</v>
      </c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2"/>
      <c r="AH20" s="282"/>
      <c r="AI20" s="282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411"/>
      <c r="BE20" s="321">
        <f>SUM(BE18:BE19)</f>
        <v>15</v>
      </c>
      <c r="BF20" s="310">
        <f>SUM(BF18:BF19)</f>
        <v>15</v>
      </c>
      <c r="BG20" s="326">
        <f>(BE20-BF20)/BF20</f>
        <v>0</v>
      </c>
    </row>
    <row r="21" spans="1:60" ht="5.25" customHeight="1" thickTop="1" thickBot="1" x14ac:dyDescent="0.3">
      <c r="A21" s="464"/>
      <c r="B21" s="492"/>
      <c r="C21" s="236"/>
      <c r="D21" s="155"/>
      <c r="E21" s="155"/>
      <c r="F21" s="155"/>
      <c r="G21" s="156"/>
      <c r="H21" s="147"/>
      <c r="I21" s="329"/>
      <c r="J21" s="280"/>
      <c r="K21" s="330"/>
      <c r="L21" s="329"/>
      <c r="M21" s="280"/>
      <c r="N21" s="330"/>
      <c r="O21" s="329"/>
      <c r="P21" s="280"/>
      <c r="Q21" s="330"/>
      <c r="R21" s="329"/>
      <c r="S21" s="280"/>
      <c r="T21" s="330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412"/>
      <c r="BE21" s="329"/>
      <c r="BF21" s="280"/>
      <c r="BG21" s="330"/>
    </row>
    <row r="22" spans="1:60" ht="17.25" customHeight="1" thickBot="1" x14ac:dyDescent="0.3">
      <c r="A22" s="464"/>
      <c r="B22" s="492"/>
      <c r="C22" s="235" t="s">
        <v>215</v>
      </c>
      <c r="D22" s="145"/>
      <c r="E22" s="145"/>
      <c r="F22" s="145"/>
      <c r="G22" s="146"/>
      <c r="H22" s="147"/>
      <c r="I22" s="321">
        <v>1</v>
      </c>
      <c r="J22" s="310">
        <v>2</v>
      </c>
      <c r="K22" s="326">
        <f>(I22-J22)/J22</f>
        <v>-0.5</v>
      </c>
      <c r="L22" s="321">
        <v>1</v>
      </c>
      <c r="M22" s="310">
        <v>2</v>
      </c>
      <c r="N22" s="326">
        <f>(L22-M22)/M22</f>
        <v>-0.5</v>
      </c>
      <c r="O22" s="321">
        <v>1</v>
      </c>
      <c r="P22" s="310">
        <v>2</v>
      </c>
      <c r="Q22" s="326">
        <f>(O22-P22)/P22</f>
        <v>-0.5</v>
      </c>
      <c r="R22" s="321">
        <f>I22+L22+O22</f>
        <v>3</v>
      </c>
      <c r="S22" s="310">
        <f>J22+M22+P22</f>
        <v>6</v>
      </c>
      <c r="T22" s="326">
        <f>(R22-S22)/S22</f>
        <v>-0.5</v>
      </c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411"/>
      <c r="BE22" s="321">
        <f>I22+L22+O22+U22+X22+AA22+AG22+AJ22+AM22+AS22+AV22+AY22</f>
        <v>3</v>
      </c>
      <c r="BF22" s="310">
        <f>J22+M22+P22+V22+Y22+AB22+AH22+AK22+AN22+AT22+AW22+AZ22</f>
        <v>6</v>
      </c>
      <c r="BG22" s="326">
        <f>(BE22-BF22)/BF22</f>
        <v>-0.5</v>
      </c>
    </row>
    <row r="23" spans="1:60" ht="5.25" customHeight="1" thickTop="1" thickBot="1" x14ac:dyDescent="0.3">
      <c r="A23" s="464"/>
      <c r="B23" s="492"/>
      <c r="C23" s="236"/>
      <c r="D23" s="155"/>
      <c r="E23" s="155"/>
      <c r="F23" s="155"/>
      <c r="G23" s="156"/>
      <c r="H23" s="147"/>
      <c r="I23" s="331"/>
      <c r="J23" s="236"/>
      <c r="K23" s="332"/>
      <c r="L23" s="331"/>
      <c r="M23" s="236"/>
      <c r="N23" s="332"/>
      <c r="O23" s="331"/>
      <c r="P23" s="236"/>
      <c r="Q23" s="332"/>
      <c r="R23" s="331"/>
      <c r="S23" s="236"/>
      <c r="T23" s="332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331"/>
      <c r="BF23" s="236"/>
      <c r="BG23" s="332"/>
    </row>
    <row r="24" spans="1:60" ht="14.25" customHeight="1" thickBot="1" x14ac:dyDescent="0.3">
      <c r="A24" s="464"/>
      <c r="B24" s="492"/>
      <c r="C24" s="239" t="s">
        <v>216</v>
      </c>
      <c r="D24" s="145"/>
      <c r="E24" s="145"/>
      <c r="F24" s="145"/>
      <c r="G24" s="146"/>
      <c r="H24" s="147"/>
      <c r="I24" s="333">
        <f>I8+I12+I16+I20+I22</f>
        <v>70</v>
      </c>
      <c r="J24" s="284">
        <f>J8+J12+J16+J20+J22</f>
        <v>43.026699999999998</v>
      </c>
      <c r="K24" s="432">
        <f>(I24-J24)/J24</f>
        <v>0.62689678734367271</v>
      </c>
      <c r="L24" s="333">
        <f>L8+L12+L16+L20+L22</f>
        <v>70</v>
      </c>
      <c r="M24" s="284">
        <f>M8+M12+M16+M20+M22</f>
        <v>43.026699999999998</v>
      </c>
      <c r="N24" s="432">
        <f>(L24-M24)/M24</f>
        <v>0.62689678734367271</v>
      </c>
      <c r="O24" s="333">
        <f>O8+O12+O16+O20+O22</f>
        <v>70</v>
      </c>
      <c r="P24" s="284">
        <f>P8+P12+P16+P20+P22</f>
        <v>43.026699999999998</v>
      </c>
      <c r="Q24" s="432">
        <f>(O24-P24)/P24</f>
        <v>0.62689678734367271</v>
      </c>
      <c r="R24" s="333">
        <f>I24+L24+O24</f>
        <v>210</v>
      </c>
      <c r="S24" s="284">
        <f>J24+M24+P24</f>
        <v>129.08009999999999</v>
      </c>
      <c r="T24" s="432">
        <f>(R24-S24)/S24</f>
        <v>0.62689678734367282</v>
      </c>
      <c r="U24" s="284"/>
      <c r="V24" s="284"/>
      <c r="W24" s="284"/>
      <c r="X24" s="284"/>
      <c r="Y24" s="284"/>
      <c r="Z24" s="284"/>
      <c r="AA24" s="284"/>
      <c r="AB24" s="284"/>
      <c r="AC24" s="284"/>
      <c r="AD24" s="284"/>
      <c r="AE24" s="284"/>
      <c r="AF24" s="284"/>
      <c r="AG24" s="284"/>
      <c r="AH24" s="284"/>
      <c r="AI24" s="284"/>
      <c r="AJ24" s="284"/>
      <c r="AK24" s="284"/>
      <c r="AL24" s="284"/>
      <c r="AM24" s="284"/>
      <c r="AN24" s="284"/>
      <c r="AO24" s="284"/>
      <c r="AP24" s="284"/>
      <c r="AQ24" s="284"/>
      <c r="AR24" s="284"/>
      <c r="AS24" s="284"/>
      <c r="AT24" s="284"/>
      <c r="AU24" s="284"/>
      <c r="AV24" s="284"/>
      <c r="AW24" s="284"/>
      <c r="AX24" s="284"/>
      <c r="AY24" s="284"/>
      <c r="AZ24" s="284"/>
      <c r="BA24" s="284"/>
      <c r="BB24" s="284"/>
      <c r="BC24" s="284"/>
      <c r="BD24" s="413"/>
      <c r="BE24" s="333">
        <f>BE8+BE12+BE16+BE20+BE22</f>
        <v>210</v>
      </c>
      <c r="BF24" s="284">
        <f>BF8+BF12+BF16+BF20+BF22</f>
        <v>129.08010000000002</v>
      </c>
      <c r="BG24" s="432">
        <f>(BE24-BF24)/BF24</f>
        <v>0.62689678734367249</v>
      </c>
      <c r="BH24" s="459">
        <f>R24-S24</f>
        <v>80.919900000000013</v>
      </c>
    </row>
    <row r="25" spans="1:60" ht="12.75" customHeight="1" thickTop="1" x14ac:dyDescent="0.25">
      <c r="A25" s="464"/>
      <c r="B25" s="492"/>
      <c r="C25" s="155"/>
      <c r="D25" s="155"/>
      <c r="E25" s="155"/>
      <c r="F25" s="155"/>
      <c r="G25" s="156"/>
      <c r="H25" s="147"/>
      <c r="I25" s="323"/>
      <c r="J25" s="278"/>
      <c r="K25" s="324"/>
      <c r="L25" s="323"/>
      <c r="M25" s="278"/>
      <c r="N25" s="394"/>
      <c r="O25" s="323"/>
      <c r="P25" s="278"/>
      <c r="Q25" s="394"/>
      <c r="R25" s="336"/>
      <c r="S25" s="279"/>
      <c r="T25" s="394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412"/>
      <c r="BE25" s="336"/>
      <c r="BF25" s="279"/>
      <c r="BG25" s="394"/>
    </row>
    <row r="26" spans="1:60" x14ac:dyDescent="0.25">
      <c r="A26" s="464"/>
      <c r="B26" s="492"/>
      <c r="C26" s="243" t="s">
        <v>110</v>
      </c>
      <c r="D26" s="145"/>
      <c r="E26" s="145"/>
      <c r="F26" s="145"/>
      <c r="G26" s="146"/>
      <c r="H26" s="147"/>
      <c r="I26" s="334">
        <v>5</v>
      </c>
      <c r="J26" s="274">
        <v>6</v>
      </c>
      <c r="K26" s="325">
        <f t="shared" ref="K26:K27" si="17">(I26-J26)/J26</f>
        <v>-0.16666666666666666</v>
      </c>
      <c r="L26" s="334">
        <v>5</v>
      </c>
      <c r="M26" s="274">
        <v>6</v>
      </c>
      <c r="N26" s="325">
        <f t="shared" ref="N26:N27" si="18">(L26-M26)/M26</f>
        <v>-0.16666666666666666</v>
      </c>
      <c r="O26" s="334">
        <v>5</v>
      </c>
      <c r="P26" s="274">
        <v>6</v>
      </c>
      <c r="Q26" s="325">
        <f t="shared" ref="Q26" si="19">(O26-P26)/P26</f>
        <v>-0.16666666666666666</v>
      </c>
      <c r="R26" s="334">
        <f t="shared" ref="R26:R27" si="20">I26+L26+O26</f>
        <v>15</v>
      </c>
      <c r="S26" s="274">
        <f t="shared" ref="S26:S27" si="21">J26+M26+P26</f>
        <v>18</v>
      </c>
      <c r="T26" s="325">
        <f t="shared" ref="T26:T27" si="22">(R26-S26)/S26</f>
        <v>-0.16666666666666666</v>
      </c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2"/>
      <c r="AX26" s="272"/>
      <c r="AY26" s="272"/>
      <c r="AZ26" s="272"/>
      <c r="BA26" s="272"/>
      <c r="BB26" s="272"/>
      <c r="BC26" s="272"/>
      <c r="BD26" s="414"/>
      <c r="BE26" s="317">
        <f t="shared" ref="BE26:BF27" si="23">I26+L26+O26+U26+X26+AA26+AG26+AJ26+AM26+AS26+AV26+AY26</f>
        <v>15</v>
      </c>
      <c r="BF26" s="274">
        <f t="shared" si="23"/>
        <v>18</v>
      </c>
      <c r="BG26" s="325">
        <f t="shared" ref="BG26:BG27" si="24">(BE26-BF26)/BF26</f>
        <v>-0.16666666666666666</v>
      </c>
    </row>
    <row r="27" spans="1:60" x14ac:dyDescent="0.25">
      <c r="A27" s="464"/>
      <c r="B27" s="492"/>
      <c r="C27" s="243" t="s">
        <v>111</v>
      </c>
      <c r="D27" s="145"/>
      <c r="E27" s="145"/>
      <c r="F27" s="145"/>
      <c r="G27" s="146"/>
      <c r="H27" s="147"/>
      <c r="I27" s="335">
        <v>40</v>
      </c>
      <c r="J27" s="272">
        <v>45</v>
      </c>
      <c r="K27" s="325">
        <f t="shared" si="17"/>
        <v>-0.1111111111111111</v>
      </c>
      <c r="L27" s="335">
        <v>40</v>
      </c>
      <c r="M27" s="272">
        <v>45</v>
      </c>
      <c r="N27" s="325">
        <f t="shared" si="18"/>
        <v>-0.1111111111111111</v>
      </c>
      <c r="O27" s="335">
        <v>40</v>
      </c>
      <c r="P27" s="272">
        <v>45</v>
      </c>
      <c r="Q27" s="325"/>
      <c r="R27" s="335">
        <f t="shared" si="20"/>
        <v>120</v>
      </c>
      <c r="S27" s="272">
        <f t="shared" si="21"/>
        <v>135</v>
      </c>
      <c r="T27" s="325">
        <f t="shared" si="22"/>
        <v>-0.1111111111111111</v>
      </c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272"/>
      <c r="AW27" s="272"/>
      <c r="AX27" s="272"/>
      <c r="AY27" s="272"/>
      <c r="AZ27" s="272"/>
      <c r="BA27" s="272"/>
      <c r="BB27" s="272"/>
      <c r="BC27" s="272"/>
      <c r="BD27" s="414"/>
      <c r="BE27" s="317">
        <f t="shared" si="23"/>
        <v>120</v>
      </c>
      <c r="BF27" s="272">
        <f t="shared" si="23"/>
        <v>135</v>
      </c>
      <c r="BG27" s="325">
        <f t="shared" si="24"/>
        <v>-0.1111111111111111</v>
      </c>
    </row>
    <row r="28" spans="1:60" ht="13.5" thickBot="1" x14ac:dyDescent="0.3">
      <c r="A28" s="464"/>
      <c r="B28" s="492"/>
      <c r="C28" s="235" t="s">
        <v>211</v>
      </c>
      <c r="D28" s="145"/>
      <c r="E28" s="145"/>
      <c r="F28" s="145"/>
      <c r="G28" s="146"/>
      <c r="H28" s="147"/>
      <c r="I28" s="321">
        <f>I26+I27</f>
        <v>45</v>
      </c>
      <c r="J28" s="310">
        <f>J26+J27</f>
        <v>51</v>
      </c>
      <c r="K28" s="326">
        <f>(I28-J28)/J28</f>
        <v>-0.11764705882352941</v>
      </c>
      <c r="L28" s="321">
        <f>L26+L27</f>
        <v>45</v>
      </c>
      <c r="M28" s="310">
        <f>M26+M27</f>
        <v>51</v>
      </c>
      <c r="N28" s="326">
        <f>(L28-M28)/M28</f>
        <v>-0.11764705882352941</v>
      </c>
      <c r="O28" s="321">
        <f>O26+O27</f>
        <v>45</v>
      </c>
      <c r="P28" s="310">
        <f>P26+P27</f>
        <v>51</v>
      </c>
      <c r="Q28" s="326">
        <f>(O28-P28)/P28</f>
        <v>-0.11764705882352941</v>
      </c>
      <c r="R28" s="321">
        <f>I28+L28+O28</f>
        <v>135</v>
      </c>
      <c r="S28" s="310">
        <f>J28+M28+P28</f>
        <v>153</v>
      </c>
      <c r="T28" s="326">
        <f>(R28-S28)/S28</f>
        <v>-0.11764705882352941</v>
      </c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83"/>
      <c r="AJ28" s="283"/>
      <c r="AK28" s="283"/>
      <c r="AL28" s="283"/>
      <c r="AM28" s="283"/>
      <c r="AN28" s="283"/>
      <c r="AO28" s="283"/>
      <c r="AP28" s="283"/>
      <c r="AQ28" s="283"/>
      <c r="AR28" s="283"/>
      <c r="AS28" s="283"/>
      <c r="AT28" s="283"/>
      <c r="AU28" s="283"/>
      <c r="AV28" s="283"/>
      <c r="AW28" s="283"/>
      <c r="AX28" s="283"/>
      <c r="AY28" s="283"/>
      <c r="AZ28" s="283"/>
      <c r="BA28" s="283"/>
      <c r="BB28" s="283"/>
      <c r="BC28" s="283"/>
      <c r="BD28" s="415"/>
      <c r="BE28" s="321">
        <f>BE26+BE27</f>
        <v>135</v>
      </c>
      <c r="BF28" s="310">
        <f>BF26+BF27</f>
        <v>153</v>
      </c>
      <c r="BG28" s="326">
        <f>(BE28-BF28)/BF28</f>
        <v>-0.11764705882352941</v>
      </c>
      <c r="BH28" s="461">
        <f>R28-S28</f>
        <v>-18</v>
      </c>
    </row>
    <row r="29" spans="1:60" ht="19.5" customHeight="1" thickTop="1" x14ac:dyDescent="0.25">
      <c r="A29" s="464"/>
      <c r="B29" s="492"/>
      <c r="C29" s="240"/>
      <c r="D29" s="240"/>
      <c r="E29" s="240"/>
      <c r="F29" s="240"/>
      <c r="G29" s="183"/>
      <c r="H29" s="147"/>
      <c r="I29" s="336"/>
      <c r="J29" s="275">
        <f>(I28-J28)</f>
        <v>-6</v>
      </c>
      <c r="K29" s="337"/>
      <c r="L29" s="336"/>
      <c r="M29" s="275">
        <f>(L28-M28)</f>
        <v>-6</v>
      </c>
      <c r="N29" s="396"/>
      <c r="O29" s="336"/>
      <c r="P29" s="275">
        <f>(O28-P28)</f>
        <v>-6</v>
      </c>
      <c r="Q29" s="396"/>
      <c r="R29" s="336"/>
      <c r="S29" s="275"/>
      <c r="T29" s="39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6"/>
      <c r="AX29" s="276"/>
      <c r="AY29" s="276"/>
      <c r="AZ29" s="276"/>
      <c r="BA29" s="276"/>
      <c r="BB29" s="276"/>
      <c r="BC29" s="276"/>
      <c r="BD29" s="416"/>
      <c r="BE29" s="336"/>
      <c r="BF29" s="275"/>
      <c r="BG29" s="396"/>
    </row>
    <row r="30" spans="1:60" ht="13.5" thickBot="1" x14ac:dyDescent="0.3">
      <c r="A30" s="464"/>
      <c r="B30" s="492"/>
      <c r="C30" s="244" t="s">
        <v>114</v>
      </c>
      <c r="D30" s="145"/>
      <c r="E30" s="145"/>
      <c r="F30" s="145"/>
      <c r="G30" s="146"/>
      <c r="H30" s="147"/>
      <c r="I30" s="321">
        <v>6</v>
      </c>
      <c r="J30" s="310">
        <v>5</v>
      </c>
      <c r="K30" s="326">
        <f>(I30-J30)/J30</f>
        <v>0.2</v>
      </c>
      <c r="L30" s="321">
        <v>6</v>
      </c>
      <c r="M30" s="310">
        <v>5</v>
      </c>
      <c r="N30" s="326">
        <f>(L30-M30)/M30</f>
        <v>0.2</v>
      </c>
      <c r="O30" s="321">
        <v>6</v>
      </c>
      <c r="P30" s="310">
        <v>5</v>
      </c>
      <c r="Q30" s="326">
        <f>(O30-P30)/P30</f>
        <v>0.2</v>
      </c>
      <c r="R30" s="321">
        <f>I30+L30+O30</f>
        <v>18</v>
      </c>
      <c r="S30" s="310">
        <f>J30+M30+P30</f>
        <v>15</v>
      </c>
      <c r="T30" s="326">
        <f>(R30-S30)/S30</f>
        <v>0.2</v>
      </c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83"/>
      <c r="AO30" s="283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83"/>
      <c r="BB30" s="283"/>
      <c r="BC30" s="283"/>
      <c r="BD30" s="415"/>
      <c r="BE30" s="321">
        <f>I30+L30+O30+U30+X30+AA30+AG30+AJ30+AM30+AS30+AV30+AY30</f>
        <v>18</v>
      </c>
      <c r="BF30" s="310">
        <f>J30+M30+P30+V30+Y30+AB30+AH30+AK30+AN30+AT30+AW30+AZ30</f>
        <v>15</v>
      </c>
      <c r="BG30" s="326">
        <f>(BE30-BF30)/BF30</f>
        <v>0.2</v>
      </c>
    </row>
    <row r="31" spans="1:60" ht="5.25" customHeight="1" thickTop="1" x14ac:dyDescent="0.25">
      <c r="A31" s="464"/>
      <c r="B31" s="492"/>
      <c r="C31" s="240"/>
      <c r="D31" s="240"/>
      <c r="E31" s="240"/>
      <c r="F31" s="240"/>
      <c r="G31" s="183"/>
      <c r="H31" s="147"/>
      <c r="I31" s="336"/>
      <c r="J31" s="275"/>
      <c r="K31" s="337"/>
      <c r="L31" s="336"/>
      <c r="M31" s="275"/>
      <c r="N31" s="337"/>
      <c r="O31" s="336"/>
      <c r="P31" s="275"/>
      <c r="Q31" s="337"/>
      <c r="R31" s="336"/>
      <c r="S31" s="275"/>
      <c r="T31" s="337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6"/>
      <c r="AX31" s="276"/>
      <c r="AY31" s="276"/>
      <c r="AZ31" s="276"/>
      <c r="BA31" s="276"/>
      <c r="BB31" s="276"/>
      <c r="BC31" s="276"/>
      <c r="BD31" s="416"/>
      <c r="BE31" s="336"/>
      <c r="BF31" s="275"/>
      <c r="BG31" s="337"/>
    </row>
    <row r="32" spans="1:60" ht="13.5" thickBot="1" x14ac:dyDescent="0.3">
      <c r="A32" s="464"/>
      <c r="B32" s="492"/>
      <c r="C32" s="244" t="s">
        <v>134</v>
      </c>
      <c r="D32" s="145"/>
      <c r="E32" s="145"/>
      <c r="F32" s="145"/>
      <c r="G32" s="146"/>
      <c r="H32" s="147"/>
      <c r="I32" s="321">
        <v>31.07</v>
      </c>
      <c r="J32" s="310">
        <v>33.680259999999997</v>
      </c>
      <c r="K32" s="326">
        <f>(I32-J32)/J32</f>
        <v>-7.7501183185640393E-2</v>
      </c>
      <c r="L32" s="321">
        <v>31.07</v>
      </c>
      <c r="M32" s="310">
        <v>33.680259999999997</v>
      </c>
      <c r="N32" s="326">
        <f>(L32-M32)/M32</f>
        <v>-7.7501183185640393E-2</v>
      </c>
      <c r="O32" s="321">
        <v>31.07</v>
      </c>
      <c r="P32" s="310">
        <v>33.680259999999997</v>
      </c>
      <c r="Q32" s="326">
        <f>(O32-P32)/P32</f>
        <v>-7.7501183185640393E-2</v>
      </c>
      <c r="R32" s="321">
        <f>I32+L32+O32</f>
        <v>93.210000000000008</v>
      </c>
      <c r="S32" s="310">
        <f>J32+M32+P32</f>
        <v>101.04077999999998</v>
      </c>
      <c r="T32" s="326">
        <f>(R32-S32)/S32</f>
        <v>-7.7501183185640268E-2</v>
      </c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3"/>
      <c r="AN32" s="283"/>
      <c r="AO32" s="283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3"/>
      <c r="BA32" s="283"/>
      <c r="BB32" s="283"/>
      <c r="BC32" s="283"/>
      <c r="BD32" s="415"/>
      <c r="BE32" s="321">
        <f>I32+L32+O32+U32+X32+AA32+AG32+AJ32+AM32+AS32+AV32+AY32</f>
        <v>93.210000000000008</v>
      </c>
      <c r="BF32" s="310">
        <f>J32+M32+P32+V32+Y32+AB32+AH32+AK32+AN32+AT32+AW32+AZ32</f>
        <v>101.04077999999998</v>
      </c>
      <c r="BG32" s="326">
        <f>(BE32-BF32)/BF32</f>
        <v>-7.7501183185640268E-2</v>
      </c>
    </row>
    <row r="33" spans="1:59" ht="4.5" customHeight="1" thickTop="1" thickBot="1" x14ac:dyDescent="0.3">
      <c r="A33" s="464"/>
      <c r="B33" s="492"/>
      <c r="C33" s="240"/>
      <c r="D33" s="240"/>
      <c r="E33" s="240"/>
      <c r="F33" s="240"/>
      <c r="G33" s="183"/>
      <c r="H33" s="147"/>
      <c r="I33" s="338"/>
      <c r="J33" s="277"/>
      <c r="K33" s="339"/>
      <c r="L33" s="338"/>
      <c r="M33" s="277"/>
      <c r="N33" s="339"/>
      <c r="O33" s="338"/>
      <c r="P33" s="277"/>
      <c r="Q33" s="339"/>
      <c r="R33" s="338"/>
      <c r="S33" s="277"/>
      <c r="T33" s="339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276"/>
      <c r="BC33" s="276"/>
      <c r="BD33" s="416"/>
      <c r="BE33" s="338">
        <f>SUM(I33:BD33)</f>
        <v>0</v>
      </c>
      <c r="BF33" s="277">
        <f>SUM(J33:BE33)</f>
        <v>0</v>
      </c>
      <c r="BG33" s="339"/>
    </row>
    <row r="34" spans="1:59" ht="13.5" thickBot="1" x14ac:dyDescent="0.3">
      <c r="A34" s="464"/>
      <c r="B34" s="492"/>
      <c r="C34" s="239" t="s">
        <v>212</v>
      </c>
      <c r="D34" s="145"/>
      <c r="E34" s="145"/>
      <c r="F34" s="145"/>
      <c r="G34" s="146"/>
      <c r="H34" s="147"/>
      <c r="I34" s="333">
        <f>I28+I30+I32</f>
        <v>82.07</v>
      </c>
      <c r="J34" s="284">
        <f>J28+J30+J32</f>
        <v>89.680260000000004</v>
      </c>
      <c r="K34" s="432">
        <f>(I34-J34)/J34</f>
        <v>-8.4859923465877674E-2</v>
      </c>
      <c r="L34" s="333">
        <f>L28+L30+L32</f>
        <v>82.07</v>
      </c>
      <c r="M34" s="284">
        <f>M28+M30+M32</f>
        <v>89.680260000000004</v>
      </c>
      <c r="N34" s="432">
        <f>(L34-M34)/M34</f>
        <v>-8.4859923465877674E-2</v>
      </c>
      <c r="O34" s="333">
        <f>O28+O30+O32</f>
        <v>82.07</v>
      </c>
      <c r="P34" s="284">
        <f>P28+P30+P32</f>
        <v>89.680260000000004</v>
      </c>
      <c r="Q34" s="432">
        <f>(O34-P34)/P34</f>
        <v>-8.4859923465877674E-2</v>
      </c>
      <c r="R34" s="333">
        <f>I34+L34+O34</f>
        <v>246.20999999999998</v>
      </c>
      <c r="S34" s="284">
        <f>J34+M34+P34</f>
        <v>269.04078000000004</v>
      </c>
      <c r="T34" s="432">
        <f>(R34-S34)/S34</f>
        <v>-8.4859923465877771E-2</v>
      </c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1"/>
      <c r="AN34" s="281"/>
      <c r="AO34" s="281"/>
      <c r="AP34" s="281"/>
      <c r="AQ34" s="281"/>
      <c r="AR34" s="281"/>
      <c r="AS34" s="281"/>
      <c r="AT34" s="281"/>
      <c r="AU34" s="281"/>
      <c r="AV34" s="281"/>
      <c r="AW34" s="281"/>
      <c r="AX34" s="281"/>
      <c r="AY34" s="281"/>
      <c r="AZ34" s="281"/>
      <c r="BA34" s="281"/>
      <c r="BB34" s="281"/>
      <c r="BC34" s="281"/>
      <c r="BD34" s="417"/>
      <c r="BE34" s="333">
        <f>BE28+BE30+BE32</f>
        <v>246.21</v>
      </c>
      <c r="BF34" s="284">
        <f>BF28+BF30+BF32</f>
        <v>269.04077999999998</v>
      </c>
      <c r="BG34" s="432">
        <f>(BE34-BF34)/BF34</f>
        <v>-8.4859923465877465E-2</v>
      </c>
    </row>
    <row r="35" spans="1:59" ht="4.5" customHeight="1" thickTop="1" thickBot="1" x14ac:dyDescent="0.3">
      <c r="A35" s="464"/>
      <c r="B35" s="492"/>
      <c r="C35" s="240"/>
      <c r="D35" s="240"/>
      <c r="E35" s="240"/>
      <c r="F35" s="240"/>
      <c r="G35" s="183"/>
      <c r="H35" s="147"/>
      <c r="I35" s="338"/>
      <c r="J35" s="277"/>
      <c r="K35" s="339"/>
      <c r="L35" s="338"/>
      <c r="M35" s="277"/>
      <c r="N35" s="339"/>
      <c r="O35" s="338"/>
      <c r="P35" s="277"/>
      <c r="Q35" s="339"/>
      <c r="R35" s="338"/>
      <c r="S35" s="277"/>
      <c r="T35" s="339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416"/>
      <c r="BE35" s="338">
        <f>SUM(I35:BD35)</f>
        <v>0</v>
      </c>
      <c r="BF35" s="277">
        <f>SUM(J35:BE35)</f>
        <v>0</v>
      </c>
      <c r="BG35" s="339"/>
    </row>
    <row r="36" spans="1:59" ht="13.5" thickBot="1" x14ac:dyDescent="0.3">
      <c r="A36" s="464"/>
      <c r="B36" s="492"/>
      <c r="C36" s="249" t="s">
        <v>18</v>
      </c>
      <c r="D36" s="145"/>
      <c r="E36" s="145"/>
      <c r="F36" s="145"/>
      <c r="G36" s="146"/>
      <c r="H36" s="147"/>
      <c r="I36" s="333">
        <v>17</v>
      </c>
      <c r="J36" s="284">
        <v>15</v>
      </c>
      <c r="K36" s="432">
        <f>(I36-J36)/J36</f>
        <v>0.13333333333333333</v>
      </c>
      <c r="L36" s="333">
        <v>17</v>
      </c>
      <c r="M36" s="284">
        <v>15</v>
      </c>
      <c r="N36" s="432">
        <f>(L36-M36)/M36</f>
        <v>0.13333333333333333</v>
      </c>
      <c r="O36" s="333">
        <v>17</v>
      </c>
      <c r="P36" s="284">
        <v>15</v>
      </c>
      <c r="Q36" s="432">
        <f>(O36-P36)/P36</f>
        <v>0.13333333333333333</v>
      </c>
      <c r="R36" s="333">
        <f>I36+L36+O36</f>
        <v>51</v>
      </c>
      <c r="S36" s="284">
        <f>J36+M36+P36</f>
        <v>45</v>
      </c>
      <c r="T36" s="432">
        <f>(R36-S36)/S36</f>
        <v>0.13333333333333333</v>
      </c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  <c r="AK36" s="272"/>
      <c r="AL36" s="272"/>
      <c r="AM36" s="272"/>
      <c r="AN36" s="272"/>
      <c r="AO36" s="272"/>
      <c r="AP36" s="272"/>
      <c r="AQ36" s="272"/>
      <c r="AR36" s="272"/>
      <c r="AS36" s="272"/>
      <c r="AT36" s="272"/>
      <c r="AU36" s="272"/>
      <c r="AV36" s="272"/>
      <c r="AW36" s="272"/>
      <c r="AX36" s="272"/>
      <c r="AY36" s="272"/>
      <c r="AZ36" s="272"/>
      <c r="BA36" s="272"/>
      <c r="BB36" s="272"/>
      <c r="BC36" s="272"/>
      <c r="BD36" s="414"/>
      <c r="BE36" s="333">
        <f>I36+L36+O36+U36+X36+AA36+AG36+AJ36+AM36+AS36+AV36+AY36</f>
        <v>51</v>
      </c>
      <c r="BF36" s="284">
        <f>J36+M36+P36+V36+Y36+AB36+AH36+AK36+AN36+AT36+AW36+AZ36</f>
        <v>45</v>
      </c>
      <c r="BG36" s="432">
        <f>(BE36-BF36)/BF36</f>
        <v>0.13333333333333333</v>
      </c>
    </row>
    <row r="37" spans="1:59" ht="4.5" customHeight="1" thickTop="1" thickBot="1" x14ac:dyDescent="0.3">
      <c r="A37" s="464"/>
      <c r="B37" s="492"/>
      <c r="C37" s="240"/>
      <c r="D37" s="240"/>
      <c r="E37" s="240"/>
      <c r="F37" s="240"/>
      <c r="G37" s="183"/>
      <c r="H37" s="147"/>
      <c r="I37" s="338"/>
      <c r="J37" s="277"/>
      <c r="K37" s="339"/>
      <c r="L37" s="338"/>
      <c r="M37" s="277"/>
      <c r="N37" s="396"/>
      <c r="O37" s="338"/>
      <c r="P37" s="277"/>
      <c r="Q37" s="396"/>
      <c r="R37" s="338"/>
      <c r="S37" s="277"/>
      <c r="T37" s="39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416"/>
      <c r="BE37" s="338">
        <f>SUM(I37:BD37)</f>
        <v>0</v>
      </c>
      <c r="BF37" s="277">
        <f>SUM(J37:BE37)</f>
        <v>0</v>
      </c>
      <c r="BG37" s="396"/>
    </row>
    <row r="38" spans="1:59" x14ac:dyDescent="0.25">
      <c r="A38" s="464"/>
      <c r="B38" s="493"/>
      <c r="C38" s="250" t="s">
        <v>213</v>
      </c>
      <c r="D38" s="145"/>
      <c r="E38" s="145"/>
      <c r="F38" s="145"/>
      <c r="G38" s="146"/>
      <c r="H38" s="147"/>
      <c r="I38" s="340">
        <f>I24+I34+I36</f>
        <v>169.07</v>
      </c>
      <c r="J38" s="285">
        <f>J24+J34+J36</f>
        <v>147.70696000000001</v>
      </c>
      <c r="K38" s="433">
        <f>(I38-J38)/J38</f>
        <v>0.14463123470958975</v>
      </c>
      <c r="L38" s="340">
        <f>L24+L34+L36</f>
        <v>169.07</v>
      </c>
      <c r="M38" s="285">
        <f>M24+M34+M36</f>
        <v>147.70696000000001</v>
      </c>
      <c r="N38" s="433">
        <f>(L38-M38)/M38</f>
        <v>0.14463123470958975</v>
      </c>
      <c r="O38" s="340">
        <f>O24+O34+O36</f>
        <v>169.07</v>
      </c>
      <c r="P38" s="285">
        <f>P24+P34+P36</f>
        <v>147.70696000000001</v>
      </c>
      <c r="Q38" s="433">
        <f>(O38-P38)/P38</f>
        <v>0.14463123470958975</v>
      </c>
      <c r="R38" s="340">
        <f>I38+L38+O38</f>
        <v>507.21</v>
      </c>
      <c r="S38" s="285">
        <f>J38+M38+P38</f>
        <v>443.12088000000006</v>
      </c>
      <c r="T38" s="433">
        <f>(R38-S38)/S38</f>
        <v>0.14463123470958966</v>
      </c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86"/>
      <c r="AO38" s="28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86"/>
      <c r="BB38" s="286"/>
      <c r="BC38" s="286"/>
      <c r="BD38" s="418"/>
      <c r="BE38" s="340">
        <f>BE24+BE34+BE36</f>
        <v>507.21000000000004</v>
      </c>
      <c r="BF38" s="285">
        <f>BF24+BF34+BF36</f>
        <v>443.12088</v>
      </c>
      <c r="BG38" s="433">
        <f>(BE38-BF38)/BF38</f>
        <v>0.14463123470958994</v>
      </c>
    </row>
    <row r="39" spans="1:59" s="211" customFormat="1" ht="5.25" customHeight="1" x14ac:dyDescent="0.25">
      <c r="A39" s="154"/>
      <c r="B39" s="166"/>
      <c r="C39" s="155"/>
      <c r="D39" s="155"/>
      <c r="E39" s="155"/>
      <c r="F39" s="155"/>
      <c r="G39" s="156"/>
      <c r="H39" s="147"/>
      <c r="I39" s="341"/>
      <c r="J39" s="156"/>
      <c r="K39" s="342"/>
      <c r="L39" s="341"/>
      <c r="M39" s="156"/>
      <c r="N39" s="370"/>
      <c r="O39" s="341"/>
      <c r="P39" s="156"/>
      <c r="Q39" s="370"/>
      <c r="R39" s="383"/>
      <c r="S39" s="158"/>
      <c r="T39" s="370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256"/>
      <c r="BE39" s="383"/>
      <c r="BF39" s="158"/>
      <c r="BG39" s="370"/>
    </row>
    <row r="40" spans="1:59" x14ac:dyDescent="0.25">
      <c r="A40" s="489" t="s">
        <v>136</v>
      </c>
      <c r="B40" s="489"/>
      <c r="C40" s="212" t="s">
        <v>21</v>
      </c>
      <c r="D40" s="159"/>
      <c r="E40" s="159"/>
      <c r="F40" s="160"/>
      <c r="G40" s="146"/>
      <c r="H40" s="147"/>
      <c r="I40" s="343"/>
      <c r="J40" s="167"/>
      <c r="K40" s="344"/>
      <c r="L40" s="343"/>
      <c r="M40" s="168"/>
      <c r="N40" s="397"/>
      <c r="O40" s="343"/>
      <c r="P40" s="168"/>
      <c r="Q40" s="397"/>
      <c r="R40" s="343"/>
      <c r="S40" s="168"/>
      <c r="T40" s="397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419"/>
      <c r="BE40" s="343"/>
      <c r="BF40" s="168"/>
      <c r="BG40" s="397"/>
    </row>
    <row r="41" spans="1:59" x14ac:dyDescent="0.25">
      <c r="A41" s="494"/>
      <c r="B41" s="494"/>
      <c r="C41" s="213" t="s">
        <v>19</v>
      </c>
      <c r="D41" s="150"/>
      <c r="E41" s="150"/>
      <c r="F41" s="145"/>
      <c r="G41" s="146"/>
      <c r="H41" s="147"/>
      <c r="I41" s="345"/>
      <c r="J41" s="162"/>
      <c r="K41" s="346"/>
      <c r="L41" s="345"/>
      <c r="M41" s="169"/>
      <c r="N41" s="364"/>
      <c r="O41" s="345"/>
      <c r="P41" s="169"/>
      <c r="Q41" s="364"/>
      <c r="R41" s="345"/>
      <c r="S41" s="169"/>
      <c r="T41" s="364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420"/>
      <c r="BE41" s="345"/>
      <c r="BF41" s="169"/>
      <c r="BG41" s="364"/>
    </row>
    <row r="42" spans="1:59" x14ac:dyDescent="0.25">
      <c r="A42" s="494"/>
      <c r="B42" s="494"/>
      <c r="C42" s="213" t="s">
        <v>20</v>
      </c>
      <c r="D42" s="150"/>
      <c r="E42" s="150"/>
      <c r="F42" s="145"/>
      <c r="G42" s="146"/>
      <c r="H42" s="147"/>
      <c r="I42" s="347"/>
      <c r="J42" s="148"/>
      <c r="K42" s="348"/>
      <c r="L42" s="347"/>
      <c r="M42" s="151"/>
      <c r="N42" s="398"/>
      <c r="O42" s="347"/>
      <c r="P42" s="151"/>
      <c r="Q42" s="398"/>
      <c r="R42" s="347"/>
      <c r="S42" s="151"/>
      <c r="T42" s="398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421"/>
      <c r="BE42" s="347"/>
      <c r="BF42" s="151"/>
      <c r="BG42" s="398"/>
    </row>
    <row r="43" spans="1:59" x14ac:dyDescent="0.25">
      <c r="A43" s="494"/>
      <c r="B43" s="494"/>
      <c r="C43" s="213" t="s">
        <v>248</v>
      </c>
      <c r="D43" s="150"/>
      <c r="E43" s="150"/>
      <c r="F43" s="145"/>
      <c r="G43" s="146"/>
      <c r="H43" s="147"/>
      <c r="I43" s="347"/>
      <c r="J43" s="148"/>
      <c r="K43" s="348"/>
      <c r="L43" s="347"/>
      <c r="M43" s="151"/>
      <c r="N43" s="398"/>
      <c r="O43" s="347"/>
      <c r="P43" s="151"/>
      <c r="Q43" s="398"/>
      <c r="R43" s="347"/>
      <c r="S43" s="151"/>
      <c r="T43" s="398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1"/>
      <c r="BD43" s="421"/>
      <c r="BE43" s="347"/>
      <c r="BF43" s="151"/>
      <c r="BG43" s="398"/>
    </row>
    <row r="44" spans="1:59" s="211" customFormat="1" ht="5.25" customHeight="1" x14ac:dyDescent="0.25">
      <c r="A44" s="154"/>
      <c r="B44" s="166"/>
      <c r="C44" s="155"/>
      <c r="D44" s="155"/>
      <c r="E44" s="155"/>
      <c r="F44" s="155"/>
      <c r="G44" s="156"/>
      <c r="H44" s="147"/>
      <c r="I44" s="341"/>
      <c r="J44" s="156"/>
      <c r="K44" s="342"/>
      <c r="L44" s="383"/>
      <c r="M44" s="158"/>
      <c r="N44" s="370"/>
      <c r="O44" s="383"/>
      <c r="P44" s="158"/>
      <c r="Q44" s="370"/>
      <c r="R44" s="383"/>
      <c r="S44" s="158"/>
      <c r="T44" s="370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256"/>
      <c r="BE44" s="383"/>
      <c r="BF44" s="158"/>
      <c r="BG44" s="370"/>
    </row>
    <row r="45" spans="1:59" ht="15" customHeight="1" x14ac:dyDescent="0.25">
      <c r="A45" s="495" t="s">
        <v>137</v>
      </c>
      <c r="B45" s="496"/>
      <c r="C45" s="176" t="s">
        <v>251</v>
      </c>
      <c r="D45" s="150"/>
      <c r="E45" s="150"/>
      <c r="F45" s="145"/>
      <c r="G45" s="146"/>
      <c r="H45" s="147"/>
      <c r="I45" s="349"/>
      <c r="J45" s="146"/>
      <c r="K45" s="350"/>
      <c r="L45" s="349"/>
      <c r="M45" s="151"/>
      <c r="N45" s="398"/>
      <c r="O45" s="349"/>
      <c r="P45" s="151"/>
      <c r="Q45" s="398"/>
      <c r="R45" s="349"/>
      <c r="S45" s="151"/>
      <c r="T45" s="398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421"/>
      <c r="BE45" s="349"/>
      <c r="BF45" s="151"/>
      <c r="BG45" s="398"/>
    </row>
    <row r="46" spans="1:59" ht="15" customHeight="1" x14ac:dyDescent="0.25">
      <c r="A46" s="497"/>
      <c r="B46" s="498"/>
      <c r="C46" s="176" t="s">
        <v>252</v>
      </c>
      <c r="D46" s="150"/>
      <c r="E46" s="150"/>
      <c r="F46" s="145"/>
      <c r="G46" s="146"/>
      <c r="H46" s="147"/>
      <c r="I46" s="349"/>
      <c r="J46" s="146"/>
      <c r="K46" s="350"/>
      <c r="L46" s="349"/>
      <c r="M46" s="151"/>
      <c r="N46" s="398"/>
      <c r="O46" s="349"/>
      <c r="P46" s="151"/>
      <c r="Q46" s="398"/>
      <c r="R46" s="349"/>
      <c r="S46" s="151"/>
      <c r="T46" s="398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421"/>
      <c r="BE46" s="349"/>
      <c r="BF46" s="151"/>
      <c r="BG46" s="398"/>
    </row>
    <row r="47" spans="1:59" ht="15" customHeight="1" x14ac:dyDescent="0.25">
      <c r="A47" s="497"/>
      <c r="B47" s="498"/>
      <c r="C47" s="176" t="s">
        <v>250</v>
      </c>
      <c r="D47" s="150"/>
      <c r="E47" s="150"/>
      <c r="F47" s="145"/>
      <c r="G47" s="146"/>
      <c r="H47" s="147"/>
      <c r="I47" s="349"/>
      <c r="J47" s="146"/>
      <c r="K47" s="350"/>
      <c r="L47" s="349"/>
      <c r="M47" s="151"/>
      <c r="N47" s="398"/>
      <c r="O47" s="349"/>
      <c r="P47" s="151"/>
      <c r="Q47" s="398"/>
      <c r="R47" s="349"/>
      <c r="S47" s="151"/>
      <c r="T47" s="398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421"/>
      <c r="BE47" s="349"/>
      <c r="BF47" s="151"/>
      <c r="BG47" s="398"/>
    </row>
    <row r="48" spans="1:59" ht="15" customHeight="1" x14ac:dyDescent="0.25">
      <c r="A48" s="497"/>
      <c r="B48" s="498"/>
      <c r="C48" s="176" t="s">
        <v>253</v>
      </c>
      <c r="D48" s="150"/>
      <c r="E48" s="150"/>
      <c r="F48" s="145"/>
      <c r="G48" s="146"/>
      <c r="H48" s="147"/>
      <c r="I48" s="349"/>
      <c r="J48" s="146"/>
      <c r="K48" s="350"/>
      <c r="L48" s="349"/>
      <c r="M48" s="151"/>
      <c r="N48" s="398"/>
      <c r="O48" s="349"/>
      <c r="P48" s="151"/>
      <c r="Q48" s="398"/>
      <c r="R48" s="349"/>
      <c r="S48" s="151"/>
      <c r="T48" s="398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421"/>
      <c r="BE48" s="349"/>
      <c r="BF48" s="151"/>
      <c r="BG48" s="398"/>
    </row>
    <row r="49" spans="1:59" x14ac:dyDescent="0.25">
      <c r="A49" s="497"/>
      <c r="B49" s="498"/>
      <c r="C49" s="176" t="s">
        <v>22</v>
      </c>
      <c r="D49" s="150"/>
      <c r="E49" s="150"/>
      <c r="F49" s="145"/>
      <c r="G49" s="146"/>
      <c r="H49" s="147"/>
      <c r="I49" s="349"/>
      <c r="J49" s="146"/>
      <c r="K49" s="350"/>
      <c r="L49" s="349"/>
      <c r="M49" s="169"/>
      <c r="N49" s="364"/>
      <c r="O49" s="349"/>
      <c r="P49" s="169"/>
      <c r="Q49" s="364"/>
      <c r="R49" s="349"/>
      <c r="S49" s="169"/>
      <c r="T49" s="364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420"/>
      <c r="BE49" s="349"/>
      <c r="BF49" s="169"/>
      <c r="BG49" s="364"/>
    </row>
    <row r="50" spans="1:59" x14ac:dyDescent="0.25">
      <c r="A50" s="497"/>
      <c r="B50" s="498"/>
      <c r="C50" s="176" t="s">
        <v>23</v>
      </c>
      <c r="D50" s="150"/>
      <c r="E50" s="150"/>
      <c r="F50" s="145"/>
      <c r="G50" s="146"/>
      <c r="H50" s="147"/>
      <c r="I50" s="349"/>
      <c r="J50" s="146"/>
      <c r="K50" s="350"/>
      <c r="L50" s="349"/>
      <c r="M50" s="169"/>
      <c r="N50" s="364"/>
      <c r="O50" s="349"/>
      <c r="P50" s="169"/>
      <c r="Q50" s="364"/>
      <c r="R50" s="349"/>
      <c r="S50" s="169"/>
      <c r="T50" s="364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420"/>
      <c r="BE50" s="349"/>
      <c r="BF50" s="169"/>
      <c r="BG50" s="364"/>
    </row>
    <row r="51" spans="1:59" x14ac:dyDescent="0.25">
      <c r="A51" s="497"/>
      <c r="B51" s="498"/>
      <c r="C51" s="176" t="s">
        <v>26</v>
      </c>
      <c r="D51" s="150"/>
      <c r="E51" s="150"/>
      <c r="F51" s="145"/>
      <c r="G51" s="146"/>
      <c r="H51" s="147"/>
      <c r="I51" s="349">
        <f>I52+I53</f>
        <v>3.16</v>
      </c>
      <c r="J51" s="146">
        <v>3.18</v>
      </c>
      <c r="K51" s="350"/>
      <c r="L51" s="349">
        <f>L52+L53</f>
        <v>4.25</v>
      </c>
      <c r="M51" s="151">
        <v>4.17</v>
      </c>
      <c r="N51" s="398"/>
      <c r="O51" s="349">
        <v>3.38</v>
      </c>
      <c r="P51" s="151">
        <v>3.15</v>
      </c>
      <c r="Q51" s="398"/>
      <c r="R51" s="349">
        <f>I51+L51+O51</f>
        <v>10.79</v>
      </c>
      <c r="S51" s="151">
        <f>J51+M51+P51</f>
        <v>10.5</v>
      </c>
      <c r="T51" s="398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421"/>
      <c r="BE51" s="349"/>
      <c r="BF51" s="151"/>
      <c r="BG51" s="398"/>
    </row>
    <row r="52" spans="1:59" x14ac:dyDescent="0.25">
      <c r="A52" s="497"/>
      <c r="B52" s="498"/>
      <c r="C52" s="176" t="s">
        <v>54</v>
      </c>
      <c r="D52" s="150"/>
      <c r="E52" s="150"/>
      <c r="F52" s="145"/>
      <c r="G52" s="146"/>
      <c r="H52" s="147"/>
      <c r="I52" s="349">
        <v>1.39</v>
      </c>
      <c r="J52" s="146">
        <v>1.37</v>
      </c>
      <c r="K52" s="350"/>
      <c r="L52" s="349">
        <v>1.83</v>
      </c>
      <c r="M52" s="151">
        <v>1.7</v>
      </c>
      <c r="N52" s="398"/>
      <c r="O52" s="349">
        <v>1.7</v>
      </c>
      <c r="P52" s="151">
        <v>1.68</v>
      </c>
      <c r="Q52" s="398"/>
      <c r="R52" s="349">
        <f t="shared" ref="R52:R53" si="25">I52+L52+O52</f>
        <v>4.92</v>
      </c>
      <c r="S52" s="151">
        <f t="shared" ref="S52:S53" si="26">J52+M52+P52</f>
        <v>4.75</v>
      </c>
      <c r="T52" s="398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421"/>
      <c r="BE52" s="349"/>
      <c r="BF52" s="151"/>
      <c r="BG52" s="398"/>
    </row>
    <row r="53" spans="1:59" x14ac:dyDescent="0.25">
      <c r="A53" s="497"/>
      <c r="B53" s="498"/>
      <c r="C53" s="176" t="s">
        <v>249</v>
      </c>
      <c r="D53" s="150"/>
      <c r="E53" s="150"/>
      <c r="F53" s="145"/>
      <c r="G53" s="146"/>
      <c r="H53" s="147"/>
      <c r="I53" s="349">
        <v>1.77</v>
      </c>
      <c r="J53" s="146">
        <v>1.81</v>
      </c>
      <c r="K53" s="350"/>
      <c r="L53" s="349">
        <v>2.42</v>
      </c>
      <c r="M53" s="151">
        <v>2.46</v>
      </c>
      <c r="N53" s="398"/>
      <c r="O53" s="349">
        <v>1.67</v>
      </c>
      <c r="P53" s="151">
        <v>1.47</v>
      </c>
      <c r="Q53" s="398"/>
      <c r="R53" s="349">
        <f t="shared" si="25"/>
        <v>5.8599999999999994</v>
      </c>
      <c r="S53" s="151">
        <f t="shared" si="26"/>
        <v>5.7399999999999993</v>
      </c>
      <c r="T53" s="398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51"/>
      <c r="BD53" s="421"/>
      <c r="BE53" s="349"/>
      <c r="BF53" s="151"/>
      <c r="BG53" s="398"/>
    </row>
    <row r="54" spans="1:59" x14ac:dyDescent="0.25">
      <c r="A54" s="497"/>
      <c r="B54" s="498"/>
      <c r="C54" s="176" t="s">
        <v>27</v>
      </c>
      <c r="D54" s="150"/>
      <c r="E54" s="150"/>
      <c r="F54" s="145"/>
      <c r="G54" s="146"/>
      <c r="H54" s="147"/>
      <c r="I54" s="351"/>
      <c r="J54" s="171"/>
      <c r="K54" s="352"/>
      <c r="L54" s="351"/>
      <c r="M54" s="172"/>
      <c r="N54" s="399"/>
      <c r="O54" s="351"/>
      <c r="P54" s="172"/>
      <c r="Q54" s="399"/>
      <c r="R54" s="351"/>
      <c r="S54" s="172"/>
      <c r="T54" s="399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422"/>
      <c r="BE54" s="351"/>
      <c r="BF54" s="172"/>
      <c r="BG54" s="399"/>
    </row>
    <row r="55" spans="1:59" s="211" customFormat="1" ht="5.25" customHeight="1" x14ac:dyDescent="0.25">
      <c r="A55" s="154"/>
      <c r="B55" s="166"/>
      <c r="C55" s="155"/>
      <c r="D55" s="155"/>
      <c r="E55" s="155"/>
      <c r="F55" s="155"/>
      <c r="G55" s="156"/>
      <c r="H55" s="147"/>
      <c r="I55" s="341"/>
      <c r="J55" s="156"/>
      <c r="K55" s="342"/>
      <c r="L55" s="383"/>
      <c r="M55" s="158"/>
      <c r="N55" s="370"/>
      <c r="O55" s="383"/>
      <c r="P55" s="158"/>
      <c r="Q55" s="370"/>
      <c r="R55" s="383"/>
      <c r="S55" s="158"/>
      <c r="T55" s="370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256"/>
      <c r="BE55" s="383"/>
      <c r="BF55" s="158"/>
      <c r="BG55" s="370"/>
    </row>
    <row r="56" spans="1:59" ht="15" customHeight="1" x14ac:dyDescent="0.25">
      <c r="A56" s="435" t="s">
        <v>30</v>
      </c>
      <c r="B56" s="173"/>
      <c r="C56" s="173"/>
      <c r="D56" s="142"/>
      <c r="E56" s="142"/>
      <c r="F56" s="142"/>
      <c r="G56" s="174"/>
      <c r="H56" s="144"/>
      <c r="I56" s="353"/>
      <c r="J56" s="142"/>
      <c r="K56" s="354"/>
      <c r="L56" s="353"/>
      <c r="M56" s="142"/>
      <c r="N56" s="354"/>
      <c r="O56" s="353"/>
      <c r="P56" s="142"/>
      <c r="Q56" s="354"/>
      <c r="R56" s="353"/>
      <c r="S56" s="142"/>
      <c r="T56" s="354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353"/>
      <c r="BF56" s="142"/>
      <c r="BG56" s="354"/>
    </row>
    <row r="57" spans="1:59" x14ac:dyDescent="0.25">
      <c r="A57" s="499"/>
      <c r="B57" s="500" t="s">
        <v>80</v>
      </c>
      <c r="C57" s="301" t="s">
        <v>230</v>
      </c>
      <c r="D57" s="177"/>
      <c r="E57" s="177"/>
      <c r="F57" s="145"/>
      <c r="G57" s="146"/>
      <c r="H57" s="147"/>
      <c r="I57" s="355">
        <v>2</v>
      </c>
      <c r="J57" s="355">
        <f>'Revenue Spilt IB'!D50/100000</f>
        <v>-33.159709999999997</v>
      </c>
      <c r="K57" s="356"/>
      <c r="L57" s="355">
        <v>2</v>
      </c>
      <c r="M57" s="355">
        <f>'Revenue Spilt IB'!G50/100000</f>
        <v>-84.028239999999997</v>
      </c>
      <c r="N57" s="364"/>
      <c r="O57" s="355">
        <v>2</v>
      </c>
      <c r="P57" s="355">
        <f>'Revenue Spilt IB'!J50/100000</f>
        <v>0</v>
      </c>
      <c r="Q57" s="364"/>
      <c r="R57" s="359">
        <f>I57+L57+O57</f>
        <v>6</v>
      </c>
      <c r="S57" s="457">
        <f>J57+M57+P57</f>
        <v>-117.18795</v>
      </c>
      <c r="T57" s="364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420"/>
      <c r="BE57" s="359">
        <f>SUM(I57:BD57)</f>
        <v>-222.3759</v>
      </c>
      <c r="BF57" s="169"/>
      <c r="BG57" s="364"/>
    </row>
    <row r="58" spans="1:59" x14ac:dyDescent="0.25">
      <c r="A58" s="499"/>
      <c r="B58" s="501"/>
      <c r="C58" s="301" t="s">
        <v>232</v>
      </c>
      <c r="D58" s="177"/>
      <c r="E58" s="177"/>
      <c r="F58" s="145"/>
      <c r="G58" s="146"/>
      <c r="H58" s="147"/>
      <c r="I58" s="357">
        <f>I57/I8</f>
        <v>4.4444444444444446E-2</v>
      </c>
      <c r="J58" s="357">
        <f>J57/J8</f>
        <v>-1.3263883999999999</v>
      </c>
      <c r="K58" s="358"/>
      <c r="L58" s="357">
        <f>L57/L8</f>
        <v>4.4444444444444446E-2</v>
      </c>
      <c r="M58" s="357">
        <f>M57/M8</f>
        <v>-3.3611295999999999</v>
      </c>
      <c r="N58" s="364"/>
      <c r="O58" s="357">
        <f>O57/O8</f>
        <v>4.4444444444444446E-2</v>
      </c>
      <c r="P58" s="357">
        <f>P57/P8</f>
        <v>0</v>
      </c>
      <c r="Q58" s="364"/>
      <c r="R58" s="357">
        <f>R57/R8</f>
        <v>4.4444444444444446E-2</v>
      </c>
      <c r="S58" s="357">
        <f>S57/S8</f>
        <v>-1.562506</v>
      </c>
      <c r="T58" s="364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420"/>
      <c r="BE58" s="357">
        <f>BE57/BE8</f>
        <v>-1.6472288888888889</v>
      </c>
      <c r="BF58" s="169"/>
      <c r="BG58" s="364"/>
    </row>
    <row r="59" spans="1:59" ht="4.5" customHeight="1" x14ac:dyDescent="0.25">
      <c r="A59" s="499"/>
      <c r="B59" s="501"/>
      <c r="C59" s="155"/>
      <c r="D59" s="155"/>
      <c r="E59" s="155"/>
      <c r="F59" s="155"/>
      <c r="G59" s="156"/>
      <c r="H59" s="147"/>
      <c r="I59" s="341"/>
      <c r="J59" s="156"/>
      <c r="K59" s="342"/>
      <c r="L59" s="341"/>
      <c r="M59" s="156"/>
      <c r="N59" s="370"/>
      <c r="O59" s="341"/>
      <c r="P59" s="156"/>
      <c r="Q59" s="370"/>
      <c r="R59" s="383"/>
      <c r="S59" s="158"/>
      <c r="T59" s="370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256"/>
      <c r="BE59" s="383"/>
      <c r="BF59" s="158"/>
      <c r="BG59" s="370"/>
    </row>
    <row r="60" spans="1:59" x14ac:dyDescent="0.25">
      <c r="A60" s="499"/>
      <c r="B60" s="501"/>
      <c r="C60" s="301" t="s">
        <v>231</v>
      </c>
      <c r="D60" s="177"/>
      <c r="E60" s="177"/>
      <c r="F60" s="145"/>
      <c r="G60" s="146"/>
      <c r="H60" s="147"/>
      <c r="I60" s="359">
        <v>3</v>
      </c>
      <c r="J60" s="359">
        <f>'Revenue Spilt IB'!D65/100000</f>
        <v>14.962730000000001</v>
      </c>
      <c r="K60" s="360"/>
      <c r="L60" s="359">
        <v>3</v>
      </c>
      <c r="M60" s="359">
        <f>'Revenue Spilt IB'!G65/100000</f>
        <v>36.147970000000001</v>
      </c>
      <c r="N60" s="364"/>
      <c r="O60" s="359">
        <v>3</v>
      </c>
      <c r="P60" s="359">
        <f>'Revenue Spilt IB'!J65/100000</f>
        <v>0</v>
      </c>
      <c r="Q60" s="364"/>
      <c r="R60" s="355">
        <f>I60+L60+O60</f>
        <v>9</v>
      </c>
      <c r="S60" s="169">
        <f>J60+M60+P60</f>
        <v>51.110700000000001</v>
      </c>
      <c r="T60" s="364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9"/>
      <c r="AU60" s="169"/>
      <c r="AV60" s="169"/>
      <c r="AW60" s="169"/>
      <c r="AX60" s="169"/>
      <c r="AY60" s="169"/>
      <c r="AZ60" s="169"/>
      <c r="BA60" s="169"/>
      <c r="BB60" s="169"/>
      <c r="BC60" s="169"/>
      <c r="BD60" s="420"/>
      <c r="BE60" s="355">
        <f>SUM(I60:BD60)</f>
        <v>120.22140000000002</v>
      </c>
      <c r="BF60" s="169"/>
      <c r="BG60" s="364"/>
    </row>
    <row r="61" spans="1:59" x14ac:dyDescent="0.25">
      <c r="A61" s="499"/>
      <c r="B61" s="501"/>
      <c r="C61" s="301" t="s">
        <v>232</v>
      </c>
      <c r="D61" s="177"/>
      <c r="E61" s="177"/>
      <c r="F61" s="145"/>
      <c r="G61" s="146"/>
      <c r="H61" s="147"/>
      <c r="I61" s="361">
        <f>I60/I12</f>
        <v>0.27272727272727271</v>
      </c>
      <c r="J61" s="361">
        <f>J60/J12</f>
        <v>2.129410676419941</v>
      </c>
      <c r="K61" s="362"/>
      <c r="L61" s="361">
        <f>L60/L12</f>
        <v>0.27272727272727271</v>
      </c>
      <c r="M61" s="361">
        <f>M60/M12</f>
        <v>5.1443736035407799</v>
      </c>
      <c r="N61" s="362"/>
      <c r="O61" s="361">
        <f>O60/O12</f>
        <v>0.27272727272727271</v>
      </c>
      <c r="P61" s="361">
        <f>P60/P12</f>
        <v>0</v>
      </c>
      <c r="Q61" s="362"/>
      <c r="R61" s="361">
        <f>R60/R12</f>
        <v>0.27272727272727271</v>
      </c>
      <c r="S61" s="361">
        <f>S60/S12</f>
        <v>2.4245947599869071</v>
      </c>
      <c r="T61" s="362"/>
      <c r="U61" s="299"/>
      <c r="V61" s="299"/>
      <c r="W61" s="299"/>
      <c r="X61" s="299"/>
      <c r="Y61" s="299"/>
      <c r="Z61" s="299"/>
      <c r="AA61" s="299"/>
      <c r="AB61" s="299"/>
      <c r="AC61" s="299"/>
      <c r="AD61" s="299"/>
      <c r="AE61" s="299"/>
      <c r="AF61" s="299"/>
      <c r="AG61" s="299"/>
      <c r="AH61" s="299"/>
      <c r="AI61" s="299"/>
      <c r="AJ61" s="299"/>
      <c r="AK61" s="299"/>
      <c r="AL61" s="299"/>
      <c r="AM61" s="299"/>
      <c r="AN61" s="299"/>
      <c r="AO61" s="299"/>
      <c r="AP61" s="299"/>
      <c r="AQ61" s="299"/>
      <c r="AR61" s="299"/>
      <c r="AS61" s="299"/>
      <c r="AT61" s="299"/>
      <c r="AU61" s="299"/>
      <c r="AV61" s="299"/>
      <c r="AW61" s="299"/>
      <c r="AX61" s="299"/>
      <c r="AY61" s="299"/>
      <c r="AZ61" s="299"/>
      <c r="BA61" s="299"/>
      <c r="BB61" s="299"/>
      <c r="BC61" s="299"/>
      <c r="BD61" s="423"/>
      <c r="BE61" s="361">
        <f>BE60/BE12</f>
        <v>3.6430727272727279</v>
      </c>
      <c r="BF61" s="299"/>
      <c r="BG61" s="362"/>
    </row>
    <row r="62" spans="1:59" ht="4.5" customHeight="1" x14ac:dyDescent="0.25">
      <c r="A62" s="499"/>
      <c r="B62" s="501"/>
      <c r="C62" s="155"/>
      <c r="D62" s="155"/>
      <c r="E62" s="155"/>
      <c r="F62" s="155"/>
      <c r="G62" s="156"/>
      <c r="H62" s="147"/>
      <c r="I62" s="341"/>
      <c r="J62" s="156"/>
      <c r="K62" s="342"/>
      <c r="L62" s="341"/>
      <c r="M62" s="156"/>
      <c r="N62" s="370"/>
      <c r="O62" s="341"/>
      <c r="P62" s="156"/>
      <c r="Q62" s="370"/>
      <c r="R62" s="383"/>
      <c r="S62" s="158"/>
      <c r="T62" s="370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256"/>
      <c r="BE62" s="383"/>
      <c r="BF62" s="158"/>
      <c r="BG62" s="370"/>
    </row>
    <row r="63" spans="1:59" x14ac:dyDescent="0.25">
      <c r="A63" s="499"/>
      <c r="B63" s="501"/>
      <c r="C63" s="301" t="s">
        <v>233</v>
      </c>
      <c r="D63" s="177"/>
      <c r="E63" s="177"/>
      <c r="F63" s="145"/>
      <c r="G63" s="146"/>
      <c r="H63" s="147"/>
      <c r="I63" s="359">
        <v>1</v>
      </c>
      <c r="J63" s="297">
        <f>'Revenue Spilt IB'!D77/100000</f>
        <v>0.22997000000000001</v>
      </c>
      <c r="K63" s="360"/>
      <c r="L63" s="359">
        <v>1</v>
      </c>
      <c r="M63" s="297">
        <f>'Revenue Spilt IB'!G77/100000</f>
        <v>0.78320000000000001</v>
      </c>
      <c r="N63" s="364"/>
      <c r="O63" s="359">
        <v>1</v>
      </c>
      <c r="P63" s="297">
        <f>'Revenue Spilt IB'!J77/100000</f>
        <v>0</v>
      </c>
      <c r="Q63" s="364"/>
      <c r="R63" s="359">
        <f>I63+L63+O63</f>
        <v>3</v>
      </c>
      <c r="S63" s="169">
        <f>J63+M63+P63</f>
        <v>1.0131700000000001</v>
      </c>
      <c r="T63" s="364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69"/>
      <c r="BB63" s="169"/>
      <c r="BC63" s="169"/>
      <c r="BD63" s="420"/>
      <c r="BE63" s="359">
        <f>SUM(I63:BD63)</f>
        <v>8.0263399999999994</v>
      </c>
      <c r="BF63" s="169"/>
      <c r="BG63" s="364"/>
    </row>
    <row r="64" spans="1:59" x14ac:dyDescent="0.25">
      <c r="A64" s="499"/>
      <c r="B64" s="501"/>
      <c r="C64" s="301" t="s">
        <v>232</v>
      </c>
      <c r="D64" s="177"/>
      <c r="E64" s="177"/>
      <c r="F64" s="145"/>
      <c r="G64" s="146"/>
      <c r="H64" s="147"/>
      <c r="I64" s="357">
        <f>I63/I16</f>
        <v>0.125</v>
      </c>
      <c r="J64" s="357">
        <f>J63/J16</f>
        <v>5.7492500000000002E-2</v>
      </c>
      <c r="K64" s="358"/>
      <c r="L64" s="357">
        <f>L63/L16</f>
        <v>0.125</v>
      </c>
      <c r="M64" s="357">
        <f>M63/M16</f>
        <v>0.1958</v>
      </c>
      <c r="N64" s="362"/>
      <c r="O64" s="357">
        <f>O63/O16</f>
        <v>0.125</v>
      </c>
      <c r="P64" s="357">
        <f>P63/P16</f>
        <v>0</v>
      </c>
      <c r="Q64" s="362"/>
      <c r="R64" s="361">
        <f>R63/R16</f>
        <v>0.125</v>
      </c>
      <c r="S64" s="361">
        <f>S63/S16</f>
        <v>8.4430833333333344E-2</v>
      </c>
      <c r="T64" s="362"/>
      <c r="U64" s="299"/>
      <c r="V64" s="299"/>
      <c r="W64" s="299"/>
      <c r="X64" s="299"/>
      <c r="Y64" s="299"/>
      <c r="Z64" s="299"/>
      <c r="AA64" s="299"/>
      <c r="AB64" s="299"/>
      <c r="AC64" s="299"/>
      <c r="AD64" s="299"/>
      <c r="AE64" s="299"/>
      <c r="AF64" s="299"/>
      <c r="AG64" s="299"/>
      <c r="AH64" s="299"/>
      <c r="AI64" s="299"/>
      <c r="AJ64" s="299"/>
      <c r="AK64" s="299"/>
      <c r="AL64" s="299"/>
      <c r="AM64" s="299"/>
      <c r="AN64" s="299"/>
      <c r="AO64" s="299"/>
      <c r="AP64" s="299"/>
      <c r="AQ64" s="299"/>
      <c r="AR64" s="299"/>
      <c r="AS64" s="299"/>
      <c r="AT64" s="299"/>
      <c r="AU64" s="299"/>
      <c r="AV64" s="299"/>
      <c r="AW64" s="299"/>
      <c r="AX64" s="299"/>
      <c r="AY64" s="299"/>
      <c r="AZ64" s="299"/>
      <c r="BA64" s="299"/>
      <c r="BB64" s="299"/>
      <c r="BC64" s="299"/>
      <c r="BD64" s="423"/>
      <c r="BE64" s="361">
        <f>BE63/BE16</f>
        <v>0.33443083333333329</v>
      </c>
      <c r="BF64" s="299"/>
      <c r="BG64" s="362"/>
    </row>
    <row r="65" spans="1:59" ht="4.5" customHeight="1" x14ac:dyDescent="0.25">
      <c r="A65" s="499"/>
      <c r="B65" s="501"/>
      <c r="C65" s="155"/>
      <c r="D65" s="155"/>
      <c r="E65" s="155"/>
      <c r="F65" s="155"/>
      <c r="G65" s="156"/>
      <c r="H65" s="147"/>
      <c r="I65" s="341"/>
      <c r="J65" s="156"/>
      <c r="K65" s="342"/>
      <c r="L65" s="341"/>
      <c r="M65" s="156"/>
      <c r="N65" s="370"/>
      <c r="O65" s="341"/>
      <c r="P65" s="156"/>
      <c r="Q65" s="370"/>
      <c r="R65" s="383"/>
      <c r="S65" s="158"/>
      <c r="T65" s="370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256"/>
      <c r="BE65" s="383"/>
      <c r="BF65" s="158"/>
      <c r="BG65" s="370"/>
    </row>
    <row r="66" spans="1:59" x14ac:dyDescent="0.25">
      <c r="A66" s="499"/>
      <c r="B66" s="501"/>
      <c r="C66" s="301" t="s">
        <v>234</v>
      </c>
      <c r="D66" s="177"/>
      <c r="E66" s="177"/>
      <c r="F66" s="145"/>
      <c r="G66" s="146"/>
      <c r="H66" s="147"/>
      <c r="I66" s="359">
        <v>1</v>
      </c>
      <c r="J66" s="297">
        <f>'Revenue Spilt IB'!D90/100000</f>
        <v>40.868061666666669</v>
      </c>
      <c r="K66" s="360"/>
      <c r="L66" s="359">
        <v>1</v>
      </c>
      <c r="M66" s="297">
        <f>'Revenue Spilt IB'!G90/100000</f>
        <v>8.64222</v>
      </c>
      <c r="N66" s="364"/>
      <c r="O66" s="359">
        <v>1</v>
      </c>
      <c r="P66" s="297">
        <f>'Revenue Spilt IB'!J90/100000</f>
        <v>0</v>
      </c>
      <c r="Q66" s="364"/>
      <c r="R66" s="359">
        <f>I66+L66+O66</f>
        <v>3</v>
      </c>
      <c r="S66" s="457">
        <f>J66+M66+P66</f>
        <v>49.510281666666671</v>
      </c>
      <c r="T66" s="364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  <c r="AS66" s="169"/>
      <c r="AT66" s="169"/>
      <c r="AU66" s="169"/>
      <c r="AV66" s="169"/>
      <c r="AW66" s="169"/>
      <c r="AX66" s="169"/>
      <c r="AY66" s="169"/>
      <c r="AZ66" s="169"/>
      <c r="BA66" s="169"/>
      <c r="BB66" s="169"/>
      <c r="BC66" s="169"/>
      <c r="BD66" s="420"/>
      <c r="BE66" s="359">
        <f>SUM(I66:BD66)</f>
        <v>105.02056333333334</v>
      </c>
      <c r="BF66" s="169"/>
      <c r="BG66" s="364"/>
    </row>
    <row r="67" spans="1:59" x14ac:dyDescent="0.25">
      <c r="A67" s="499"/>
      <c r="B67" s="501"/>
      <c r="C67" s="301" t="s">
        <v>232</v>
      </c>
      <c r="D67" s="177"/>
      <c r="E67" s="177"/>
      <c r="F67" s="145"/>
      <c r="G67" s="146"/>
      <c r="H67" s="147"/>
      <c r="I67" s="357">
        <f>I66/I20</f>
        <v>0.2</v>
      </c>
      <c r="J67" s="357">
        <f>J66/J20</f>
        <v>8.1736123333333346</v>
      </c>
      <c r="K67" s="358"/>
      <c r="L67" s="357">
        <f>L66/L20</f>
        <v>0.2</v>
      </c>
      <c r="M67" s="357">
        <f>M66/M20</f>
        <v>1.7284440000000001</v>
      </c>
      <c r="N67" s="358"/>
      <c r="O67" s="357">
        <f>O66/O20</f>
        <v>0.2</v>
      </c>
      <c r="P67" s="357">
        <f>P66/P20</f>
        <v>0</v>
      </c>
      <c r="Q67" s="358"/>
      <c r="R67" s="357">
        <f>R66/R20</f>
        <v>0.2</v>
      </c>
      <c r="S67" s="357">
        <f>S66/S20</f>
        <v>3.3006854444444449</v>
      </c>
      <c r="T67" s="358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  <c r="AI67" s="300"/>
      <c r="AJ67" s="300"/>
      <c r="AK67" s="300"/>
      <c r="AL67" s="300"/>
      <c r="AM67" s="300"/>
      <c r="AN67" s="300"/>
      <c r="AO67" s="300"/>
      <c r="AP67" s="300"/>
      <c r="AQ67" s="300"/>
      <c r="AR67" s="300"/>
      <c r="AS67" s="300"/>
      <c r="AT67" s="300"/>
      <c r="AU67" s="300"/>
      <c r="AV67" s="300"/>
      <c r="AW67" s="300"/>
      <c r="AX67" s="300"/>
      <c r="AY67" s="300"/>
      <c r="AZ67" s="300"/>
      <c r="BA67" s="300"/>
      <c r="BB67" s="300"/>
      <c r="BC67" s="300"/>
      <c r="BD67" s="424"/>
      <c r="BE67" s="357">
        <f>BE66/BE20</f>
        <v>7.0013708888888893</v>
      </c>
      <c r="BF67" s="300"/>
      <c r="BG67" s="358"/>
    </row>
    <row r="68" spans="1:59" ht="4.5" customHeight="1" x14ac:dyDescent="0.25">
      <c r="A68" s="499"/>
      <c r="B68" s="501"/>
      <c r="C68" s="155"/>
      <c r="D68" s="155"/>
      <c r="E68" s="155"/>
      <c r="F68" s="155"/>
      <c r="G68" s="156"/>
      <c r="H68" s="147"/>
      <c r="I68" s="341"/>
      <c r="J68" s="156"/>
      <c r="K68" s="342"/>
      <c r="L68" s="341"/>
      <c r="M68" s="156"/>
      <c r="N68" s="370"/>
      <c r="O68" s="341"/>
      <c r="P68" s="156"/>
      <c r="Q68" s="370"/>
      <c r="R68" s="383"/>
      <c r="S68" s="158"/>
      <c r="T68" s="370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256"/>
      <c r="BE68" s="383"/>
      <c r="BF68" s="158"/>
      <c r="BG68" s="370"/>
    </row>
    <row r="69" spans="1:59" x14ac:dyDescent="0.25">
      <c r="A69" s="499"/>
      <c r="B69" s="501"/>
      <c r="C69" s="301" t="s">
        <v>235</v>
      </c>
      <c r="D69" s="177"/>
      <c r="E69" s="177"/>
      <c r="F69" s="145"/>
      <c r="G69" s="146"/>
      <c r="H69" s="147"/>
      <c r="I69" s="363">
        <v>5</v>
      </c>
      <c r="J69" s="169">
        <f>'Revenue Spilt IB'!D98/100000</f>
        <v>3.07</v>
      </c>
      <c r="K69" s="364"/>
      <c r="L69" s="363">
        <v>5</v>
      </c>
      <c r="M69" s="169">
        <f>'Revenue Spilt IB'!G98/100000</f>
        <v>-0.78</v>
      </c>
      <c r="N69" s="364"/>
      <c r="O69" s="363">
        <v>5</v>
      </c>
      <c r="P69" s="169">
        <f>'Revenue Spilt IB'!J98/100000</f>
        <v>0</v>
      </c>
      <c r="Q69" s="364"/>
      <c r="R69" s="363">
        <f>I69+L69+O69</f>
        <v>15</v>
      </c>
      <c r="S69" s="169">
        <f>J69+M69+P69</f>
        <v>2.29</v>
      </c>
      <c r="T69" s="364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69"/>
      <c r="AH69" s="169"/>
      <c r="AI69" s="169"/>
      <c r="AJ69" s="169"/>
      <c r="AK69" s="169"/>
      <c r="AL69" s="169"/>
      <c r="AM69" s="169"/>
      <c r="AN69" s="169"/>
      <c r="AO69" s="169"/>
      <c r="AP69" s="169"/>
      <c r="AQ69" s="169"/>
      <c r="AR69" s="169"/>
      <c r="AS69" s="169"/>
      <c r="AT69" s="169"/>
      <c r="AU69" s="169"/>
      <c r="AV69" s="169"/>
      <c r="AW69" s="169"/>
      <c r="AX69" s="169"/>
      <c r="AY69" s="169"/>
      <c r="AZ69" s="169"/>
      <c r="BA69" s="169"/>
      <c r="BB69" s="169"/>
      <c r="BC69" s="169"/>
      <c r="BD69" s="420"/>
      <c r="BE69" s="363">
        <f>SUM(I69:BD69)</f>
        <v>34.58</v>
      </c>
      <c r="BF69" s="169"/>
      <c r="BG69" s="364"/>
    </row>
    <row r="70" spans="1:59" x14ac:dyDescent="0.25">
      <c r="A70" s="499"/>
      <c r="B70" s="501"/>
      <c r="C70" s="301" t="s">
        <v>232</v>
      </c>
      <c r="D70" s="177"/>
      <c r="E70" s="177"/>
      <c r="F70" s="145"/>
      <c r="G70" s="146"/>
      <c r="H70" s="147"/>
      <c r="I70" s="357">
        <f>I69/I22</f>
        <v>5</v>
      </c>
      <c r="J70" s="357">
        <f>J69/J22</f>
        <v>1.5349999999999999</v>
      </c>
      <c r="K70" s="358"/>
      <c r="L70" s="357">
        <f>L69/L22</f>
        <v>5</v>
      </c>
      <c r="M70" s="357">
        <f>M69/M22</f>
        <v>-0.39</v>
      </c>
      <c r="N70" s="358"/>
      <c r="O70" s="357">
        <f>O69/O22</f>
        <v>5</v>
      </c>
      <c r="P70" s="357">
        <f>P69/P22</f>
        <v>0</v>
      </c>
      <c r="Q70" s="358"/>
      <c r="R70" s="357">
        <f>R69/R22</f>
        <v>5</v>
      </c>
      <c r="S70" s="357">
        <f>S69/S22</f>
        <v>0.38166666666666665</v>
      </c>
      <c r="T70" s="358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  <c r="AI70" s="300"/>
      <c r="AJ70" s="300"/>
      <c r="AK70" s="300"/>
      <c r="AL70" s="300"/>
      <c r="AM70" s="300"/>
      <c r="AN70" s="300"/>
      <c r="AO70" s="300"/>
      <c r="AP70" s="300"/>
      <c r="AQ70" s="300"/>
      <c r="AR70" s="300"/>
      <c r="AS70" s="300"/>
      <c r="AT70" s="300"/>
      <c r="AU70" s="300"/>
      <c r="AV70" s="300"/>
      <c r="AW70" s="300"/>
      <c r="AX70" s="300"/>
      <c r="AY70" s="300"/>
      <c r="AZ70" s="300"/>
      <c r="BA70" s="300"/>
      <c r="BB70" s="300"/>
      <c r="BC70" s="300"/>
      <c r="BD70" s="424"/>
      <c r="BE70" s="357">
        <f>BE69/BE22</f>
        <v>11.526666666666666</v>
      </c>
      <c r="BF70" s="300"/>
      <c r="BG70" s="358"/>
    </row>
    <row r="71" spans="1:59" ht="4.5" customHeight="1" x14ac:dyDescent="0.25">
      <c r="A71" s="499"/>
      <c r="B71" s="501"/>
      <c r="C71" s="155"/>
      <c r="D71" s="155"/>
      <c r="E71" s="155"/>
      <c r="F71" s="155"/>
      <c r="G71" s="156"/>
      <c r="H71" s="147"/>
      <c r="I71" s="341"/>
      <c r="J71" s="156"/>
      <c r="K71" s="342"/>
      <c r="L71" s="341"/>
      <c r="M71" s="156"/>
      <c r="N71" s="370"/>
      <c r="O71" s="341"/>
      <c r="P71" s="156"/>
      <c r="Q71" s="370"/>
      <c r="R71" s="383"/>
      <c r="S71" s="158"/>
      <c r="T71" s="370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256"/>
      <c r="BE71" s="383"/>
      <c r="BF71" s="158"/>
      <c r="BG71" s="370"/>
    </row>
    <row r="72" spans="1:59" x14ac:dyDescent="0.25">
      <c r="A72" s="499"/>
      <c r="B72" s="501"/>
      <c r="C72" s="302" t="s">
        <v>237</v>
      </c>
      <c r="D72" s="177"/>
      <c r="E72" s="177"/>
      <c r="F72" s="145"/>
      <c r="G72" s="146"/>
      <c r="H72" s="147"/>
      <c r="I72" s="458">
        <f>I57+I60+I63+I66+I69</f>
        <v>12</v>
      </c>
      <c r="J72" s="458">
        <f>J57+J60+J63+J66+J69</f>
        <v>25.971051666666675</v>
      </c>
      <c r="K72" s="360"/>
      <c r="L72" s="458">
        <f>L57+L60+L63+L66+L69</f>
        <v>12</v>
      </c>
      <c r="M72" s="458">
        <f>M57+M60+M63+M66+M69</f>
        <v>-39.234849999999994</v>
      </c>
      <c r="N72" s="360"/>
      <c r="O72" s="458">
        <f>O57+O60+O63+O66+O69</f>
        <v>12</v>
      </c>
      <c r="P72" s="458">
        <f>P57+P60+P63+P66+P69</f>
        <v>0</v>
      </c>
      <c r="Q72" s="360"/>
      <c r="R72" s="359">
        <f>R57+R60+R63+R66+R69</f>
        <v>36</v>
      </c>
      <c r="S72" s="359">
        <f>S57+S60+S63+S66+S69</f>
        <v>-13.26379833333332</v>
      </c>
      <c r="T72" s="360"/>
      <c r="U72" s="297"/>
      <c r="V72" s="297"/>
      <c r="W72" s="297"/>
      <c r="X72" s="297"/>
      <c r="Y72" s="297"/>
      <c r="Z72" s="297"/>
      <c r="AA72" s="297"/>
      <c r="AB72" s="297"/>
      <c r="AC72" s="297"/>
      <c r="AD72" s="297"/>
      <c r="AE72" s="297"/>
      <c r="AF72" s="297"/>
      <c r="AG72" s="297"/>
      <c r="AH72" s="297"/>
      <c r="AI72" s="297"/>
      <c r="AJ72" s="297"/>
      <c r="AK72" s="297"/>
      <c r="AL72" s="297"/>
      <c r="AM72" s="297"/>
      <c r="AN72" s="297"/>
      <c r="AO72" s="297"/>
      <c r="AP72" s="297"/>
      <c r="AQ72" s="297"/>
      <c r="AR72" s="297"/>
      <c r="AS72" s="297"/>
      <c r="AT72" s="297"/>
      <c r="AU72" s="297"/>
      <c r="AV72" s="297"/>
      <c r="AW72" s="297"/>
      <c r="AX72" s="297"/>
      <c r="AY72" s="297"/>
      <c r="AZ72" s="297"/>
      <c r="BA72" s="297"/>
      <c r="BB72" s="297"/>
      <c r="BC72" s="297"/>
      <c r="BD72" s="425"/>
      <c r="BE72" s="359">
        <f t="shared" ref="BE72" si="27">BE57+BE60+BE63+BE66+BE69</f>
        <v>45.472403333333361</v>
      </c>
      <c r="BF72" s="297"/>
      <c r="BG72" s="360"/>
    </row>
    <row r="73" spans="1:59" x14ac:dyDescent="0.25">
      <c r="A73" s="499"/>
      <c r="B73" s="501"/>
      <c r="C73" s="302" t="s">
        <v>238</v>
      </c>
      <c r="D73" s="177"/>
      <c r="E73" s="177"/>
      <c r="F73" s="145"/>
      <c r="G73" s="146"/>
      <c r="H73" s="147"/>
      <c r="I73" s="357">
        <f>I72/I24</f>
        <v>0.17142857142857143</v>
      </c>
      <c r="J73" s="357">
        <f>J72/J24</f>
        <v>0.60360315029195066</v>
      </c>
      <c r="K73" s="358"/>
      <c r="L73" s="357">
        <f>L72/L24</f>
        <v>0.17142857142857143</v>
      </c>
      <c r="M73" s="357">
        <f>M72/M24</f>
        <v>-0.91187216309872698</v>
      </c>
      <c r="N73" s="358"/>
      <c r="O73" s="357">
        <f>O72/O24</f>
        <v>0.17142857142857143</v>
      </c>
      <c r="P73" s="357">
        <f>P72/P24</f>
        <v>0</v>
      </c>
      <c r="Q73" s="358"/>
      <c r="R73" s="357">
        <f>R72/R24</f>
        <v>0.17142857142857143</v>
      </c>
      <c r="S73" s="357">
        <f>S72/S24</f>
        <v>-0.10275633760225876</v>
      </c>
      <c r="T73" s="358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  <c r="AI73" s="300"/>
      <c r="AJ73" s="300"/>
      <c r="AK73" s="300"/>
      <c r="AL73" s="300"/>
      <c r="AM73" s="300"/>
      <c r="AN73" s="300"/>
      <c r="AO73" s="300"/>
      <c r="AP73" s="300"/>
      <c r="AQ73" s="300"/>
      <c r="AR73" s="300"/>
      <c r="AS73" s="300"/>
      <c r="AT73" s="300"/>
      <c r="AU73" s="300"/>
      <c r="AV73" s="300"/>
      <c r="AW73" s="300"/>
      <c r="AX73" s="300"/>
      <c r="AY73" s="300"/>
      <c r="AZ73" s="300"/>
      <c r="BA73" s="300"/>
      <c r="BB73" s="300"/>
      <c r="BC73" s="300"/>
      <c r="BD73" s="424"/>
      <c r="BE73" s="357">
        <f>BE72/BE24</f>
        <v>0.2165352539682541</v>
      </c>
      <c r="BF73" s="300"/>
      <c r="BG73" s="358"/>
    </row>
    <row r="74" spans="1:59" ht="5.25" customHeight="1" x14ac:dyDescent="0.25">
      <c r="A74" s="499"/>
      <c r="B74" s="501"/>
      <c r="C74" s="155"/>
      <c r="D74" s="155"/>
      <c r="E74" s="155"/>
      <c r="F74" s="155"/>
      <c r="G74" s="156"/>
      <c r="H74" s="147"/>
      <c r="I74" s="341"/>
      <c r="J74" s="156"/>
      <c r="K74" s="342"/>
      <c r="L74" s="341"/>
      <c r="M74" s="156"/>
      <c r="N74" s="370"/>
      <c r="O74" s="341"/>
      <c r="P74" s="156"/>
      <c r="Q74" s="370"/>
      <c r="R74" s="383"/>
      <c r="S74" s="158"/>
      <c r="T74" s="370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256"/>
      <c r="BE74" s="383"/>
      <c r="BF74" s="158"/>
      <c r="BG74" s="370"/>
    </row>
    <row r="75" spans="1:59" x14ac:dyDescent="0.25">
      <c r="A75" s="499"/>
      <c r="B75" s="501"/>
      <c r="C75" s="210" t="s">
        <v>239</v>
      </c>
      <c r="D75" s="177"/>
      <c r="E75" s="177"/>
      <c r="F75" s="145"/>
      <c r="G75" s="146"/>
      <c r="H75" s="147"/>
      <c r="I75" s="363">
        <v>10</v>
      </c>
      <c r="J75" s="169">
        <v>20.14</v>
      </c>
      <c r="K75" s="364"/>
      <c r="L75" s="363">
        <v>10</v>
      </c>
      <c r="M75" s="169">
        <v>20.14</v>
      </c>
      <c r="N75" s="364"/>
      <c r="O75" s="363">
        <v>10</v>
      </c>
      <c r="P75" s="169">
        <v>20.14</v>
      </c>
      <c r="Q75" s="364"/>
      <c r="R75" s="363">
        <f>I75+L75+O75</f>
        <v>30</v>
      </c>
      <c r="S75" s="169">
        <f>J75+M75+P75</f>
        <v>60.42</v>
      </c>
      <c r="T75" s="364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  <c r="AS75" s="169"/>
      <c r="AT75" s="169"/>
      <c r="AU75" s="169"/>
      <c r="AV75" s="169"/>
      <c r="AW75" s="169"/>
      <c r="AX75" s="169"/>
      <c r="AY75" s="169"/>
      <c r="AZ75" s="169"/>
      <c r="BA75" s="169"/>
      <c r="BB75" s="169"/>
      <c r="BC75" s="169"/>
      <c r="BD75" s="420"/>
      <c r="BE75" s="363">
        <f>SUM(I75:BD75)</f>
        <v>180.84</v>
      </c>
      <c r="BF75" s="169"/>
      <c r="BG75" s="364"/>
    </row>
    <row r="76" spans="1:59" x14ac:dyDescent="0.25">
      <c r="A76" s="499"/>
      <c r="B76" s="501"/>
      <c r="C76" s="210" t="s">
        <v>238</v>
      </c>
      <c r="D76" s="177"/>
      <c r="E76" s="177"/>
      <c r="F76" s="145"/>
      <c r="G76" s="146"/>
      <c r="H76" s="147"/>
      <c r="I76" s="361">
        <v>0.1894294179489629</v>
      </c>
      <c r="J76" s="445">
        <v>0.20899999999999999</v>
      </c>
      <c r="K76" s="362"/>
      <c r="L76" s="361">
        <v>0.1894294179489629</v>
      </c>
      <c r="M76" s="445">
        <v>0.20899999999999999</v>
      </c>
      <c r="N76" s="364"/>
      <c r="O76" s="361">
        <v>0.1894294179489629</v>
      </c>
      <c r="P76" s="445">
        <v>0.20899999999999999</v>
      </c>
      <c r="Q76" s="364"/>
      <c r="R76" s="400">
        <v>0.1894294179489629</v>
      </c>
      <c r="S76" s="446">
        <v>0.20899999999999999</v>
      </c>
      <c r="T76" s="364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420"/>
      <c r="BE76" s="400">
        <f>BE75/BE28</f>
        <v>1.3395555555555556</v>
      </c>
      <c r="BF76" s="169"/>
      <c r="BG76" s="364"/>
    </row>
    <row r="77" spans="1:59" ht="6" customHeight="1" x14ac:dyDescent="0.25">
      <c r="A77" s="499"/>
      <c r="B77" s="501"/>
      <c r="C77" s="155"/>
      <c r="D77" s="155"/>
      <c r="E77" s="155"/>
      <c r="F77" s="155"/>
      <c r="G77" s="156"/>
      <c r="H77" s="147"/>
      <c r="I77" s="341"/>
      <c r="J77" s="156"/>
      <c r="K77" s="342"/>
      <c r="L77" s="341"/>
      <c r="M77" s="156"/>
      <c r="N77" s="370"/>
      <c r="O77" s="341"/>
      <c r="P77" s="156"/>
      <c r="Q77" s="370"/>
      <c r="R77" s="383"/>
      <c r="S77" s="158"/>
      <c r="T77" s="370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256"/>
      <c r="BE77" s="383"/>
      <c r="BF77" s="158"/>
      <c r="BG77" s="370"/>
    </row>
    <row r="78" spans="1:59" x14ac:dyDescent="0.25">
      <c r="A78" s="499"/>
      <c r="B78" s="501"/>
      <c r="C78" s="210" t="s">
        <v>240</v>
      </c>
      <c r="D78" s="177"/>
      <c r="E78" s="177"/>
      <c r="F78" s="145"/>
      <c r="G78" s="146"/>
      <c r="H78" s="147"/>
      <c r="I78" s="359">
        <v>2</v>
      </c>
      <c r="J78" s="297">
        <v>-9.82</v>
      </c>
      <c r="K78" s="360"/>
      <c r="L78" s="359">
        <v>2</v>
      </c>
      <c r="M78" s="297">
        <v>-9.82</v>
      </c>
      <c r="N78" s="364"/>
      <c r="O78" s="359">
        <v>2</v>
      </c>
      <c r="P78" s="297">
        <v>-9.82</v>
      </c>
      <c r="Q78" s="364"/>
      <c r="R78" s="359">
        <f>I78+L78+O78</f>
        <v>6</v>
      </c>
      <c r="S78" s="169">
        <f>J78+M78+P78</f>
        <v>-29.46</v>
      </c>
      <c r="T78" s="364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69"/>
      <c r="AT78" s="169"/>
      <c r="AU78" s="169"/>
      <c r="AV78" s="169"/>
      <c r="AW78" s="169"/>
      <c r="AX78" s="169"/>
      <c r="AY78" s="169"/>
      <c r="AZ78" s="169"/>
      <c r="BA78" s="169"/>
      <c r="BB78" s="169"/>
      <c r="BC78" s="169"/>
      <c r="BD78" s="420"/>
      <c r="BE78" s="359">
        <f>SUM(I78:BD78)</f>
        <v>-46.92</v>
      </c>
      <c r="BF78" s="169"/>
      <c r="BG78" s="364"/>
    </row>
    <row r="79" spans="1:59" x14ac:dyDescent="0.25">
      <c r="A79" s="499"/>
      <c r="B79" s="501"/>
      <c r="C79" s="210" t="s">
        <v>238</v>
      </c>
      <c r="D79" s="177"/>
      <c r="E79" s="177"/>
      <c r="F79" s="145"/>
      <c r="G79" s="146"/>
      <c r="H79" s="147"/>
      <c r="I79" s="361">
        <f t="shared" ref="I79:J79" si="28">I78/I30</f>
        <v>0.33333333333333331</v>
      </c>
      <c r="J79" s="361">
        <f t="shared" si="28"/>
        <v>-1.964</v>
      </c>
      <c r="K79" s="362"/>
      <c r="L79" s="361">
        <f t="shared" ref="L79:M79" si="29">L78/L30</f>
        <v>0.33333333333333331</v>
      </c>
      <c r="M79" s="361">
        <f t="shared" si="29"/>
        <v>-1.964</v>
      </c>
      <c r="N79" s="362"/>
      <c r="O79" s="361">
        <f t="shared" ref="O79:P79" si="30">O78/O30</f>
        <v>0.33333333333333331</v>
      </c>
      <c r="P79" s="361">
        <f t="shared" si="30"/>
        <v>-1.964</v>
      </c>
      <c r="Q79" s="362"/>
      <c r="R79" s="361">
        <f t="shared" ref="R79:S79" si="31">R78/R30</f>
        <v>0.33333333333333331</v>
      </c>
      <c r="S79" s="361">
        <f t="shared" si="31"/>
        <v>-1.964</v>
      </c>
      <c r="T79" s="362"/>
      <c r="U79" s="299"/>
      <c r="V79" s="299"/>
      <c r="W79" s="299"/>
      <c r="X79" s="299"/>
      <c r="Y79" s="299"/>
      <c r="Z79" s="299"/>
      <c r="AA79" s="299"/>
      <c r="AB79" s="299"/>
      <c r="AC79" s="299"/>
      <c r="AD79" s="299"/>
      <c r="AE79" s="299"/>
      <c r="AF79" s="299"/>
      <c r="AG79" s="299"/>
      <c r="AH79" s="299"/>
      <c r="AI79" s="299"/>
      <c r="AJ79" s="299"/>
      <c r="AK79" s="299"/>
      <c r="AL79" s="299"/>
      <c r="AM79" s="299"/>
      <c r="AN79" s="299"/>
      <c r="AO79" s="299"/>
      <c r="AP79" s="299"/>
      <c r="AQ79" s="299"/>
      <c r="AR79" s="299"/>
      <c r="AS79" s="299"/>
      <c r="AT79" s="299"/>
      <c r="AU79" s="299"/>
      <c r="AV79" s="299"/>
      <c r="AW79" s="299"/>
      <c r="AX79" s="299"/>
      <c r="AY79" s="299"/>
      <c r="AZ79" s="299"/>
      <c r="BA79" s="299"/>
      <c r="BB79" s="299"/>
      <c r="BC79" s="299"/>
      <c r="BD79" s="423"/>
      <c r="BE79" s="361">
        <f>BE78/BE30</f>
        <v>-2.6066666666666669</v>
      </c>
      <c r="BF79" s="299"/>
      <c r="BG79" s="362"/>
    </row>
    <row r="80" spans="1:59" ht="6" customHeight="1" x14ac:dyDescent="0.25">
      <c r="A80" s="499"/>
      <c r="B80" s="501"/>
      <c r="C80" s="155"/>
      <c r="D80" s="155"/>
      <c r="E80" s="155"/>
      <c r="F80" s="155"/>
      <c r="G80" s="156"/>
      <c r="H80" s="147"/>
      <c r="I80" s="341"/>
      <c r="J80" s="156"/>
      <c r="K80" s="342"/>
      <c r="L80" s="341"/>
      <c r="M80" s="156"/>
      <c r="N80" s="370"/>
      <c r="O80" s="341"/>
      <c r="P80" s="156"/>
      <c r="Q80" s="370"/>
      <c r="R80" s="383"/>
      <c r="S80" s="158"/>
      <c r="T80" s="370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256"/>
      <c r="BE80" s="383"/>
      <c r="BF80" s="158"/>
      <c r="BG80" s="370"/>
    </row>
    <row r="81" spans="1:60" x14ac:dyDescent="0.25">
      <c r="A81" s="499"/>
      <c r="B81" s="501"/>
      <c r="C81" s="178" t="s">
        <v>241</v>
      </c>
      <c r="D81" s="177"/>
      <c r="E81" s="177"/>
      <c r="F81" s="145"/>
      <c r="G81" s="146"/>
      <c r="H81" s="147"/>
      <c r="I81" s="365">
        <v>6.9677360000000013</v>
      </c>
      <c r="J81" s="298">
        <v>11.58</v>
      </c>
      <c r="K81" s="366"/>
      <c r="L81" s="365">
        <v>6.9677360000000013</v>
      </c>
      <c r="M81" s="298">
        <v>11.58</v>
      </c>
      <c r="N81" s="364"/>
      <c r="O81" s="365">
        <v>6.9677360000000013</v>
      </c>
      <c r="P81" s="298">
        <v>11.58</v>
      </c>
      <c r="Q81" s="364"/>
      <c r="R81" s="365">
        <f>I81+L81+O81</f>
        <v>20.903208000000003</v>
      </c>
      <c r="S81" s="169">
        <f>J81+M81+P81</f>
        <v>34.74</v>
      </c>
      <c r="T81" s="364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69"/>
      <c r="AW81" s="169"/>
      <c r="AX81" s="169"/>
      <c r="AY81" s="169"/>
      <c r="AZ81" s="169"/>
      <c r="BA81" s="169"/>
      <c r="BB81" s="169"/>
      <c r="BC81" s="169"/>
      <c r="BD81" s="420"/>
      <c r="BE81" s="365">
        <f>SUM(I81:BD81)</f>
        <v>111.286416</v>
      </c>
      <c r="BF81" s="169"/>
      <c r="BG81" s="364"/>
    </row>
    <row r="82" spans="1:60" x14ac:dyDescent="0.25">
      <c r="A82" s="499"/>
      <c r="B82" s="501"/>
      <c r="C82" s="178" t="s">
        <v>238</v>
      </c>
      <c r="D82" s="177"/>
      <c r="E82" s="177"/>
      <c r="F82" s="145"/>
      <c r="G82" s="146"/>
      <c r="H82" s="147"/>
      <c r="I82" s="361">
        <f>I81/I32</f>
        <v>0.22425928548439011</v>
      </c>
      <c r="J82" s="361">
        <f>J81/J32</f>
        <v>0.34382157382395506</v>
      </c>
      <c r="K82" s="362"/>
      <c r="L82" s="361">
        <f>L81/L32</f>
        <v>0.22425928548439011</v>
      </c>
      <c r="M82" s="361">
        <f>M81/M32</f>
        <v>0.34382157382395506</v>
      </c>
      <c r="N82" s="362"/>
      <c r="O82" s="361">
        <f>O81/O32</f>
        <v>0.22425928548439011</v>
      </c>
      <c r="P82" s="361">
        <f>P81/P32</f>
        <v>0.34382157382395506</v>
      </c>
      <c r="Q82" s="362"/>
      <c r="R82" s="361">
        <f>R81/R32</f>
        <v>0.22425928548439009</v>
      </c>
      <c r="S82" s="361">
        <f>S81/S32</f>
        <v>0.34382157382395512</v>
      </c>
      <c r="T82" s="362"/>
      <c r="U82" s="299"/>
      <c r="V82" s="299"/>
      <c r="W82" s="299"/>
      <c r="X82" s="299"/>
      <c r="Y82" s="299"/>
      <c r="Z82" s="299"/>
      <c r="AA82" s="299"/>
      <c r="AB82" s="299"/>
      <c r="AC82" s="299"/>
      <c r="AD82" s="299"/>
      <c r="AE82" s="299"/>
      <c r="AF82" s="299"/>
      <c r="AG82" s="299"/>
      <c r="AH82" s="299"/>
      <c r="AI82" s="299"/>
      <c r="AJ82" s="299"/>
      <c r="AK82" s="299"/>
      <c r="AL82" s="299"/>
      <c r="AM82" s="299"/>
      <c r="AN82" s="299"/>
      <c r="AO82" s="299"/>
      <c r="AP82" s="299"/>
      <c r="AQ82" s="299"/>
      <c r="AR82" s="299"/>
      <c r="AS82" s="299"/>
      <c r="AT82" s="299"/>
      <c r="AU82" s="299"/>
      <c r="AV82" s="299"/>
      <c r="AW82" s="299"/>
      <c r="AX82" s="299"/>
      <c r="AY82" s="299"/>
      <c r="AZ82" s="299"/>
      <c r="BA82" s="299"/>
      <c r="BB82" s="299"/>
      <c r="BC82" s="299"/>
      <c r="BD82" s="423"/>
      <c r="BE82" s="361">
        <f>BE81/BE32</f>
        <v>1.1939321532024461</v>
      </c>
      <c r="BF82" s="299"/>
      <c r="BG82" s="362"/>
    </row>
    <row r="83" spans="1:60" ht="6" customHeight="1" x14ac:dyDescent="0.25">
      <c r="A83" s="499"/>
      <c r="B83" s="501"/>
      <c r="C83" s="155"/>
      <c r="D83" s="155"/>
      <c r="E83" s="155"/>
      <c r="F83" s="155"/>
      <c r="G83" s="156"/>
      <c r="H83" s="147"/>
      <c r="I83" s="341"/>
      <c r="J83" s="156"/>
      <c r="K83" s="342"/>
      <c r="L83" s="341"/>
      <c r="M83" s="156"/>
      <c r="N83" s="370"/>
      <c r="O83" s="341"/>
      <c r="P83" s="156"/>
      <c r="Q83" s="370"/>
      <c r="R83" s="383"/>
      <c r="S83" s="158"/>
      <c r="T83" s="370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256"/>
      <c r="BE83" s="383"/>
      <c r="BF83" s="158"/>
      <c r="BG83" s="370"/>
    </row>
    <row r="84" spans="1:60" x14ac:dyDescent="0.25">
      <c r="A84" s="499"/>
      <c r="B84" s="501"/>
      <c r="C84" s="302" t="s">
        <v>243</v>
      </c>
      <c r="D84" s="177"/>
      <c r="E84" s="177"/>
      <c r="F84" s="145"/>
      <c r="G84" s="146"/>
      <c r="H84" s="147"/>
      <c r="I84" s="359">
        <f>I75+I78+I81</f>
        <v>18.967736000000002</v>
      </c>
      <c r="J84" s="359">
        <f>J75+J78+J81</f>
        <v>21.9</v>
      </c>
      <c r="K84" s="360"/>
      <c r="L84" s="359">
        <f>L75+L78+L81</f>
        <v>18.967736000000002</v>
      </c>
      <c r="M84" s="359">
        <f>M75+M78+M81</f>
        <v>21.9</v>
      </c>
      <c r="N84" s="360"/>
      <c r="O84" s="359">
        <f>O75+O78+O81</f>
        <v>18.967736000000002</v>
      </c>
      <c r="P84" s="359">
        <f>P75+P78+P81</f>
        <v>21.9</v>
      </c>
      <c r="Q84" s="360"/>
      <c r="R84" s="359">
        <f>R75+R78+R81</f>
        <v>56.903208000000006</v>
      </c>
      <c r="S84" s="359">
        <f>J84+M84+P84</f>
        <v>65.699999999999989</v>
      </c>
      <c r="T84" s="360"/>
      <c r="U84" s="297"/>
      <c r="V84" s="297"/>
      <c r="W84" s="297"/>
      <c r="X84" s="297"/>
      <c r="Y84" s="297"/>
      <c r="Z84" s="297"/>
      <c r="AA84" s="297"/>
      <c r="AB84" s="297"/>
      <c r="AC84" s="297"/>
      <c r="AD84" s="297"/>
      <c r="AE84" s="297"/>
      <c r="AF84" s="297"/>
      <c r="AG84" s="297"/>
      <c r="AH84" s="297"/>
      <c r="AI84" s="297"/>
      <c r="AJ84" s="297"/>
      <c r="AK84" s="297"/>
      <c r="AL84" s="297"/>
      <c r="AM84" s="297"/>
      <c r="AN84" s="297"/>
      <c r="AO84" s="297"/>
      <c r="AP84" s="297"/>
      <c r="AQ84" s="297"/>
      <c r="AR84" s="297"/>
      <c r="AS84" s="297"/>
      <c r="AT84" s="297"/>
      <c r="AU84" s="297"/>
      <c r="AV84" s="297"/>
      <c r="AW84" s="297"/>
      <c r="AX84" s="297"/>
      <c r="AY84" s="297"/>
      <c r="AZ84" s="297"/>
      <c r="BA84" s="297"/>
      <c r="BB84" s="297"/>
      <c r="BC84" s="297"/>
      <c r="BD84" s="425"/>
      <c r="BE84" s="359">
        <f t="shared" ref="L84:BE84" si="32">BE75+BE78+BE81</f>
        <v>245.20641600000002</v>
      </c>
      <c r="BF84" s="297"/>
      <c r="BG84" s="360"/>
    </row>
    <row r="85" spans="1:60" x14ac:dyDescent="0.25">
      <c r="A85" s="499"/>
      <c r="B85" s="501"/>
      <c r="C85" s="302" t="s">
        <v>238</v>
      </c>
      <c r="D85" s="177"/>
      <c r="E85" s="177"/>
      <c r="F85" s="145"/>
      <c r="G85" s="146"/>
      <c r="H85" s="147"/>
      <c r="I85" s="361">
        <f>I84/I34</f>
        <v>0.23111655903497019</v>
      </c>
      <c r="J85" s="361">
        <f>J84/J34</f>
        <v>0.24420089772264261</v>
      </c>
      <c r="K85" s="362"/>
      <c r="L85" s="361">
        <f>L84/L34</f>
        <v>0.23111655903497019</v>
      </c>
      <c r="M85" s="361">
        <f>M84/M34</f>
        <v>0.24420089772264261</v>
      </c>
      <c r="N85" s="362"/>
      <c r="O85" s="361">
        <f>O84/O34</f>
        <v>0.23111655903497019</v>
      </c>
      <c r="P85" s="361">
        <f>P84/P34</f>
        <v>0.24420089772264261</v>
      </c>
      <c r="Q85" s="362"/>
      <c r="R85" s="361">
        <f>R84/R34</f>
        <v>0.23111655903497019</v>
      </c>
      <c r="S85" s="361">
        <f>S84/S34</f>
        <v>0.24420089772264256</v>
      </c>
      <c r="T85" s="362"/>
      <c r="U85" s="299"/>
      <c r="V85" s="299"/>
      <c r="W85" s="299"/>
      <c r="X85" s="299"/>
      <c r="Y85" s="299"/>
      <c r="Z85" s="299"/>
      <c r="AA85" s="299"/>
      <c r="AB85" s="299"/>
      <c r="AC85" s="299"/>
      <c r="AD85" s="299"/>
      <c r="AE85" s="299"/>
      <c r="AF85" s="299"/>
      <c r="AG85" s="299"/>
      <c r="AH85" s="299"/>
      <c r="AI85" s="299"/>
      <c r="AJ85" s="299"/>
      <c r="AK85" s="299"/>
      <c r="AL85" s="299"/>
      <c r="AM85" s="299"/>
      <c r="AN85" s="299"/>
      <c r="AO85" s="299"/>
      <c r="AP85" s="299"/>
      <c r="AQ85" s="299"/>
      <c r="AR85" s="299"/>
      <c r="AS85" s="299"/>
      <c r="AT85" s="299"/>
      <c r="AU85" s="299"/>
      <c r="AV85" s="299"/>
      <c r="AW85" s="299"/>
      <c r="AX85" s="299"/>
      <c r="AY85" s="299"/>
      <c r="AZ85" s="299"/>
      <c r="BA85" s="299"/>
      <c r="BB85" s="299"/>
      <c r="BC85" s="299"/>
      <c r="BD85" s="423"/>
      <c r="BE85" s="361">
        <f>BE84/BE34</f>
        <v>0.99592386986718662</v>
      </c>
      <c r="BF85" s="299"/>
      <c r="BG85" s="362"/>
    </row>
    <row r="86" spans="1:60" ht="6" customHeight="1" x14ac:dyDescent="0.25">
      <c r="A86" s="499"/>
      <c r="B86" s="501"/>
      <c r="C86" s="155"/>
      <c r="D86" s="155"/>
      <c r="E86" s="155"/>
      <c r="F86" s="155"/>
      <c r="G86" s="156"/>
      <c r="H86" s="147"/>
      <c r="I86" s="341"/>
      <c r="J86" s="156"/>
      <c r="K86" s="342"/>
      <c r="L86" s="341"/>
      <c r="M86" s="156"/>
      <c r="N86" s="370"/>
      <c r="O86" s="341"/>
      <c r="P86" s="156"/>
      <c r="Q86" s="370"/>
      <c r="R86" s="383"/>
      <c r="S86" s="158"/>
      <c r="T86" s="370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256"/>
      <c r="BE86" s="383"/>
      <c r="BF86" s="158"/>
      <c r="BG86" s="370"/>
    </row>
    <row r="87" spans="1:60" x14ac:dyDescent="0.25">
      <c r="A87" s="499"/>
      <c r="B87" s="501"/>
      <c r="C87" s="178" t="s">
        <v>242</v>
      </c>
      <c r="D87" s="177"/>
      <c r="E87" s="177"/>
      <c r="F87" s="145"/>
      <c r="G87" s="146"/>
      <c r="H87" s="147"/>
      <c r="I87" s="367">
        <v>5</v>
      </c>
      <c r="J87" s="257">
        <v>9.06</v>
      </c>
      <c r="K87" s="368"/>
      <c r="L87" s="367">
        <v>5</v>
      </c>
      <c r="M87" s="257">
        <v>9.06</v>
      </c>
      <c r="N87" s="364"/>
      <c r="O87" s="367">
        <v>5</v>
      </c>
      <c r="P87" s="257">
        <v>9.06</v>
      </c>
      <c r="Q87" s="364"/>
      <c r="R87" s="363">
        <f>I87+L87+O87</f>
        <v>15</v>
      </c>
      <c r="S87" s="169">
        <f>J87+M87+P87</f>
        <v>27.18</v>
      </c>
      <c r="T87" s="364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169"/>
      <c r="AT87" s="169"/>
      <c r="AU87" s="169"/>
      <c r="AV87" s="169"/>
      <c r="AW87" s="169"/>
      <c r="AX87" s="169"/>
      <c r="AY87" s="169"/>
      <c r="AZ87" s="169"/>
      <c r="BA87" s="169"/>
      <c r="BB87" s="169"/>
      <c r="BC87" s="169"/>
      <c r="BD87" s="420"/>
      <c r="BE87" s="363">
        <f>SUM(I87:BD87)</f>
        <v>84.360000000000014</v>
      </c>
      <c r="BF87" s="169"/>
      <c r="BG87" s="364"/>
    </row>
    <row r="88" spans="1:60" x14ac:dyDescent="0.25">
      <c r="A88" s="499"/>
      <c r="B88" s="501"/>
      <c r="C88" s="178" t="s">
        <v>238</v>
      </c>
      <c r="D88" s="177"/>
      <c r="E88" s="177"/>
      <c r="F88" s="145"/>
      <c r="G88" s="146"/>
      <c r="H88" s="147"/>
      <c r="I88" s="361">
        <f>I87/I36</f>
        <v>0.29411764705882354</v>
      </c>
      <c r="J88" s="361">
        <f>J87/J36</f>
        <v>0.60399999999999998</v>
      </c>
      <c r="K88" s="362"/>
      <c r="L88" s="361">
        <f>L87/L36</f>
        <v>0.29411764705882354</v>
      </c>
      <c r="M88" s="361">
        <f>M87/M36</f>
        <v>0.60399999999999998</v>
      </c>
      <c r="N88" s="362"/>
      <c r="O88" s="361">
        <f>O87/O36</f>
        <v>0.29411764705882354</v>
      </c>
      <c r="P88" s="361">
        <f>P87/P36</f>
        <v>0.60399999999999998</v>
      </c>
      <c r="Q88" s="362"/>
      <c r="R88" s="361">
        <f>R87/R36</f>
        <v>0.29411764705882354</v>
      </c>
      <c r="S88" s="361">
        <f>S87/S36</f>
        <v>0.60399999999999998</v>
      </c>
      <c r="T88" s="362"/>
      <c r="U88" s="299"/>
      <c r="V88" s="299"/>
      <c r="W88" s="299"/>
      <c r="X88" s="299"/>
      <c r="Y88" s="299"/>
      <c r="Z88" s="299"/>
      <c r="AA88" s="299"/>
      <c r="AB88" s="299"/>
      <c r="AC88" s="299"/>
      <c r="AD88" s="299"/>
      <c r="AE88" s="299"/>
      <c r="AF88" s="299"/>
      <c r="AG88" s="299"/>
      <c r="AH88" s="299"/>
      <c r="AI88" s="299"/>
      <c r="AJ88" s="299"/>
      <c r="AK88" s="299"/>
      <c r="AL88" s="299"/>
      <c r="AM88" s="299"/>
      <c r="AN88" s="299"/>
      <c r="AO88" s="299"/>
      <c r="AP88" s="299"/>
      <c r="AQ88" s="299"/>
      <c r="AR88" s="299"/>
      <c r="AS88" s="299"/>
      <c r="AT88" s="299"/>
      <c r="AU88" s="299"/>
      <c r="AV88" s="299"/>
      <c r="AW88" s="299"/>
      <c r="AX88" s="299"/>
      <c r="AY88" s="299"/>
      <c r="AZ88" s="299"/>
      <c r="BA88" s="299"/>
      <c r="BB88" s="299"/>
      <c r="BC88" s="299"/>
      <c r="BD88" s="423"/>
      <c r="BE88" s="361">
        <f>BE87/BE36</f>
        <v>1.6541176470588237</v>
      </c>
      <c r="BF88" s="299"/>
      <c r="BG88" s="362"/>
    </row>
    <row r="89" spans="1:60" ht="5.25" customHeight="1" x14ac:dyDescent="0.25">
      <c r="A89" s="499"/>
      <c r="B89" s="501"/>
      <c r="C89" s="155"/>
      <c r="D89" s="155"/>
      <c r="E89" s="155"/>
      <c r="F89" s="155"/>
      <c r="G89" s="156"/>
      <c r="H89" s="147"/>
      <c r="I89" s="341"/>
      <c r="J89" s="156"/>
      <c r="K89" s="342"/>
      <c r="L89" s="341"/>
      <c r="M89" s="156"/>
      <c r="N89" s="370"/>
      <c r="O89" s="341"/>
      <c r="P89" s="156"/>
      <c r="Q89" s="370"/>
      <c r="R89" s="383"/>
      <c r="S89" s="158"/>
      <c r="T89" s="370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256"/>
      <c r="BE89" s="383"/>
      <c r="BF89" s="158"/>
      <c r="BG89" s="370"/>
    </row>
    <row r="90" spans="1:60" x14ac:dyDescent="0.25">
      <c r="A90" s="499"/>
      <c r="B90" s="501"/>
      <c r="C90" s="250" t="s">
        <v>244</v>
      </c>
      <c r="D90" s="177"/>
      <c r="E90" s="177"/>
      <c r="F90" s="145"/>
      <c r="G90" s="146"/>
      <c r="H90" s="147"/>
      <c r="I90" s="359">
        <f>I72+I84+I87</f>
        <v>35.967736000000002</v>
      </c>
      <c r="J90" s="359">
        <f>J72+J84+J87</f>
        <v>56.931051666666676</v>
      </c>
      <c r="K90" s="360"/>
      <c r="L90" s="359">
        <f>L72+L84+L87</f>
        <v>35.967736000000002</v>
      </c>
      <c r="M90" s="359">
        <f>M72+M84+M87</f>
        <v>-8.2748499999999954</v>
      </c>
      <c r="N90" s="360"/>
      <c r="O90" s="359">
        <f>O72+O84+O87</f>
        <v>35.967736000000002</v>
      </c>
      <c r="P90" s="359">
        <f>P72+P84+P87</f>
        <v>30.96</v>
      </c>
      <c r="Q90" s="360"/>
      <c r="R90" s="359">
        <f>R72+R84+R87</f>
        <v>107.90320800000001</v>
      </c>
      <c r="S90" s="359">
        <f>S72+S84+S87</f>
        <v>79.616201666666669</v>
      </c>
      <c r="T90" s="360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  <c r="AM90" s="297"/>
      <c r="AN90" s="297"/>
      <c r="AO90" s="297"/>
      <c r="AP90" s="297"/>
      <c r="AQ90" s="297"/>
      <c r="AR90" s="297"/>
      <c r="AS90" s="297"/>
      <c r="AT90" s="297"/>
      <c r="AU90" s="297"/>
      <c r="AV90" s="297"/>
      <c r="AW90" s="297"/>
      <c r="AX90" s="297"/>
      <c r="AY90" s="297"/>
      <c r="AZ90" s="297"/>
      <c r="BA90" s="297"/>
      <c r="BB90" s="297"/>
      <c r="BC90" s="297"/>
      <c r="BD90" s="425"/>
      <c r="BE90" s="359">
        <f t="shared" ref="BE90" si="33">BE72+BE84+BE87</f>
        <v>375.03881933333338</v>
      </c>
      <c r="BF90" s="297"/>
      <c r="BG90" s="360"/>
      <c r="BH90" s="460"/>
    </row>
    <row r="91" spans="1:60" x14ac:dyDescent="0.25">
      <c r="A91" s="499"/>
      <c r="B91" s="501"/>
      <c r="C91" s="250" t="s">
        <v>238</v>
      </c>
      <c r="D91" s="177"/>
      <c r="E91" s="177"/>
      <c r="F91" s="145"/>
      <c r="G91" s="146"/>
      <c r="H91" s="147"/>
      <c r="I91" s="361">
        <f>I90/I38</f>
        <v>0.21273872360560717</v>
      </c>
      <c r="J91" s="361">
        <f>J90/J38</f>
        <v>0.38543242421796964</v>
      </c>
      <c r="K91" s="362"/>
      <c r="L91" s="361">
        <f>L90/L38</f>
        <v>0.21273872360560717</v>
      </c>
      <c r="M91" s="361">
        <f>M90/M38</f>
        <v>-5.6022072351905386E-2</v>
      </c>
      <c r="N91" s="362"/>
      <c r="O91" s="361">
        <f>O90/O38</f>
        <v>0.21273872360560717</v>
      </c>
      <c r="P91" s="361">
        <f>P90/P38</f>
        <v>0.20960420551611109</v>
      </c>
      <c r="Q91" s="362"/>
      <c r="R91" s="361">
        <f>R90/R38</f>
        <v>0.21273872360560717</v>
      </c>
      <c r="S91" s="361">
        <f>S90/S38</f>
        <v>0.17967151912739174</v>
      </c>
      <c r="T91" s="362"/>
      <c r="U91" s="299"/>
      <c r="V91" s="299"/>
      <c r="W91" s="299"/>
      <c r="X91" s="299"/>
      <c r="Y91" s="299"/>
      <c r="Z91" s="299"/>
      <c r="AA91" s="299"/>
      <c r="AB91" s="299"/>
      <c r="AC91" s="299"/>
      <c r="AD91" s="299"/>
      <c r="AE91" s="299"/>
      <c r="AF91" s="299"/>
      <c r="AG91" s="299"/>
      <c r="AH91" s="299"/>
      <c r="AI91" s="299"/>
      <c r="AJ91" s="299"/>
      <c r="AK91" s="299"/>
      <c r="AL91" s="299"/>
      <c r="AM91" s="299"/>
      <c r="AN91" s="299"/>
      <c r="AO91" s="299"/>
      <c r="AP91" s="299"/>
      <c r="AQ91" s="299"/>
      <c r="AR91" s="299"/>
      <c r="AS91" s="299"/>
      <c r="AT91" s="299"/>
      <c r="AU91" s="299"/>
      <c r="AV91" s="299"/>
      <c r="AW91" s="299"/>
      <c r="AX91" s="299"/>
      <c r="AY91" s="299"/>
      <c r="AZ91" s="299"/>
      <c r="BA91" s="299"/>
      <c r="BB91" s="299"/>
      <c r="BC91" s="299"/>
      <c r="BD91" s="423"/>
      <c r="BE91" s="361">
        <f>BE90/BE38</f>
        <v>0.73941527046653921</v>
      </c>
      <c r="BF91" s="299"/>
      <c r="BG91" s="362"/>
    </row>
    <row r="92" spans="1:60" s="211" customFormat="1" ht="5.25" customHeight="1" x14ac:dyDescent="0.25">
      <c r="A92" s="154"/>
      <c r="B92" s="166"/>
      <c r="C92" s="155"/>
      <c r="D92" s="155"/>
      <c r="E92" s="155"/>
      <c r="F92" s="155"/>
      <c r="G92" s="156"/>
      <c r="H92" s="147"/>
      <c r="I92" s="369"/>
      <c r="J92" s="256"/>
      <c r="K92" s="370"/>
      <c r="L92" s="401"/>
      <c r="M92" s="158"/>
      <c r="N92" s="370"/>
      <c r="O92" s="401"/>
      <c r="P92" s="158"/>
      <c r="Q92" s="370"/>
      <c r="R92" s="401"/>
      <c r="S92" s="158"/>
      <c r="T92" s="370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256"/>
      <c r="BE92" s="401"/>
      <c r="BF92" s="158"/>
      <c r="BG92" s="370"/>
    </row>
    <row r="93" spans="1:60" ht="12.75" hidden="1" customHeight="1" x14ac:dyDescent="0.25">
      <c r="A93" s="495" t="s">
        <v>81</v>
      </c>
      <c r="B93" s="503" t="s">
        <v>82</v>
      </c>
      <c r="C93" s="178" t="s">
        <v>245</v>
      </c>
      <c r="D93" s="177"/>
      <c r="E93" s="177"/>
      <c r="F93" s="145"/>
      <c r="G93" s="146"/>
      <c r="H93" s="147"/>
      <c r="I93" s="355">
        <f>('Revenue Spilt IB'!E40+'Revenue Spilt IB'!E41)/100000</f>
        <v>44.386650000000003</v>
      </c>
      <c r="J93" s="298"/>
      <c r="K93" s="356"/>
      <c r="L93" s="402">
        <f>('Revenue Spilt IB'!G40+'Revenue Spilt IB'!G41)/100000</f>
        <v>44.198639999999997</v>
      </c>
      <c r="M93" s="169"/>
      <c r="N93" s="364"/>
      <c r="O93" s="402"/>
      <c r="P93" s="169"/>
      <c r="Q93" s="364"/>
      <c r="R93" s="402"/>
      <c r="S93" s="169"/>
      <c r="T93" s="364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69"/>
      <c r="AG93" s="169"/>
      <c r="AH93" s="169"/>
      <c r="AI93" s="169"/>
      <c r="AJ93" s="169"/>
      <c r="AK93" s="169"/>
      <c r="AL93" s="169"/>
      <c r="AM93" s="169"/>
      <c r="AN93" s="169"/>
      <c r="AO93" s="169"/>
      <c r="AP93" s="169"/>
      <c r="AQ93" s="169"/>
      <c r="AR93" s="169"/>
      <c r="AS93" s="169"/>
      <c r="AT93" s="169"/>
      <c r="AU93" s="169"/>
      <c r="AV93" s="169"/>
      <c r="AW93" s="169"/>
      <c r="AX93" s="169"/>
      <c r="AY93" s="169"/>
      <c r="AZ93" s="169"/>
      <c r="BA93" s="169"/>
      <c r="BB93" s="169"/>
      <c r="BC93" s="169"/>
      <c r="BD93" s="420"/>
      <c r="BE93" s="402">
        <f>SUM(I93:BD93)</f>
        <v>88.585290000000001</v>
      </c>
      <c r="BF93" s="169"/>
      <c r="BG93" s="364"/>
    </row>
    <row r="94" spans="1:60" ht="12.75" hidden="1" customHeight="1" x14ac:dyDescent="0.25">
      <c r="A94" s="497"/>
      <c r="B94" s="504"/>
      <c r="C94" s="178" t="s">
        <v>17</v>
      </c>
      <c r="D94" s="177"/>
      <c r="E94" s="177"/>
      <c r="F94" s="145"/>
      <c r="G94" s="146"/>
      <c r="H94" s="147"/>
      <c r="I94" s="359">
        <f>'Revenue Spilt IB'!E61/100000</f>
        <v>0.77029999999999998</v>
      </c>
      <c r="J94" s="297"/>
      <c r="K94" s="360"/>
      <c r="L94" s="359">
        <f>'Revenue Spilt IB'!G61/100000</f>
        <v>0.84763999999999995</v>
      </c>
      <c r="M94" s="169"/>
      <c r="N94" s="364"/>
      <c r="O94" s="359"/>
      <c r="P94" s="169"/>
      <c r="Q94" s="364"/>
      <c r="R94" s="359"/>
      <c r="S94" s="169"/>
      <c r="T94" s="364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69"/>
      <c r="AG94" s="169"/>
      <c r="AH94" s="169"/>
      <c r="AI94" s="169"/>
      <c r="AJ94" s="169"/>
      <c r="AK94" s="169"/>
      <c r="AL94" s="169"/>
      <c r="AM94" s="169"/>
      <c r="AN94" s="169"/>
      <c r="AO94" s="169"/>
      <c r="AP94" s="169"/>
      <c r="AQ94" s="169"/>
      <c r="AR94" s="169"/>
      <c r="AS94" s="169"/>
      <c r="AT94" s="169"/>
      <c r="AU94" s="169"/>
      <c r="AV94" s="169"/>
      <c r="AW94" s="169"/>
      <c r="AX94" s="169"/>
      <c r="AY94" s="169"/>
      <c r="AZ94" s="169"/>
      <c r="BA94" s="169"/>
      <c r="BB94" s="169"/>
      <c r="BC94" s="169"/>
      <c r="BD94" s="420"/>
      <c r="BE94" s="359">
        <f>SUM(I94:BD94)</f>
        <v>1.6179399999999999</v>
      </c>
      <c r="BF94" s="169"/>
      <c r="BG94" s="364"/>
    </row>
    <row r="95" spans="1:60" ht="12.75" hidden="1" customHeight="1" x14ac:dyDescent="0.25">
      <c r="A95" s="497"/>
      <c r="B95" s="504"/>
      <c r="C95" s="178" t="s">
        <v>189</v>
      </c>
      <c r="D95" s="177"/>
      <c r="E95" s="177"/>
      <c r="F95" s="145"/>
      <c r="G95" s="146"/>
      <c r="H95" s="147"/>
      <c r="I95" s="359">
        <f>'Revenue Spilt IB'!E73/100000</f>
        <v>5.2850200000000003</v>
      </c>
      <c r="J95" s="297"/>
      <c r="K95" s="360"/>
      <c r="L95" s="359">
        <f>'Revenue Spilt IB'!G73/100000</f>
        <v>5.6494200000000001</v>
      </c>
      <c r="M95" s="169"/>
      <c r="N95" s="364"/>
      <c r="O95" s="359"/>
      <c r="P95" s="169"/>
      <c r="Q95" s="364"/>
      <c r="R95" s="359"/>
      <c r="S95" s="169"/>
      <c r="T95" s="364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  <c r="AF95" s="169"/>
      <c r="AG95" s="169"/>
      <c r="AH95" s="169"/>
      <c r="AI95" s="169"/>
      <c r="AJ95" s="169"/>
      <c r="AK95" s="169"/>
      <c r="AL95" s="169"/>
      <c r="AM95" s="169"/>
      <c r="AN95" s="169"/>
      <c r="AO95" s="169"/>
      <c r="AP95" s="169"/>
      <c r="AQ95" s="169"/>
      <c r="AR95" s="169"/>
      <c r="AS95" s="169"/>
      <c r="AT95" s="169"/>
      <c r="AU95" s="169"/>
      <c r="AV95" s="169"/>
      <c r="AW95" s="169"/>
      <c r="AX95" s="169"/>
      <c r="AY95" s="169"/>
      <c r="AZ95" s="169"/>
      <c r="BA95" s="169"/>
      <c r="BB95" s="169"/>
      <c r="BC95" s="169"/>
      <c r="BD95" s="420"/>
      <c r="BE95" s="359">
        <f>SUM(I95:BD95)</f>
        <v>10.93444</v>
      </c>
      <c r="BF95" s="169"/>
      <c r="BG95" s="364"/>
    </row>
    <row r="96" spans="1:60" ht="12.75" hidden="1" customHeight="1" x14ac:dyDescent="0.25">
      <c r="A96" s="497"/>
      <c r="B96" s="504"/>
      <c r="C96" s="178" t="s">
        <v>246</v>
      </c>
      <c r="D96" s="177"/>
      <c r="E96" s="177"/>
      <c r="F96" s="145"/>
      <c r="G96" s="146"/>
      <c r="H96" s="147"/>
      <c r="I96" s="359">
        <f>'Revenue Spilt IB'!E86/100000</f>
        <v>14.64367</v>
      </c>
      <c r="J96" s="297"/>
      <c r="K96" s="360"/>
      <c r="L96" s="359">
        <f>'Revenue Spilt IB'!G86/100000</f>
        <v>9.6882000000000001</v>
      </c>
      <c r="M96" s="169"/>
      <c r="N96" s="364"/>
      <c r="O96" s="359"/>
      <c r="P96" s="169"/>
      <c r="Q96" s="364"/>
      <c r="R96" s="359"/>
      <c r="S96" s="169"/>
      <c r="T96" s="364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  <c r="AF96" s="169"/>
      <c r="AG96" s="169"/>
      <c r="AH96" s="169"/>
      <c r="AI96" s="169"/>
      <c r="AJ96" s="169"/>
      <c r="AK96" s="169"/>
      <c r="AL96" s="169"/>
      <c r="AM96" s="169"/>
      <c r="AN96" s="169"/>
      <c r="AO96" s="169"/>
      <c r="AP96" s="169"/>
      <c r="AQ96" s="169"/>
      <c r="AR96" s="169"/>
      <c r="AS96" s="169"/>
      <c r="AT96" s="169"/>
      <c r="AU96" s="169"/>
      <c r="AV96" s="169"/>
      <c r="AW96" s="169"/>
      <c r="AX96" s="169"/>
      <c r="AY96" s="169"/>
      <c r="AZ96" s="169"/>
      <c r="BA96" s="169"/>
      <c r="BB96" s="169"/>
      <c r="BC96" s="169"/>
      <c r="BD96" s="420"/>
      <c r="BE96" s="359">
        <f>SUM(I96:BD96)</f>
        <v>24.331870000000002</v>
      </c>
      <c r="BF96" s="169"/>
      <c r="BG96" s="364"/>
    </row>
    <row r="97" spans="1:59" ht="13.5" hidden="1" customHeight="1" thickBot="1" x14ac:dyDescent="0.3">
      <c r="A97" s="497"/>
      <c r="B97" s="504"/>
      <c r="C97" s="304" t="s">
        <v>217</v>
      </c>
      <c r="D97" s="177"/>
      <c r="E97" s="177"/>
      <c r="F97" s="145"/>
      <c r="G97" s="146"/>
      <c r="H97" s="147"/>
      <c r="I97" s="371">
        <f>'Revenue Spilt IB'!E94/100000</f>
        <v>2.04</v>
      </c>
      <c r="J97" s="306"/>
      <c r="K97" s="372"/>
      <c r="L97" s="371">
        <f>'Revenue Spilt IB'!G94/100000</f>
        <v>1.4</v>
      </c>
      <c r="M97" s="306"/>
      <c r="N97" s="372"/>
      <c r="O97" s="371"/>
      <c r="P97" s="306"/>
      <c r="Q97" s="372"/>
      <c r="R97" s="371"/>
      <c r="S97" s="306"/>
      <c r="T97" s="372"/>
      <c r="U97" s="306"/>
      <c r="V97" s="306"/>
      <c r="W97" s="306"/>
      <c r="X97" s="306"/>
      <c r="Y97" s="306"/>
      <c r="Z97" s="306"/>
      <c r="AA97" s="306"/>
      <c r="AB97" s="306"/>
      <c r="AC97" s="306"/>
      <c r="AD97" s="306"/>
      <c r="AE97" s="306"/>
      <c r="AF97" s="306"/>
      <c r="AG97" s="306"/>
      <c r="AH97" s="306"/>
      <c r="AI97" s="306"/>
      <c r="AJ97" s="306"/>
      <c r="AK97" s="306"/>
      <c r="AL97" s="306"/>
      <c r="AM97" s="306"/>
      <c r="AN97" s="306"/>
      <c r="AO97" s="306"/>
      <c r="AP97" s="306"/>
      <c r="AQ97" s="306"/>
      <c r="AR97" s="306"/>
      <c r="AS97" s="306"/>
      <c r="AT97" s="306"/>
      <c r="AU97" s="306"/>
      <c r="AV97" s="306"/>
      <c r="AW97" s="306"/>
      <c r="AX97" s="306"/>
      <c r="AY97" s="306"/>
      <c r="AZ97" s="306"/>
      <c r="BA97" s="306"/>
      <c r="BB97" s="306"/>
      <c r="BC97" s="306"/>
      <c r="BD97" s="426"/>
      <c r="BE97" s="371">
        <f>SUM(I97:BD97)</f>
        <v>3.44</v>
      </c>
      <c r="BF97" s="306"/>
      <c r="BG97" s="372"/>
    </row>
    <row r="98" spans="1:59" ht="13.5" hidden="1" customHeight="1" thickBot="1" x14ac:dyDescent="0.3">
      <c r="A98" s="497"/>
      <c r="B98" s="504"/>
      <c r="C98" s="269" t="s">
        <v>247</v>
      </c>
      <c r="D98" s="177"/>
      <c r="E98" s="177"/>
      <c r="F98" s="145"/>
      <c r="G98" s="146"/>
      <c r="H98" s="147"/>
      <c r="I98" s="373">
        <f>SUM(I93:I97)</f>
        <v>67.125640000000018</v>
      </c>
      <c r="J98" s="305"/>
      <c r="K98" s="374"/>
      <c r="L98" s="373">
        <f t="shared" ref="L98:BE98" si="34">SUM(L93:L97)</f>
        <v>61.783899999999996</v>
      </c>
      <c r="M98" s="305">
        <f t="shared" si="34"/>
        <v>0</v>
      </c>
      <c r="N98" s="374">
        <f t="shared" si="34"/>
        <v>0</v>
      </c>
      <c r="O98" s="373">
        <f t="shared" si="34"/>
        <v>0</v>
      </c>
      <c r="P98" s="305"/>
      <c r="Q98" s="374"/>
      <c r="R98" s="373"/>
      <c r="S98" s="305"/>
      <c r="T98" s="374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  <c r="AE98" s="305"/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  <c r="AT98" s="305"/>
      <c r="AU98" s="305"/>
      <c r="AV98" s="305"/>
      <c r="AW98" s="305"/>
      <c r="AX98" s="305"/>
      <c r="AY98" s="305"/>
      <c r="AZ98" s="305"/>
      <c r="BA98" s="305"/>
      <c r="BB98" s="305"/>
      <c r="BC98" s="305"/>
      <c r="BD98" s="427"/>
      <c r="BE98" s="373">
        <f t="shared" si="34"/>
        <v>128.90953999999999</v>
      </c>
      <c r="BF98" s="305"/>
      <c r="BG98" s="374"/>
    </row>
    <row r="99" spans="1:59" ht="12.75" hidden="1" customHeight="1" x14ac:dyDescent="0.25">
      <c r="A99" s="497"/>
      <c r="B99" s="504"/>
      <c r="C99" s="210"/>
      <c r="D99" s="177"/>
      <c r="E99" s="177"/>
      <c r="F99" s="145"/>
      <c r="G99" s="146"/>
      <c r="H99" s="147"/>
      <c r="I99" s="375"/>
      <c r="J99" s="303"/>
      <c r="K99" s="376"/>
      <c r="L99" s="375"/>
      <c r="M99" s="303"/>
      <c r="N99" s="376"/>
      <c r="O99" s="375"/>
      <c r="P99" s="303"/>
      <c r="Q99" s="376"/>
      <c r="R99" s="375"/>
      <c r="S99" s="303"/>
      <c r="T99" s="376"/>
      <c r="U99" s="303"/>
      <c r="V99" s="303"/>
      <c r="W99" s="303"/>
      <c r="X99" s="303"/>
      <c r="Y99" s="303"/>
      <c r="Z99" s="303"/>
      <c r="AA99" s="303"/>
      <c r="AB99" s="303"/>
      <c r="AC99" s="303"/>
      <c r="AD99" s="303"/>
      <c r="AE99" s="303"/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  <c r="AT99" s="303"/>
      <c r="AU99" s="303"/>
      <c r="AV99" s="303"/>
      <c r="AW99" s="303"/>
      <c r="AX99" s="303"/>
      <c r="AY99" s="303"/>
      <c r="AZ99" s="303"/>
      <c r="BA99" s="303"/>
      <c r="BB99" s="303"/>
      <c r="BC99" s="303"/>
      <c r="BD99" s="428"/>
      <c r="BE99" s="375"/>
      <c r="BF99" s="303"/>
      <c r="BG99" s="376"/>
    </row>
    <row r="100" spans="1:59" ht="12.75" hidden="1" customHeight="1" x14ac:dyDescent="0.25">
      <c r="A100" s="497"/>
      <c r="B100" s="504"/>
      <c r="C100" s="178"/>
      <c r="D100" s="177"/>
      <c r="E100" s="177"/>
      <c r="F100" s="145"/>
      <c r="G100" s="146"/>
      <c r="H100" s="147"/>
      <c r="I100" s="363"/>
      <c r="J100" s="169"/>
      <c r="K100" s="364"/>
      <c r="L100" s="363"/>
      <c r="M100" s="169"/>
      <c r="N100" s="364"/>
      <c r="O100" s="363"/>
      <c r="P100" s="169"/>
      <c r="Q100" s="364"/>
      <c r="R100" s="363"/>
      <c r="S100" s="169"/>
      <c r="T100" s="364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  <c r="AF100" s="169"/>
      <c r="AG100" s="169"/>
      <c r="AH100" s="169"/>
      <c r="AI100" s="169"/>
      <c r="AJ100" s="169"/>
      <c r="AK100" s="169"/>
      <c r="AL100" s="169"/>
      <c r="AM100" s="169"/>
      <c r="AN100" s="169"/>
      <c r="AO100" s="169"/>
      <c r="AP100" s="169"/>
      <c r="AQ100" s="169"/>
      <c r="AR100" s="169"/>
      <c r="AS100" s="169"/>
      <c r="AT100" s="169"/>
      <c r="AU100" s="169"/>
      <c r="AV100" s="169"/>
      <c r="AW100" s="169"/>
      <c r="AX100" s="169"/>
      <c r="AY100" s="169"/>
      <c r="AZ100" s="169"/>
      <c r="BA100" s="169"/>
      <c r="BB100" s="169"/>
      <c r="BC100" s="169"/>
      <c r="BD100" s="420"/>
      <c r="BE100" s="363"/>
      <c r="BF100" s="169"/>
      <c r="BG100" s="364"/>
    </row>
    <row r="101" spans="1:59" ht="12.75" hidden="1" customHeight="1" x14ac:dyDescent="0.25">
      <c r="A101" s="497"/>
      <c r="B101" s="504"/>
      <c r="C101" s="178"/>
      <c r="D101" s="177"/>
      <c r="E101" s="177"/>
      <c r="F101" s="145"/>
      <c r="G101" s="146"/>
      <c r="H101" s="147"/>
      <c r="I101" s="363"/>
      <c r="J101" s="169"/>
      <c r="K101" s="364"/>
      <c r="L101" s="363"/>
      <c r="M101" s="169"/>
      <c r="N101" s="364"/>
      <c r="O101" s="363"/>
      <c r="P101" s="169"/>
      <c r="Q101" s="364"/>
      <c r="R101" s="363"/>
      <c r="S101" s="169"/>
      <c r="T101" s="364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  <c r="AF101" s="169"/>
      <c r="AG101" s="169"/>
      <c r="AH101" s="169"/>
      <c r="AI101" s="169"/>
      <c r="AJ101" s="169"/>
      <c r="AK101" s="169"/>
      <c r="AL101" s="169"/>
      <c r="AM101" s="169"/>
      <c r="AN101" s="169"/>
      <c r="AO101" s="169"/>
      <c r="AP101" s="169"/>
      <c r="AQ101" s="169"/>
      <c r="AR101" s="169"/>
      <c r="AS101" s="169"/>
      <c r="AT101" s="169"/>
      <c r="AU101" s="169"/>
      <c r="AV101" s="169"/>
      <c r="AW101" s="169"/>
      <c r="AX101" s="169"/>
      <c r="AY101" s="169"/>
      <c r="AZ101" s="169"/>
      <c r="BA101" s="169"/>
      <c r="BB101" s="169"/>
      <c r="BC101" s="169"/>
      <c r="BD101" s="420"/>
      <c r="BE101" s="363"/>
      <c r="BF101" s="169"/>
      <c r="BG101" s="364"/>
    </row>
    <row r="102" spans="1:59" ht="12.75" hidden="1" customHeight="1" x14ac:dyDescent="0.25">
      <c r="A102" s="497"/>
      <c r="B102" s="504"/>
      <c r="C102" s="178"/>
      <c r="D102" s="177"/>
      <c r="E102" s="177"/>
      <c r="F102" s="145"/>
      <c r="G102" s="146"/>
      <c r="H102" s="147"/>
      <c r="I102" s="363"/>
      <c r="J102" s="169"/>
      <c r="K102" s="364"/>
      <c r="L102" s="363"/>
      <c r="M102" s="169"/>
      <c r="N102" s="364"/>
      <c r="O102" s="363"/>
      <c r="P102" s="169"/>
      <c r="Q102" s="364"/>
      <c r="R102" s="363"/>
      <c r="S102" s="169"/>
      <c r="T102" s="364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  <c r="AF102" s="169"/>
      <c r="AG102" s="169"/>
      <c r="AH102" s="169"/>
      <c r="AI102" s="169"/>
      <c r="AJ102" s="169"/>
      <c r="AK102" s="169"/>
      <c r="AL102" s="169"/>
      <c r="AM102" s="169"/>
      <c r="AN102" s="169"/>
      <c r="AO102" s="169"/>
      <c r="AP102" s="169"/>
      <c r="AQ102" s="169"/>
      <c r="AR102" s="169"/>
      <c r="AS102" s="169"/>
      <c r="AT102" s="169"/>
      <c r="AU102" s="169"/>
      <c r="AV102" s="169"/>
      <c r="AW102" s="169"/>
      <c r="AX102" s="169"/>
      <c r="AY102" s="169"/>
      <c r="AZ102" s="169"/>
      <c r="BA102" s="169"/>
      <c r="BB102" s="169"/>
      <c r="BC102" s="169"/>
      <c r="BD102" s="420"/>
      <c r="BE102" s="363"/>
      <c r="BF102" s="169"/>
      <c r="BG102" s="364"/>
    </row>
    <row r="103" spans="1:59" ht="12.75" hidden="1" customHeight="1" x14ac:dyDescent="0.25">
      <c r="A103" s="497"/>
      <c r="B103" s="504"/>
      <c r="C103" s="178"/>
      <c r="D103" s="177"/>
      <c r="E103" s="177"/>
      <c r="F103" s="145"/>
      <c r="G103" s="146"/>
      <c r="H103" s="147"/>
      <c r="I103" s="363"/>
      <c r="J103" s="169"/>
      <c r="K103" s="364"/>
      <c r="L103" s="363"/>
      <c r="M103" s="169"/>
      <c r="N103" s="364"/>
      <c r="O103" s="363"/>
      <c r="P103" s="169"/>
      <c r="Q103" s="364"/>
      <c r="R103" s="363"/>
      <c r="S103" s="169"/>
      <c r="T103" s="364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  <c r="AF103" s="169"/>
      <c r="AG103" s="169"/>
      <c r="AH103" s="169"/>
      <c r="AI103" s="169"/>
      <c r="AJ103" s="169"/>
      <c r="AK103" s="169"/>
      <c r="AL103" s="169"/>
      <c r="AM103" s="169"/>
      <c r="AN103" s="169"/>
      <c r="AO103" s="169"/>
      <c r="AP103" s="169"/>
      <c r="AQ103" s="169"/>
      <c r="AR103" s="169"/>
      <c r="AS103" s="169"/>
      <c r="AT103" s="169"/>
      <c r="AU103" s="169"/>
      <c r="AV103" s="169"/>
      <c r="AW103" s="169"/>
      <c r="AX103" s="169"/>
      <c r="AY103" s="169"/>
      <c r="AZ103" s="169"/>
      <c r="BA103" s="169"/>
      <c r="BB103" s="169"/>
      <c r="BC103" s="169"/>
      <c r="BD103" s="420"/>
      <c r="BE103" s="363"/>
      <c r="BF103" s="169"/>
      <c r="BG103" s="364"/>
    </row>
    <row r="104" spans="1:59" ht="25.5" hidden="1" customHeight="1" x14ac:dyDescent="0.25">
      <c r="A104" s="497"/>
      <c r="B104" s="505"/>
      <c r="C104" s="178" t="s">
        <v>57</v>
      </c>
      <c r="D104" s="177"/>
      <c r="E104" s="177"/>
      <c r="F104" s="145"/>
      <c r="G104" s="146"/>
      <c r="H104" s="147"/>
      <c r="I104" s="363"/>
      <c r="J104" s="169"/>
      <c r="K104" s="364"/>
      <c r="L104" s="363"/>
      <c r="M104" s="169"/>
      <c r="N104" s="364"/>
      <c r="O104" s="363"/>
      <c r="P104" s="169"/>
      <c r="Q104" s="364"/>
      <c r="R104" s="363"/>
      <c r="S104" s="169"/>
      <c r="T104" s="364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  <c r="AP104" s="169"/>
      <c r="AQ104" s="169"/>
      <c r="AR104" s="169"/>
      <c r="AS104" s="169"/>
      <c r="AT104" s="169"/>
      <c r="AU104" s="169"/>
      <c r="AV104" s="169"/>
      <c r="AW104" s="169"/>
      <c r="AX104" s="169"/>
      <c r="AY104" s="169"/>
      <c r="AZ104" s="169"/>
      <c r="BA104" s="169"/>
      <c r="BB104" s="169"/>
      <c r="BC104" s="169"/>
      <c r="BD104" s="420"/>
      <c r="BE104" s="363"/>
      <c r="BF104" s="169"/>
      <c r="BG104" s="364"/>
    </row>
    <row r="105" spans="1:59" ht="4.5" hidden="1" customHeight="1" x14ac:dyDescent="0.25">
      <c r="A105" s="497"/>
      <c r="B105" s="154"/>
      <c r="C105" s="155"/>
      <c r="D105" s="155"/>
      <c r="E105" s="155"/>
      <c r="F105" s="155"/>
      <c r="G105" s="156"/>
      <c r="H105" s="147"/>
      <c r="I105" s="369"/>
      <c r="J105" s="256"/>
      <c r="K105" s="370"/>
      <c r="L105" s="401"/>
      <c r="M105" s="158"/>
      <c r="N105" s="370"/>
      <c r="O105" s="401"/>
      <c r="P105" s="158"/>
      <c r="Q105" s="370"/>
      <c r="R105" s="401"/>
      <c r="S105" s="158"/>
      <c r="T105" s="370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256"/>
      <c r="BE105" s="401"/>
      <c r="BF105" s="158"/>
      <c r="BG105" s="370"/>
    </row>
    <row r="106" spans="1:59" ht="12.75" hidden="1" customHeight="1" x14ac:dyDescent="0.25">
      <c r="A106" s="497"/>
      <c r="B106" s="503" t="s">
        <v>83</v>
      </c>
      <c r="C106" s="178" t="s">
        <v>84</v>
      </c>
      <c r="D106" s="177"/>
      <c r="E106" s="177"/>
      <c r="F106" s="145"/>
      <c r="G106" s="146"/>
      <c r="H106" s="147"/>
      <c r="I106" s="363"/>
      <c r="J106" s="169"/>
      <c r="K106" s="364"/>
      <c r="L106" s="363"/>
      <c r="M106" s="169"/>
      <c r="N106" s="364"/>
      <c r="O106" s="363"/>
      <c r="P106" s="169"/>
      <c r="Q106" s="364"/>
      <c r="R106" s="363"/>
      <c r="S106" s="169"/>
      <c r="T106" s="364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  <c r="AF106" s="169"/>
      <c r="AG106" s="169"/>
      <c r="AH106" s="169"/>
      <c r="AI106" s="169"/>
      <c r="AJ106" s="169"/>
      <c r="AK106" s="169"/>
      <c r="AL106" s="169"/>
      <c r="AM106" s="169"/>
      <c r="AN106" s="169"/>
      <c r="AO106" s="169"/>
      <c r="AP106" s="169"/>
      <c r="AQ106" s="169"/>
      <c r="AR106" s="169"/>
      <c r="AS106" s="169"/>
      <c r="AT106" s="169"/>
      <c r="AU106" s="169"/>
      <c r="AV106" s="169"/>
      <c r="AW106" s="169"/>
      <c r="AX106" s="169"/>
      <c r="AY106" s="169"/>
      <c r="AZ106" s="169"/>
      <c r="BA106" s="169"/>
      <c r="BB106" s="169"/>
      <c r="BC106" s="169"/>
      <c r="BD106" s="420"/>
      <c r="BE106" s="363"/>
      <c r="BF106" s="169"/>
      <c r="BG106" s="364"/>
    </row>
    <row r="107" spans="1:59" ht="12.75" hidden="1" customHeight="1" x14ac:dyDescent="0.25">
      <c r="A107" s="497"/>
      <c r="B107" s="504"/>
      <c r="C107" s="210" t="s">
        <v>14</v>
      </c>
      <c r="D107" s="177"/>
      <c r="E107" s="177"/>
      <c r="F107" s="145"/>
      <c r="G107" s="146"/>
      <c r="H107" s="147"/>
      <c r="I107" s="363"/>
      <c r="J107" s="169"/>
      <c r="K107" s="364"/>
      <c r="L107" s="363"/>
      <c r="M107" s="169"/>
      <c r="N107" s="364"/>
      <c r="O107" s="363"/>
      <c r="P107" s="169"/>
      <c r="Q107" s="364"/>
      <c r="R107" s="363"/>
      <c r="S107" s="169"/>
      <c r="T107" s="364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  <c r="AF107" s="169"/>
      <c r="AG107" s="169"/>
      <c r="AH107" s="169"/>
      <c r="AI107" s="169"/>
      <c r="AJ107" s="169"/>
      <c r="AK107" s="169"/>
      <c r="AL107" s="169"/>
      <c r="AM107" s="169"/>
      <c r="AN107" s="169"/>
      <c r="AO107" s="169"/>
      <c r="AP107" s="169"/>
      <c r="AQ107" s="169"/>
      <c r="AR107" s="169"/>
      <c r="AS107" s="169"/>
      <c r="AT107" s="169"/>
      <c r="AU107" s="169"/>
      <c r="AV107" s="169"/>
      <c r="AW107" s="169"/>
      <c r="AX107" s="169"/>
      <c r="AY107" s="169"/>
      <c r="AZ107" s="169"/>
      <c r="BA107" s="169"/>
      <c r="BB107" s="169"/>
      <c r="BC107" s="169"/>
      <c r="BD107" s="420"/>
      <c r="BE107" s="363"/>
      <c r="BF107" s="169"/>
      <c r="BG107" s="364"/>
    </row>
    <row r="108" spans="1:59" ht="12.75" hidden="1" customHeight="1" x14ac:dyDescent="0.25">
      <c r="A108" s="497"/>
      <c r="B108" s="504"/>
      <c r="C108" s="178" t="s">
        <v>110</v>
      </c>
      <c r="D108" s="177"/>
      <c r="E108" s="177"/>
      <c r="F108" s="145"/>
      <c r="G108" s="146"/>
      <c r="H108" s="147"/>
      <c r="I108" s="363"/>
      <c r="J108" s="169"/>
      <c r="K108" s="364"/>
      <c r="L108" s="363"/>
      <c r="M108" s="169"/>
      <c r="N108" s="364"/>
      <c r="O108" s="363"/>
      <c r="P108" s="169"/>
      <c r="Q108" s="364"/>
      <c r="R108" s="363"/>
      <c r="S108" s="169"/>
      <c r="T108" s="364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69"/>
      <c r="AG108" s="169"/>
      <c r="AH108" s="169"/>
      <c r="AI108" s="169"/>
      <c r="AJ108" s="169"/>
      <c r="AK108" s="169"/>
      <c r="AL108" s="169"/>
      <c r="AM108" s="169"/>
      <c r="AN108" s="169"/>
      <c r="AO108" s="169"/>
      <c r="AP108" s="169"/>
      <c r="AQ108" s="169"/>
      <c r="AR108" s="169"/>
      <c r="AS108" s="169"/>
      <c r="AT108" s="169"/>
      <c r="AU108" s="169"/>
      <c r="AV108" s="169"/>
      <c r="AW108" s="169"/>
      <c r="AX108" s="169"/>
      <c r="AY108" s="169"/>
      <c r="AZ108" s="169"/>
      <c r="BA108" s="169"/>
      <c r="BB108" s="169"/>
      <c r="BC108" s="169"/>
      <c r="BD108" s="420"/>
      <c r="BE108" s="363"/>
      <c r="BF108" s="169"/>
      <c r="BG108" s="364"/>
    </row>
    <row r="109" spans="1:59" ht="12.75" hidden="1" customHeight="1" x14ac:dyDescent="0.25">
      <c r="A109" s="497"/>
      <c r="B109" s="504"/>
      <c r="C109" s="178" t="s">
        <v>111</v>
      </c>
      <c r="D109" s="177"/>
      <c r="E109" s="177"/>
      <c r="F109" s="145"/>
      <c r="G109" s="146"/>
      <c r="H109" s="147"/>
      <c r="I109" s="363"/>
      <c r="J109" s="169"/>
      <c r="K109" s="364"/>
      <c r="L109" s="363"/>
      <c r="M109" s="169"/>
      <c r="N109" s="364"/>
      <c r="O109" s="363"/>
      <c r="P109" s="169"/>
      <c r="Q109" s="364"/>
      <c r="R109" s="363"/>
      <c r="S109" s="169"/>
      <c r="T109" s="364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  <c r="AF109" s="169"/>
      <c r="AG109" s="169"/>
      <c r="AH109" s="169"/>
      <c r="AI109" s="169"/>
      <c r="AJ109" s="169"/>
      <c r="AK109" s="169"/>
      <c r="AL109" s="169"/>
      <c r="AM109" s="169"/>
      <c r="AN109" s="169"/>
      <c r="AO109" s="169"/>
      <c r="AP109" s="169"/>
      <c r="AQ109" s="169"/>
      <c r="AR109" s="169"/>
      <c r="AS109" s="169"/>
      <c r="AT109" s="169"/>
      <c r="AU109" s="169"/>
      <c r="AV109" s="169"/>
      <c r="AW109" s="169"/>
      <c r="AX109" s="169"/>
      <c r="AY109" s="169"/>
      <c r="AZ109" s="169"/>
      <c r="BA109" s="169"/>
      <c r="BB109" s="169"/>
      <c r="BC109" s="169"/>
      <c r="BD109" s="420"/>
      <c r="BE109" s="363"/>
      <c r="BF109" s="169"/>
      <c r="BG109" s="364"/>
    </row>
    <row r="110" spans="1:59" ht="12.75" hidden="1" customHeight="1" x14ac:dyDescent="0.25">
      <c r="A110" s="497"/>
      <c r="B110" s="504"/>
      <c r="C110" s="178" t="s">
        <v>114</v>
      </c>
      <c r="D110" s="177"/>
      <c r="E110" s="177"/>
      <c r="F110" s="145"/>
      <c r="G110" s="146"/>
      <c r="H110" s="147"/>
      <c r="I110" s="377"/>
      <c r="J110" s="258"/>
      <c r="K110" s="378"/>
      <c r="L110" s="377"/>
      <c r="M110" s="169"/>
      <c r="N110" s="364"/>
      <c r="O110" s="377"/>
      <c r="P110" s="169"/>
      <c r="Q110" s="364"/>
      <c r="R110" s="377"/>
      <c r="S110" s="169"/>
      <c r="T110" s="364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69"/>
      <c r="AW110" s="169"/>
      <c r="AX110" s="169"/>
      <c r="AY110" s="169"/>
      <c r="AZ110" s="169"/>
      <c r="BA110" s="169"/>
      <c r="BB110" s="169"/>
      <c r="BC110" s="169"/>
      <c r="BD110" s="420"/>
      <c r="BE110" s="377"/>
      <c r="BF110" s="169"/>
      <c r="BG110" s="364"/>
    </row>
    <row r="111" spans="1:59" ht="12.75" hidden="1" customHeight="1" x14ac:dyDescent="0.25">
      <c r="A111" s="497"/>
      <c r="B111" s="504"/>
      <c r="C111" s="178" t="s">
        <v>16</v>
      </c>
      <c r="D111" s="177"/>
      <c r="E111" s="177"/>
      <c r="F111" s="145"/>
      <c r="G111" s="146"/>
      <c r="H111" s="147"/>
      <c r="I111" s="363"/>
      <c r="J111" s="169"/>
      <c r="K111" s="364"/>
      <c r="L111" s="363"/>
      <c r="M111" s="169"/>
      <c r="N111" s="364"/>
      <c r="O111" s="363"/>
      <c r="P111" s="169"/>
      <c r="Q111" s="364"/>
      <c r="R111" s="363"/>
      <c r="S111" s="169"/>
      <c r="T111" s="364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69"/>
      <c r="AG111" s="169"/>
      <c r="AH111" s="169"/>
      <c r="AI111" s="169"/>
      <c r="AJ111" s="169"/>
      <c r="AK111" s="169"/>
      <c r="AL111" s="169"/>
      <c r="AM111" s="169"/>
      <c r="AN111" s="169"/>
      <c r="AO111" s="169"/>
      <c r="AP111" s="169"/>
      <c r="AQ111" s="169"/>
      <c r="AR111" s="169"/>
      <c r="AS111" s="169"/>
      <c r="AT111" s="169"/>
      <c r="AU111" s="169"/>
      <c r="AV111" s="169"/>
      <c r="AW111" s="169"/>
      <c r="AX111" s="169"/>
      <c r="AY111" s="169"/>
      <c r="AZ111" s="169"/>
      <c r="BA111" s="169"/>
      <c r="BB111" s="169"/>
      <c r="BC111" s="169"/>
      <c r="BD111" s="420"/>
      <c r="BE111" s="363"/>
      <c r="BF111" s="169"/>
      <c r="BG111" s="364"/>
    </row>
    <row r="112" spans="1:59" ht="12.75" hidden="1" customHeight="1" x14ac:dyDescent="0.25">
      <c r="A112" s="497"/>
      <c r="B112" s="504"/>
      <c r="C112" s="178" t="s">
        <v>17</v>
      </c>
      <c r="D112" s="177"/>
      <c r="E112" s="177"/>
      <c r="F112" s="145"/>
      <c r="G112" s="146"/>
      <c r="H112" s="147"/>
      <c r="I112" s="363"/>
      <c r="J112" s="169"/>
      <c r="K112" s="364"/>
      <c r="L112" s="363"/>
      <c r="M112" s="169"/>
      <c r="N112" s="364"/>
      <c r="O112" s="363"/>
      <c r="P112" s="169"/>
      <c r="Q112" s="364"/>
      <c r="R112" s="363"/>
      <c r="S112" s="169"/>
      <c r="T112" s="364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  <c r="AF112" s="169"/>
      <c r="AG112" s="169"/>
      <c r="AH112" s="169"/>
      <c r="AI112" s="169"/>
      <c r="AJ112" s="169"/>
      <c r="AK112" s="169"/>
      <c r="AL112" s="169"/>
      <c r="AM112" s="169"/>
      <c r="AN112" s="169"/>
      <c r="AO112" s="169"/>
      <c r="AP112" s="169"/>
      <c r="AQ112" s="169"/>
      <c r="AR112" s="169"/>
      <c r="AS112" s="169"/>
      <c r="AT112" s="169"/>
      <c r="AU112" s="169"/>
      <c r="AV112" s="169"/>
      <c r="AW112" s="169"/>
      <c r="AX112" s="169"/>
      <c r="AY112" s="169"/>
      <c r="AZ112" s="169"/>
      <c r="BA112" s="169"/>
      <c r="BB112" s="169"/>
      <c r="BC112" s="169"/>
      <c r="BD112" s="420"/>
      <c r="BE112" s="363"/>
      <c r="BF112" s="169"/>
      <c r="BG112" s="364"/>
    </row>
    <row r="113" spans="1:59" ht="12.75" hidden="1" customHeight="1" x14ac:dyDescent="0.25">
      <c r="A113" s="502"/>
      <c r="B113" s="505"/>
      <c r="C113" s="178" t="s">
        <v>18</v>
      </c>
      <c r="D113" s="177"/>
      <c r="E113" s="177"/>
      <c r="F113" s="145"/>
      <c r="G113" s="146"/>
      <c r="H113" s="147"/>
      <c r="I113" s="363"/>
      <c r="J113" s="169"/>
      <c r="K113" s="364"/>
      <c r="L113" s="363"/>
      <c r="M113" s="169"/>
      <c r="N113" s="364"/>
      <c r="O113" s="363"/>
      <c r="P113" s="169"/>
      <c r="Q113" s="364"/>
      <c r="R113" s="363"/>
      <c r="S113" s="169"/>
      <c r="T113" s="364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69"/>
      <c r="AM113" s="169"/>
      <c r="AN113" s="169"/>
      <c r="AO113" s="169"/>
      <c r="AP113" s="169"/>
      <c r="AQ113" s="169"/>
      <c r="AR113" s="169"/>
      <c r="AS113" s="169"/>
      <c r="AT113" s="169"/>
      <c r="AU113" s="169"/>
      <c r="AV113" s="169"/>
      <c r="AW113" s="169"/>
      <c r="AX113" s="169"/>
      <c r="AY113" s="169"/>
      <c r="AZ113" s="169"/>
      <c r="BA113" s="169"/>
      <c r="BB113" s="169"/>
      <c r="BC113" s="169"/>
      <c r="BD113" s="420"/>
      <c r="BE113" s="363"/>
      <c r="BF113" s="169"/>
      <c r="BG113" s="364"/>
    </row>
    <row r="114" spans="1:59" s="211" customFormat="1" ht="5.25" hidden="1" customHeight="1" x14ac:dyDescent="0.25">
      <c r="A114" s="154"/>
      <c r="B114" s="166"/>
      <c r="C114" s="155"/>
      <c r="D114" s="155"/>
      <c r="E114" s="155"/>
      <c r="F114" s="155"/>
      <c r="G114" s="156"/>
      <c r="H114" s="147"/>
      <c r="I114" s="341"/>
      <c r="J114" s="156"/>
      <c r="K114" s="342"/>
      <c r="L114" s="383"/>
      <c r="M114" s="158"/>
      <c r="N114" s="370"/>
      <c r="O114" s="383"/>
      <c r="P114" s="158"/>
      <c r="Q114" s="370"/>
      <c r="R114" s="383"/>
      <c r="S114" s="158"/>
      <c r="T114" s="370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256"/>
      <c r="BE114" s="383"/>
      <c r="BF114" s="158"/>
      <c r="BG114" s="370"/>
    </row>
    <row r="115" spans="1:59" ht="15" customHeight="1" x14ac:dyDescent="0.25">
      <c r="A115" s="485" t="s">
        <v>60</v>
      </c>
      <c r="B115" s="487" t="s">
        <v>86</v>
      </c>
      <c r="C115" s="179" t="s">
        <v>58</v>
      </c>
      <c r="D115" s="177"/>
      <c r="E115" s="177"/>
      <c r="F115" s="145"/>
      <c r="G115" s="146"/>
      <c r="H115" s="147"/>
      <c r="I115" s="379"/>
      <c r="J115" s="307"/>
      <c r="K115" s="380"/>
      <c r="L115" s="379"/>
      <c r="M115" s="151"/>
      <c r="N115" s="398"/>
      <c r="O115" s="379"/>
      <c r="P115" s="151"/>
      <c r="Q115" s="398"/>
      <c r="R115" s="379"/>
      <c r="S115" s="151"/>
      <c r="T115" s="398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A115" s="151"/>
      <c r="BB115" s="151"/>
      <c r="BC115" s="151"/>
      <c r="BD115" s="421"/>
      <c r="BE115" s="379"/>
      <c r="BF115" s="151"/>
      <c r="BG115" s="398"/>
    </row>
    <row r="116" spans="1:59" x14ac:dyDescent="0.25">
      <c r="A116" s="486"/>
      <c r="B116" s="488"/>
      <c r="C116" s="179" t="s">
        <v>59</v>
      </c>
      <c r="D116" s="177"/>
      <c r="E116" s="177"/>
      <c r="F116" s="145"/>
      <c r="G116" s="146"/>
      <c r="H116" s="147"/>
      <c r="I116" s="379"/>
      <c r="J116" s="307"/>
      <c r="K116" s="380"/>
      <c r="L116" s="379"/>
      <c r="M116" s="151"/>
      <c r="N116" s="398"/>
      <c r="O116" s="379"/>
      <c r="P116" s="151"/>
      <c r="Q116" s="398"/>
      <c r="R116" s="379"/>
      <c r="S116" s="151"/>
      <c r="T116" s="398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A116" s="151"/>
      <c r="BB116" s="151"/>
      <c r="BC116" s="151"/>
      <c r="BD116" s="421"/>
      <c r="BE116" s="379"/>
      <c r="BF116" s="151"/>
      <c r="BG116" s="398"/>
    </row>
    <row r="117" spans="1:59" ht="25.5" x14ac:dyDescent="0.25">
      <c r="A117" s="486"/>
      <c r="B117" s="489"/>
      <c r="C117" s="179" t="s">
        <v>85</v>
      </c>
      <c r="D117" s="177"/>
      <c r="E117" s="177"/>
      <c r="F117" s="145"/>
      <c r="G117" s="146"/>
      <c r="H117" s="147"/>
      <c r="I117" s="381"/>
      <c r="J117" s="180"/>
      <c r="K117" s="382"/>
      <c r="L117" s="381"/>
      <c r="M117" s="181"/>
      <c r="N117" s="403"/>
      <c r="O117" s="381"/>
      <c r="P117" s="181"/>
      <c r="Q117" s="403"/>
      <c r="R117" s="381"/>
      <c r="S117" s="181"/>
      <c r="T117" s="403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429"/>
      <c r="BE117" s="381"/>
      <c r="BF117" s="181"/>
      <c r="BG117" s="403"/>
    </row>
    <row r="118" spans="1:59" ht="4.5" customHeight="1" x14ac:dyDescent="0.25">
      <c r="A118" s="486"/>
      <c r="B118" s="308"/>
      <c r="C118" s="155"/>
      <c r="D118" s="155"/>
      <c r="E118" s="155"/>
      <c r="F118" s="155"/>
      <c r="G118" s="156"/>
      <c r="H118" s="147"/>
      <c r="I118" s="341"/>
      <c r="J118" s="156"/>
      <c r="K118" s="342"/>
      <c r="L118" s="383"/>
      <c r="M118" s="158"/>
      <c r="N118" s="370"/>
      <c r="O118" s="383"/>
      <c r="P118" s="158"/>
      <c r="Q118" s="370"/>
      <c r="R118" s="383"/>
      <c r="S118" s="158"/>
      <c r="T118" s="370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256"/>
      <c r="BE118" s="383"/>
      <c r="BF118" s="158"/>
      <c r="BG118" s="370"/>
    </row>
    <row r="119" spans="1:59" ht="25.5" x14ac:dyDescent="0.25">
      <c r="A119" s="486"/>
      <c r="B119" s="487" t="s">
        <v>87</v>
      </c>
      <c r="C119" s="179" t="s">
        <v>112</v>
      </c>
      <c r="D119" s="177"/>
      <c r="E119" s="177"/>
      <c r="F119" s="145"/>
      <c r="G119" s="146"/>
      <c r="H119" s="147"/>
      <c r="I119" s="349">
        <v>0.5</v>
      </c>
      <c r="J119" s="146"/>
      <c r="K119" s="350"/>
      <c r="L119" s="349">
        <v>5.5</v>
      </c>
      <c r="M119" s="151"/>
      <c r="N119" s="398"/>
      <c r="O119" s="349">
        <v>5</v>
      </c>
      <c r="P119" s="151"/>
      <c r="Q119" s="398"/>
      <c r="R119" s="349"/>
      <c r="S119" s="151"/>
      <c r="T119" s="398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A119" s="151"/>
      <c r="BB119" s="151"/>
      <c r="BC119" s="151"/>
      <c r="BD119" s="421"/>
      <c r="BE119" s="349"/>
      <c r="BF119" s="151"/>
      <c r="BG119" s="398"/>
    </row>
    <row r="120" spans="1:59" ht="25.5" x14ac:dyDescent="0.25">
      <c r="A120" s="486"/>
      <c r="B120" s="488"/>
      <c r="C120" s="179" t="s">
        <v>113</v>
      </c>
      <c r="D120" s="177"/>
      <c r="E120" s="177"/>
      <c r="F120" s="145"/>
      <c r="G120" s="146"/>
      <c r="H120" s="147"/>
      <c r="I120" s="349"/>
      <c r="J120" s="146"/>
      <c r="K120" s="350"/>
      <c r="L120" s="349"/>
      <c r="M120" s="151"/>
      <c r="N120" s="398"/>
      <c r="O120" s="349"/>
      <c r="P120" s="151"/>
      <c r="Q120" s="398"/>
      <c r="R120" s="349"/>
      <c r="S120" s="151"/>
      <c r="T120" s="398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51"/>
      <c r="AX120" s="151"/>
      <c r="AY120" s="151"/>
      <c r="AZ120" s="151"/>
      <c r="BA120" s="151"/>
      <c r="BB120" s="151"/>
      <c r="BC120" s="151"/>
      <c r="BD120" s="421"/>
      <c r="BE120" s="349"/>
      <c r="BF120" s="151"/>
      <c r="BG120" s="398"/>
    </row>
    <row r="121" spans="1:59" ht="4.5" customHeight="1" x14ac:dyDescent="0.25">
      <c r="A121" s="486"/>
      <c r="B121" s="488"/>
      <c r="C121" s="155"/>
      <c r="D121" s="155"/>
      <c r="E121" s="155"/>
      <c r="F121" s="155"/>
      <c r="G121" s="156"/>
      <c r="H121" s="147"/>
      <c r="I121" s="341"/>
      <c r="J121" s="156"/>
      <c r="K121" s="342"/>
      <c r="L121" s="383"/>
      <c r="M121" s="158"/>
      <c r="N121" s="370"/>
      <c r="O121" s="383"/>
      <c r="P121" s="158"/>
      <c r="Q121" s="370"/>
      <c r="R121" s="383"/>
      <c r="S121" s="158"/>
      <c r="T121" s="370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8"/>
      <c r="AS121" s="158"/>
      <c r="AT121" s="158"/>
      <c r="AU121" s="158"/>
      <c r="AV121" s="158"/>
      <c r="AW121" s="158"/>
      <c r="AX121" s="158"/>
      <c r="AY121" s="158"/>
      <c r="AZ121" s="158"/>
      <c r="BA121" s="158"/>
      <c r="BB121" s="158"/>
      <c r="BC121" s="158"/>
      <c r="BD121" s="256"/>
      <c r="BE121" s="383"/>
      <c r="BF121" s="158"/>
      <c r="BG121" s="370"/>
    </row>
    <row r="122" spans="1:59" ht="25.5" x14ac:dyDescent="0.25">
      <c r="A122" s="486"/>
      <c r="B122" s="488"/>
      <c r="C122" s="179" t="s">
        <v>115</v>
      </c>
      <c r="D122" s="177"/>
      <c r="E122" s="177"/>
      <c r="F122" s="145"/>
      <c r="G122" s="146"/>
      <c r="H122" s="147"/>
      <c r="I122" s="349"/>
      <c r="J122" s="146"/>
      <c r="K122" s="350"/>
      <c r="L122" s="349"/>
      <c r="M122" s="151"/>
      <c r="N122" s="398"/>
      <c r="O122" s="349"/>
      <c r="P122" s="151"/>
      <c r="Q122" s="398"/>
      <c r="R122" s="349"/>
      <c r="S122" s="151"/>
      <c r="T122" s="398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A122" s="151"/>
      <c r="BB122" s="151"/>
      <c r="BC122" s="151"/>
      <c r="BD122" s="421"/>
      <c r="BE122" s="349"/>
      <c r="BF122" s="151"/>
      <c r="BG122" s="398"/>
    </row>
    <row r="123" spans="1:59" ht="25.5" x14ac:dyDescent="0.25">
      <c r="A123" s="486"/>
      <c r="B123" s="488"/>
      <c r="C123" s="179" t="s">
        <v>116</v>
      </c>
      <c r="D123" s="177"/>
      <c r="E123" s="177"/>
      <c r="F123" s="145"/>
      <c r="G123" s="146"/>
      <c r="H123" s="147"/>
      <c r="I123" s="349"/>
      <c r="J123" s="146"/>
      <c r="K123" s="350"/>
      <c r="L123" s="349"/>
      <c r="M123" s="151"/>
      <c r="N123" s="398"/>
      <c r="O123" s="349"/>
      <c r="P123" s="151"/>
      <c r="Q123" s="398"/>
      <c r="R123" s="349"/>
      <c r="S123" s="151"/>
      <c r="T123" s="398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421"/>
      <c r="BE123" s="349"/>
      <c r="BF123" s="151"/>
      <c r="BG123" s="398"/>
    </row>
    <row r="124" spans="1:59" ht="4.5" customHeight="1" x14ac:dyDescent="0.25">
      <c r="A124" s="486"/>
      <c r="B124" s="488"/>
      <c r="C124" s="155"/>
      <c r="D124" s="155"/>
      <c r="E124" s="155"/>
      <c r="F124" s="155"/>
      <c r="G124" s="156"/>
      <c r="H124" s="147"/>
      <c r="I124" s="341"/>
      <c r="J124" s="156"/>
      <c r="K124" s="342"/>
      <c r="L124" s="383"/>
      <c r="M124" s="158"/>
      <c r="N124" s="370"/>
      <c r="O124" s="383"/>
      <c r="P124" s="158"/>
      <c r="Q124" s="370"/>
      <c r="R124" s="383"/>
      <c r="S124" s="158"/>
      <c r="T124" s="370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H124" s="158"/>
      <c r="AI124" s="158"/>
      <c r="AJ124" s="158"/>
      <c r="AK124" s="158"/>
      <c r="AL124" s="158"/>
      <c r="AM124" s="158"/>
      <c r="AN124" s="158"/>
      <c r="AO124" s="158"/>
      <c r="AP124" s="158"/>
      <c r="AQ124" s="158"/>
      <c r="AR124" s="158"/>
      <c r="AS124" s="158"/>
      <c r="AT124" s="158"/>
      <c r="AU124" s="158"/>
      <c r="AV124" s="158"/>
      <c r="AW124" s="158"/>
      <c r="AX124" s="158"/>
      <c r="AY124" s="158"/>
      <c r="AZ124" s="158"/>
      <c r="BA124" s="158"/>
      <c r="BB124" s="158"/>
      <c r="BC124" s="158"/>
      <c r="BD124" s="256"/>
      <c r="BE124" s="383"/>
      <c r="BF124" s="158"/>
      <c r="BG124" s="370"/>
    </row>
    <row r="125" spans="1:59" x14ac:dyDescent="0.25">
      <c r="A125" s="486"/>
      <c r="B125" s="488"/>
      <c r="C125" s="179" t="s">
        <v>88</v>
      </c>
      <c r="D125" s="177"/>
      <c r="E125" s="177"/>
      <c r="F125" s="145"/>
      <c r="G125" s="146"/>
      <c r="H125" s="147"/>
      <c r="I125" s="349"/>
      <c r="J125" s="146"/>
      <c r="K125" s="350"/>
      <c r="L125" s="349"/>
      <c r="M125" s="151"/>
      <c r="N125" s="398"/>
      <c r="O125" s="349"/>
      <c r="P125" s="151"/>
      <c r="Q125" s="398"/>
      <c r="R125" s="349"/>
      <c r="S125" s="151"/>
      <c r="T125" s="398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151"/>
      <c r="BC125" s="151"/>
      <c r="BD125" s="421"/>
      <c r="BE125" s="349"/>
      <c r="BF125" s="151"/>
      <c r="BG125" s="398"/>
    </row>
    <row r="126" spans="1:59" ht="25.5" x14ac:dyDescent="0.25">
      <c r="A126" s="486"/>
      <c r="B126" s="489"/>
      <c r="C126" s="179" t="s">
        <v>89</v>
      </c>
      <c r="D126" s="177"/>
      <c r="E126" s="177"/>
      <c r="F126" s="145"/>
      <c r="G126" s="146"/>
      <c r="H126" s="147"/>
      <c r="I126" s="383">
        <v>8.1999999999999993</v>
      </c>
      <c r="J126" s="183"/>
      <c r="K126" s="384"/>
      <c r="L126" s="383">
        <v>21</v>
      </c>
      <c r="M126" s="184"/>
      <c r="N126" s="404"/>
      <c r="O126" s="383">
        <v>20</v>
      </c>
      <c r="P126" s="184"/>
      <c r="Q126" s="404"/>
      <c r="R126" s="383"/>
      <c r="S126" s="184"/>
      <c r="T126" s="404"/>
      <c r="U126" s="184"/>
      <c r="V126" s="184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  <c r="AI126" s="184"/>
      <c r="AJ126" s="184"/>
      <c r="AK126" s="184"/>
      <c r="AL126" s="184"/>
      <c r="AM126" s="184"/>
      <c r="AN126" s="184"/>
      <c r="AO126" s="184"/>
      <c r="AP126" s="184"/>
      <c r="AQ126" s="184"/>
      <c r="AR126" s="184"/>
      <c r="AS126" s="184"/>
      <c r="AT126" s="184"/>
      <c r="AU126" s="184"/>
      <c r="AV126" s="184"/>
      <c r="AW126" s="184"/>
      <c r="AX126" s="184"/>
      <c r="AY126" s="184"/>
      <c r="AZ126" s="184"/>
      <c r="BA126" s="184"/>
      <c r="BB126" s="184"/>
      <c r="BC126" s="184"/>
      <c r="BD126" s="430"/>
      <c r="BE126" s="383"/>
      <c r="BF126" s="184"/>
      <c r="BG126" s="404"/>
    </row>
    <row r="127" spans="1:59" s="211" customFormat="1" ht="5.25" customHeight="1" x14ac:dyDescent="0.25">
      <c r="A127" s="154"/>
      <c r="B127" s="166"/>
      <c r="C127" s="155"/>
      <c r="D127" s="155"/>
      <c r="E127" s="155"/>
      <c r="F127" s="155"/>
      <c r="G127" s="156"/>
      <c r="H127" s="147"/>
      <c r="I127" s="341"/>
      <c r="J127" s="156"/>
      <c r="K127" s="342"/>
      <c r="L127" s="383"/>
      <c r="M127" s="158"/>
      <c r="N127" s="370"/>
      <c r="O127" s="383"/>
      <c r="P127" s="158"/>
      <c r="Q127" s="370"/>
      <c r="R127" s="383"/>
      <c r="S127" s="158"/>
      <c r="T127" s="370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/>
      <c r="AQ127" s="158"/>
      <c r="AR127" s="158"/>
      <c r="AS127" s="158"/>
      <c r="AT127" s="158"/>
      <c r="AU127" s="158"/>
      <c r="AV127" s="158"/>
      <c r="AW127" s="158"/>
      <c r="AX127" s="158"/>
      <c r="AY127" s="158"/>
      <c r="AZ127" s="158"/>
      <c r="BA127" s="158"/>
      <c r="BB127" s="158"/>
      <c r="BC127" s="158"/>
      <c r="BD127" s="256"/>
      <c r="BE127" s="383"/>
      <c r="BF127" s="158"/>
      <c r="BG127" s="370"/>
    </row>
    <row r="128" spans="1:59" ht="12.75" customHeight="1" x14ac:dyDescent="0.25">
      <c r="A128" s="490" t="s">
        <v>32</v>
      </c>
      <c r="B128" s="490" t="s">
        <v>254</v>
      </c>
      <c r="C128" s="178" t="s">
        <v>255</v>
      </c>
      <c r="D128" s="177"/>
      <c r="E128" s="177"/>
      <c r="F128" s="177"/>
      <c r="G128" s="177"/>
      <c r="H128" s="186"/>
      <c r="I128" s="385"/>
      <c r="J128" s="187"/>
      <c r="K128" s="386"/>
      <c r="L128" s="385"/>
      <c r="M128" s="188"/>
      <c r="N128" s="405"/>
      <c r="O128" s="385"/>
      <c r="P128" s="188"/>
      <c r="Q128" s="405"/>
      <c r="R128" s="385"/>
      <c r="S128" s="188"/>
      <c r="T128" s="405"/>
      <c r="U128" s="188"/>
      <c r="V128" s="188"/>
      <c r="W128" s="188"/>
      <c r="X128" s="188"/>
      <c r="Y128" s="188"/>
      <c r="Z128" s="188"/>
      <c r="AA128" s="188"/>
      <c r="AB128" s="188"/>
      <c r="AC128" s="188"/>
      <c r="AD128" s="188"/>
      <c r="AE128" s="188"/>
      <c r="AF128" s="188"/>
      <c r="AG128" s="188"/>
      <c r="AH128" s="188"/>
      <c r="AI128" s="188"/>
      <c r="AJ128" s="188"/>
      <c r="AK128" s="188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88"/>
      <c r="AV128" s="188"/>
      <c r="AW128" s="188"/>
      <c r="AX128" s="188"/>
      <c r="AY128" s="188"/>
      <c r="AZ128" s="188"/>
      <c r="BA128" s="188"/>
      <c r="BB128" s="188"/>
      <c r="BC128" s="188"/>
      <c r="BD128" s="431"/>
      <c r="BE128" s="385"/>
      <c r="BF128" s="188"/>
      <c r="BG128" s="405"/>
    </row>
    <row r="129" spans="1:59" x14ac:dyDescent="0.25">
      <c r="A129" s="490"/>
      <c r="B129" s="490"/>
      <c r="C129" s="178" t="s">
        <v>256</v>
      </c>
      <c r="D129" s="177"/>
      <c r="E129" s="177"/>
      <c r="F129" s="177"/>
      <c r="G129" s="177"/>
      <c r="H129" s="186"/>
      <c r="I129" s="385">
        <f>I28/163</f>
        <v>0.27607361963190186</v>
      </c>
      <c r="J129" s="187"/>
      <c r="K129" s="386"/>
      <c r="L129" s="385">
        <f>L28/162</f>
        <v>0.27777777777777779</v>
      </c>
      <c r="M129" s="188"/>
      <c r="N129" s="405"/>
      <c r="O129" s="385">
        <f>O28/168</f>
        <v>0.26785714285714285</v>
      </c>
      <c r="P129" s="188"/>
      <c r="Q129" s="405"/>
      <c r="R129" s="385"/>
      <c r="S129" s="188"/>
      <c r="T129" s="405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188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8"/>
      <c r="BD129" s="431"/>
      <c r="BE129" s="385"/>
      <c r="BF129" s="188"/>
      <c r="BG129" s="405"/>
    </row>
    <row r="130" spans="1:59" x14ac:dyDescent="0.25">
      <c r="A130" s="490"/>
      <c r="B130" s="490"/>
      <c r="C130" s="178" t="s">
        <v>114</v>
      </c>
      <c r="D130" s="177"/>
      <c r="E130" s="177"/>
      <c r="F130" s="177"/>
      <c r="G130" s="177"/>
      <c r="H130" s="186"/>
      <c r="I130" s="385">
        <f>(I30/296)</f>
        <v>2.0270270270270271E-2</v>
      </c>
      <c r="J130" s="187"/>
      <c r="K130" s="386"/>
      <c r="L130" s="385">
        <f>(L30/296)</f>
        <v>2.0270270270270271E-2</v>
      </c>
      <c r="M130" s="188"/>
      <c r="N130" s="405"/>
      <c r="O130" s="385">
        <f>(O30/296)</f>
        <v>2.0270270270270271E-2</v>
      </c>
      <c r="P130" s="188"/>
      <c r="Q130" s="405"/>
      <c r="R130" s="385"/>
      <c r="S130" s="188"/>
      <c r="T130" s="405"/>
      <c r="U130" s="188"/>
      <c r="V130" s="188"/>
      <c r="W130" s="188"/>
      <c r="X130" s="188"/>
      <c r="Y130" s="188"/>
      <c r="Z130" s="188"/>
      <c r="AA130" s="188"/>
      <c r="AB130" s="188"/>
      <c r="AC130" s="188"/>
      <c r="AD130" s="188"/>
      <c r="AE130" s="188"/>
      <c r="AF130" s="188"/>
      <c r="AG130" s="188"/>
      <c r="AH130" s="188"/>
      <c r="AI130" s="188"/>
      <c r="AJ130" s="188"/>
      <c r="AK130" s="188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8"/>
      <c r="AX130" s="188"/>
      <c r="AY130" s="188"/>
      <c r="AZ130" s="188"/>
      <c r="BA130" s="188"/>
      <c r="BB130" s="188"/>
      <c r="BC130" s="188"/>
      <c r="BD130" s="431"/>
      <c r="BE130" s="385"/>
      <c r="BF130" s="188"/>
      <c r="BG130" s="405"/>
    </row>
    <row r="131" spans="1:59" x14ac:dyDescent="0.25">
      <c r="A131" s="490"/>
      <c r="B131" s="490"/>
      <c r="C131" s="178" t="s">
        <v>18</v>
      </c>
      <c r="D131" s="177"/>
      <c r="E131" s="177"/>
      <c r="F131" s="177"/>
      <c r="G131" s="177"/>
      <c r="H131" s="186"/>
      <c r="I131" s="385">
        <f>I36/18</f>
        <v>0.94444444444444442</v>
      </c>
      <c r="J131" s="187"/>
      <c r="K131" s="386"/>
      <c r="L131" s="385">
        <f>L36/18</f>
        <v>0.94444444444444442</v>
      </c>
      <c r="M131" s="188"/>
      <c r="N131" s="405"/>
      <c r="O131" s="385">
        <f>O36/18</f>
        <v>0.94444444444444442</v>
      </c>
      <c r="P131" s="188"/>
      <c r="Q131" s="405"/>
      <c r="R131" s="385"/>
      <c r="S131" s="188"/>
      <c r="T131" s="405"/>
      <c r="U131" s="188"/>
      <c r="V131" s="188"/>
      <c r="W131" s="188"/>
      <c r="X131" s="188"/>
      <c r="Y131" s="188"/>
      <c r="Z131" s="188"/>
      <c r="AA131" s="188"/>
      <c r="AB131" s="188"/>
      <c r="AC131" s="188"/>
      <c r="AD131" s="188"/>
      <c r="AE131" s="188"/>
      <c r="AF131" s="188"/>
      <c r="AG131" s="188"/>
      <c r="AH131" s="188"/>
      <c r="AI131" s="188"/>
      <c r="AJ131" s="188"/>
      <c r="AK131" s="188"/>
      <c r="AL131" s="188"/>
      <c r="AM131" s="188"/>
      <c r="AN131" s="188"/>
      <c r="AO131" s="188"/>
      <c r="AP131" s="188"/>
      <c r="AQ131" s="188"/>
      <c r="AR131" s="188"/>
      <c r="AS131" s="188"/>
      <c r="AT131" s="188"/>
      <c r="AU131" s="188"/>
      <c r="AV131" s="188"/>
      <c r="AW131" s="188"/>
      <c r="AX131" s="188"/>
      <c r="AY131" s="188"/>
      <c r="AZ131" s="188"/>
      <c r="BA131" s="188"/>
      <c r="BB131" s="188"/>
      <c r="BC131" s="188"/>
      <c r="BD131" s="431"/>
      <c r="BE131" s="385"/>
      <c r="BF131" s="188"/>
      <c r="BG131" s="405"/>
    </row>
    <row r="132" spans="1:59" x14ac:dyDescent="0.25">
      <c r="A132" s="490"/>
      <c r="B132" s="490" t="s">
        <v>257</v>
      </c>
      <c r="C132" s="178" t="s">
        <v>255</v>
      </c>
      <c r="D132" s="177"/>
      <c r="E132" s="177"/>
      <c r="F132" s="177"/>
      <c r="G132" s="177"/>
      <c r="H132" s="186"/>
      <c r="I132" s="385"/>
      <c r="J132" s="187"/>
      <c r="K132" s="386"/>
      <c r="L132" s="385"/>
      <c r="M132" s="188"/>
      <c r="N132" s="405"/>
      <c r="O132" s="385"/>
      <c r="P132" s="188"/>
      <c r="Q132" s="405"/>
      <c r="R132" s="385"/>
      <c r="S132" s="188"/>
      <c r="T132" s="405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8"/>
      <c r="AX132" s="188"/>
      <c r="AY132" s="188"/>
      <c r="AZ132" s="188"/>
      <c r="BA132" s="188"/>
      <c r="BB132" s="188"/>
      <c r="BC132" s="188"/>
      <c r="BD132" s="431"/>
      <c r="BE132" s="385"/>
      <c r="BF132" s="188"/>
      <c r="BG132" s="405"/>
    </row>
    <row r="133" spans="1:59" x14ac:dyDescent="0.25">
      <c r="A133" s="490"/>
      <c r="B133" s="490"/>
      <c r="C133" s="178" t="s">
        <v>256</v>
      </c>
      <c r="D133" s="177"/>
      <c r="E133" s="177"/>
      <c r="F133" s="177"/>
      <c r="G133" s="177"/>
      <c r="H133" s="186"/>
      <c r="I133" s="385"/>
      <c r="J133" s="187"/>
      <c r="K133" s="386"/>
      <c r="L133" s="385"/>
      <c r="M133" s="188"/>
      <c r="N133" s="405"/>
      <c r="O133" s="385"/>
      <c r="P133" s="188"/>
      <c r="Q133" s="405"/>
      <c r="R133" s="385"/>
      <c r="S133" s="188"/>
      <c r="T133" s="405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431"/>
      <c r="BE133" s="385"/>
      <c r="BF133" s="188"/>
      <c r="BG133" s="405"/>
    </row>
    <row r="134" spans="1:59" x14ac:dyDescent="0.25">
      <c r="A134" s="490"/>
      <c r="B134" s="490"/>
      <c r="C134" s="178" t="s">
        <v>114</v>
      </c>
      <c r="D134" s="177"/>
      <c r="E134" s="177"/>
      <c r="F134" s="177"/>
      <c r="G134" s="177"/>
      <c r="H134" s="186"/>
      <c r="I134" s="385"/>
      <c r="J134" s="187"/>
      <c r="K134" s="386"/>
      <c r="L134" s="385"/>
      <c r="M134" s="188"/>
      <c r="N134" s="405"/>
      <c r="O134" s="385"/>
      <c r="P134" s="188"/>
      <c r="Q134" s="405"/>
      <c r="R134" s="385"/>
      <c r="S134" s="188"/>
      <c r="T134" s="405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431"/>
      <c r="BE134" s="385"/>
      <c r="BF134" s="188"/>
      <c r="BG134" s="405"/>
    </row>
    <row r="135" spans="1:59" x14ac:dyDescent="0.25">
      <c r="A135" s="490"/>
      <c r="B135" s="490"/>
      <c r="C135" s="178" t="s">
        <v>18</v>
      </c>
      <c r="D135" s="177"/>
      <c r="E135" s="177"/>
      <c r="F135" s="177"/>
      <c r="G135" s="177"/>
      <c r="H135" s="186"/>
      <c r="I135" s="385"/>
      <c r="J135" s="187"/>
      <c r="K135" s="386"/>
      <c r="L135" s="385"/>
      <c r="M135" s="188"/>
      <c r="N135" s="405"/>
      <c r="O135" s="385"/>
      <c r="P135" s="188"/>
      <c r="Q135" s="405"/>
      <c r="R135" s="385"/>
      <c r="S135" s="188"/>
      <c r="T135" s="405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8"/>
      <c r="AX135" s="188"/>
      <c r="AY135" s="188"/>
      <c r="AZ135" s="188"/>
      <c r="BA135" s="188"/>
      <c r="BB135" s="188"/>
      <c r="BC135" s="188"/>
      <c r="BD135" s="431"/>
      <c r="BE135" s="385"/>
      <c r="BF135" s="188"/>
      <c r="BG135" s="405"/>
    </row>
    <row r="136" spans="1:59" s="211" customFormat="1" ht="5.25" customHeight="1" x14ac:dyDescent="0.25">
      <c r="A136" s="154"/>
      <c r="B136" s="166"/>
      <c r="C136" s="155"/>
      <c r="D136" s="155"/>
      <c r="E136" s="155"/>
      <c r="F136" s="155"/>
      <c r="G136" s="156"/>
      <c r="H136" s="147"/>
      <c r="I136" s="341"/>
      <c r="J136" s="156"/>
      <c r="K136" s="342"/>
      <c r="L136" s="383"/>
      <c r="M136" s="158"/>
      <c r="N136" s="370"/>
      <c r="O136" s="383"/>
      <c r="P136" s="158"/>
      <c r="Q136" s="370"/>
      <c r="R136" s="383"/>
      <c r="S136" s="158"/>
      <c r="T136" s="370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/>
      <c r="AQ136" s="158"/>
      <c r="AR136" s="158"/>
      <c r="AS136" s="158"/>
      <c r="AT136" s="158"/>
      <c r="AU136" s="158"/>
      <c r="AV136" s="158"/>
      <c r="AW136" s="158"/>
      <c r="AX136" s="158"/>
      <c r="AY136" s="158"/>
      <c r="AZ136" s="158"/>
      <c r="BA136" s="158"/>
      <c r="BB136" s="158"/>
      <c r="BC136" s="158"/>
      <c r="BD136" s="256"/>
      <c r="BE136" s="383"/>
      <c r="BF136" s="158"/>
      <c r="BG136" s="370"/>
    </row>
    <row r="137" spans="1:59" ht="15" customHeight="1" x14ac:dyDescent="0.25">
      <c r="A137" s="435" t="s">
        <v>35</v>
      </c>
      <c r="B137" s="173"/>
      <c r="C137" s="173"/>
      <c r="D137" s="142"/>
      <c r="E137" s="142"/>
      <c r="F137" s="142"/>
      <c r="G137" s="174"/>
      <c r="H137" s="144"/>
      <c r="I137" s="353"/>
      <c r="J137" s="142"/>
      <c r="K137" s="354"/>
      <c r="L137" s="353"/>
      <c r="M137" s="142"/>
      <c r="N137" s="354"/>
      <c r="O137" s="353"/>
      <c r="P137" s="142"/>
      <c r="Q137" s="354"/>
      <c r="R137" s="353"/>
      <c r="S137" s="142"/>
      <c r="T137" s="354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353"/>
      <c r="BF137" s="142"/>
      <c r="BG137" s="354"/>
    </row>
    <row r="138" spans="1:59" s="211" customFormat="1" ht="5.25" customHeight="1" x14ac:dyDescent="0.25">
      <c r="A138" s="154"/>
      <c r="B138" s="166"/>
      <c r="C138" s="155"/>
      <c r="D138" s="155"/>
      <c r="E138" s="155"/>
      <c r="F138" s="155"/>
      <c r="G138" s="156"/>
      <c r="H138" s="147"/>
      <c r="I138" s="341"/>
      <c r="J138" s="156"/>
      <c r="K138" s="342"/>
      <c r="L138" s="383"/>
      <c r="M138" s="158"/>
      <c r="N138" s="370"/>
      <c r="O138" s="383"/>
      <c r="P138" s="158"/>
      <c r="Q138" s="370"/>
      <c r="R138" s="383"/>
      <c r="S138" s="158"/>
      <c r="T138" s="370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  <c r="AH138" s="158"/>
      <c r="AI138" s="158"/>
      <c r="AJ138" s="158"/>
      <c r="AK138" s="158"/>
      <c r="AL138" s="158"/>
      <c r="AM138" s="158"/>
      <c r="AN138" s="158"/>
      <c r="AO138" s="158"/>
      <c r="AP138" s="158"/>
      <c r="AQ138" s="158"/>
      <c r="AR138" s="158"/>
      <c r="AS138" s="158"/>
      <c r="AT138" s="158"/>
      <c r="AU138" s="158"/>
      <c r="AV138" s="158"/>
      <c r="AW138" s="158"/>
      <c r="AX138" s="158"/>
      <c r="AY138" s="158"/>
      <c r="AZ138" s="158"/>
      <c r="BA138" s="158"/>
      <c r="BB138" s="158"/>
      <c r="BC138" s="158"/>
      <c r="BD138" s="256"/>
      <c r="BE138" s="383"/>
      <c r="BF138" s="158"/>
      <c r="BG138" s="370"/>
    </row>
    <row r="139" spans="1:59" ht="44.25" customHeight="1" x14ac:dyDescent="0.25">
      <c r="A139" s="482" t="s">
        <v>103</v>
      </c>
      <c r="B139" s="482"/>
      <c r="C139" s="189" t="s">
        <v>258</v>
      </c>
      <c r="D139" s="145"/>
      <c r="E139" s="145"/>
      <c r="F139" s="145"/>
      <c r="G139" s="146"/>
      <c r="H139" s="147"/>
      <c r="I139" s="383"/>
      <c r="J139" s="183"/>
      <c r="K139" s="384"/>
      <c r="L139" s="383"/>
      <c r="M139" s="184"/>
      <c r="N139" s="404"/>
      <c r="O139" s="383"/>
      <c r="P139" s="184"/>
      <c r="Q139" s="404"/>
      <c r="R139" s="383"/>
      <c r="S139" s="184"/>
      <c r="T139" s="404"/>
      <c r="U139" s="184"/>
      <c r="V139" s="184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184"/>
      <c r="AT139" s="184"/>
      <c r="AU139" s="184"/>
      <c r="AV139" s="184"/>
      <c r="AW139" s="184"/>
      <c r="AX139" s="184"/>
      <c r="AY139" s="184"/>
      <c r="AZ139" s="184"/>
      <c r="BA139" s="184"/>
      <c r="BB139" s="184"/>
      <c r="BC139" s="184"/>
      <c r="BD139" s="430"/>
      <c r="BE139" s="383"/>
      <c r="BF139" s="184"/>
      <c r="BG139" s="404"/>
    </row>
    <row r="140" spans="1:59" s="214" customFormat="1" ht="5.25" customHeight="1" x14ac:dyDescent="0.25">
      <c r="A140" s="192"/>
      <c r="B140" s="192"/>
      <c r="C140" s="193"/>
      <c r="D140" s="193"/>
      <c r="E140" s="193"/>
      <c r="F140" s="193"/>
      <c r="G140" s="194"/>
      <c r="H140" s="147"/>
      <c r="I140" s="387"/>
      <c r="J140" s="194"/>
      <c r="K140" s="388"/>
      <c r="L140" s="406"/>
      <c r="M140" s="195"/>
      <c r="N140" s="407"/>
      <c r="O140" s="406"/>
      <c r="P140" s="195"/>
      <c r="Q140" s="407"/>
      <c r="R140" s="406"/>
      <c r="S140" s="195"/>
      <c r="T140" s="407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95"/>
      <c r="AZ140" s="195"/>
      <c r="BA140" s="195"/>
      <c r="BB140" s="195"/>
      <c r="BC140" s="195"/>
      <c r="BD140" s="195"/>
      <c r="BE140" s="406"/>
      <c r="BF140" s="195"/>
      <c r="BG140" s="407"/>
    </row>
    <row r="141" spans="1:59" s="214" customFormat="1" x14ac:dyDescent="0.25">
      <c r="A141" s="483" t="s">
        <v>91</v>
      </c>
      <c r="B141" s="484" t="s">
        <v>259</v>
      </c>
      <c r="C141" s="178" t="s">
        <v>255</v>
      </c>
      <c r="D141" s="145"/>
      <c r="E141" s="145"/>
      <c r="F141" s="145"/>
      <c r="G141" s="146"/>
      <c r="H141" s="147"/>
      <c r="I141" s="383" t="s">
        <v>282</v>
      </c>
      <c r="J141" s="183"/>
      <c r="K141" s="384"/>
      <c r="L141" s="383" t="s">
        <v>282</v>
      </c>
      <c r="M141" s="184"/>
      <c r="N141" s="404"/>
      <c r="O141" s="383" t="s">
        <v>282</v>
      </c>
      <c r="P141" s="184"/>
      <c r="Q141" s="404"/>
      <c r="R141" s="383"/>
      <c r="S141" s="184"/>
      <c r="T141" s="40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184"/>
      <c r="AV141" s="184"/>
      <c r="AW141" s="184"/>
      <c r="AX141" s="184"/>
      <c r="AY141" s="184"/>
      <c r="AZ141" s="184"/>
      <c r="BA141" s="184"/>
      <c r="BB141" s="184"/>
      <c r="BC141" s="184"/>
      <c r="BD141" s="430"/>
      <c r="BE141" s="383"/>
      <c r="BF141" s="184"/>
      <c r="BG141" s="404"/>
    </row>
    <row r="142" spans="1:59" s="214" customFormat="1" x14ac:dyDescent="0.25">
      <c r="A142" s="483"/>
      <c r="B142" s="484"/>
      <c r="C142" s="178" t="s">
        <v>256</v>
      </c>
      <c r="D142" s="145"/>
      <c r="E142" s="145"/>
      <c r="F142" s="145"/>
      <c r="G142" s="146"/>
      <c r="H142" s="147"/>
      <c r="I142" s="383">
        <v>0</v>
      </c>
      <c r="J142" s="183"/>
      <c r="K142" s="384"/>
      <c r="L142" s="383">
        <v>4</v>
      </c>
      <c r="M142" s="184"/>
      <c r="N142" s="404"/>
      <c r="O142" s="383">
        <v>0</v>
      </c>
      <c r="P142" s="184"/>
      <c r="Q142" s="404"/>
      <c r="R142" s="383"/>
      <c r="S142" s="184"/>
      <c r="T142" s="404"/>
      <c r="U142" s="184"/>
      <c r="V142" s="184"/>
      <c r="W142" s="184"/>
      <c r="X142" s="184"/>
      <c r="Y142" s="184"/>
      <c r="Z142" s="184"/>
      <c r="AA142" s="184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  <c r="AQ142" s="184"/>
      <c r="AR142" s="184"/>
      <c r="AS142" s="184"/>
      <c r="AT142" s="184"/>
      <c r="AU142" s="184"/>
      <c r="AV142" s="184"/>
      <c r="AW142" s="184"/>
      <c r="AX142" s="184"/>
      <c r="AY142" s="184"/>
      <c r="AZ142" s="184"/>
      <c r="BA142" s="184"/>
      <c r="BB142" s="184"/>
      <c r="BC142" s="184"/>
      <c r="BD142" s="430"/>
      <c r="BE142" s="383"/>
      <c r="BF142" s="184"/>
      <c r="BG142" s="404"/>
    </row>
    <row r="143" spans="1:59" s="214" customFormat="1" x14ac:dyDescent="0.25">
      <c r="A143" s="483"/>
      <c r="B143" s="484"/>
      <c r="C143" s="178" t="s">
        <v>114</v>
      </c>
      <c r="D143" s="145"/>
      <c r="E143" s="145"/>
      <c r="F143" s="145"/>
      <c r="G143" s="146"/>
      <c r="H143" s="147"/>
      <c r="I143" s="383" t="s">
        <v>282</v>
      </c>
      <c r="J143" s="183"/>
      <c r="K143" s="384"/>
      <c r="L143" s="383" t="s">
        <v>282</v>
      </c>
      <c r="M143" s="184"/>
      <c r="N143" s="404"/>
      <c r="O143" s="383" t="s">
        <v>282</v>
      </c>
      <c r="P143" s="184"/>
      <c r="Q143" s="404"/>
      <c r="R143" s="383"/>
      <c r="S143" s="184"/>
      <c r="T143" s="404"/>
      <c r="U143" s="184"/>
      <c r="V143" s="184"/>
      <c r="W143" s="184"/>
      <c r="X143" s="184"/>
      <c r="Y143" s="184"/>
      <c r="Z143" s="184"/>
      <c r="AA143" s="184"/>
      <c r="AB143" s="184"/>
      <c r="AC143" s="184"/>
      <c r="AD143" s="184"/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84"/>
      <c r="AO143" s="184"/>
      <c r="AP143" s="184"/>
      <c r="AQ143" s="184"/>
      <c r="AR143" s="184"/>
      <c r="AS143" s="184"/>
      <c r="AT143" s="184"/>
      <c r="AU143" s="184"/>
      <c r="AV143" s="184"/>
      <c r="AW143" s="184"/>
      <c r="AX143" s="184"/>
      <c r="AY143" s="184"/>
      <c r="AZ143" s="184"/>
      <c r="BA143" s="184"/>
      <c r="BB143" s="184"/>
      <c r="BC143" s="184"/>
      <c r="BD143" s="430"/>
      <c r="BE143" s="383"/>
      <c r="BF143" s="184"/>
      <c r="BG143" s="404"/>
    </row>
    <row r="144" spans="1:59" s="214" customFormat="1" x14ac:dyDescent="0.25">
      <c r="A144" s="483"/>
      <c r="B144" s="484"/>
      <c r="C144" s="178" t="s">
        <v>18</v>
      </c>
      <c r="D144" s="145"/>
      <c r="E144" s="145"/>
      <c r="F144" s="145"/>
      <c r="G144" s="146"/>
      <c r="H144" s="147"/>
      <c r="I144" s="383" t="s">
        <v>282</v>
      </c>
      <c r="J144" s="183"/>
      <c r="K144" s="384"/>
      <c r="L144" s="383" t="s">
        <v>282</v>
      </c>
      <c r="M144" s="184"/>
      <c r="N144" s="404"/>
      <c r="O144" s="383" t="s">
        <v>282</v>
      </c>
      <c r="P144" s="184"/>
      <c r="Q144" s="404"/>
      <c r="R144" s="383"/>
      <c r="S144" s="184"/>
      <c r="T144" s="404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84"/>
      <c r="AO144" s="184"/>
      <c r="AP144" s="184"/>
      <c r="AQ144" s="184"/>
      <c r="AR144" s="184"/>
      <c r="AS144" s="184"/>
      <c r="AT144" s="184"/>
      <c r="AU144" s="184"/>
      <c r="AV144" s="184"/>
      <c r="AW144" s="184"/>
      <c r="AX144" s="184"/>
      <c r="AY144" s="184"/>
      <c r="AZ144" s="184"/>
      <c r="BA144" s="184"/>
      <c r="BB144" s="184"/>
      <c r="BC144" s="184"/>
      <c r="BD144" s="430"/>
      <c r="BE144" s="383"/>
      <c r="BF144" s="184"/>
      <c r="BG144" s="404"/>
    </row>
    <row r="145" spans="1:59" s="211" customFormat="1" ht="5.25" customHeight="1" x14ac:dyDescent="0.25">
      <c r="A145" s="154"/>
      <c r="B145" s="166"/>
      <c r="C145" s="155"/>
      <c r="D145" s="155"/>
      <c r="E145" s="155"/>
      <c r="F145" s="155"/>
      <c r="G145" s="156"/>
      <c r="H145" s="147"/>
      <c r="I145" s="341"/>
      <c r="J145" s="156"/>
      <c r="K145" s="342"/>
      <c r="L145" s="383"/>
      <c r="M145" s="158"/>
      <c r="N145" s="370"/>
      <c r="O145" s="383"/>
      <c r="P145" s="158"/>
      <c r="Q145" s="370"/>
      <c r="R145" s="383"/>
      <c r="S145" s="158"/>
      <c r="T145" s="370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/>
      <c r="AQ145" s="158"/>
      <c r="AR145" s="158"/>
      <c r="AS145" s="158"/>
      <c r="AT145" s="158"/>
      <c r="AU145" s="158"/>
      <c r="AV145" s="158"/>
      <c r="AW145" s="158"/>
      <c r="AX145" s="158"/>
      <c r="AY145" s="158"/>
      <c r="AZ145" s="158"/>
      <c r="BA145" s="158"/>
      <c r="BB145" s="158"/>
      <c r="BC145" s="158"/>
      <c r="BD145" s="256"/>
      <c r="BE145" s="383"/>
      <c r="BF145" s="158"/>
      <c r="BG145" s="370"/>
    </row>
    <row r="146" spans="1:59" ht="15" customHeight="1" x14ac:dyDescent="0.25">
      <c r="A146" s="435" t="s">
        <v>104</v>
      </c>
      <c r="B146" s="173"/>
      <c r="C146" s="173"/>
      <c r="D146" s="142"/>
      <c r="E146" s="142"/>
      <c r="F146" s="142"/>
      <c r="G146" s="174"/>
      <c r="H146" s="144"/>
      <c r="I146" s="353"/>
      <c r="J146" s="142"/>
      <c r="K146" s="354"/>
      <c r="L146" s="353"/>
      <c r="M146" s="142"/>
      <c r="N146" s="354"/>
      <c r="O146" s="353"/>
      <c r="P146" s="142"/>
      <c r="Q146" s="354"/>
      <c r="R146" s="353"/>
      <c r="S146" s="142"/>
      <c r="T146" s="354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353"/>
      <c r="BF146" s="142"/>
      <c r="BG146" s="354"/>
    </row>
    <row r="147" spans="1:59" s="211" customFormat="1" ht="5.25" customHeight="1" x14ac:dyDescent="0.25">
      <c r="A147" s="154"/>
      <c r="B147" s="166"/>
      <c r="C147" s="155"/>
      <c r="D147" s="155"/>
      <c r="E147" s="155"/>
      <c r="F147" s="155"/>
      <c r="G147" s="156"/>
      <c r="H147" s="147"/>
      <c r="I147" s="341"/>
      <c r="J147" s="156"/>
      <c r="K147" s="342"/>
      <c r="L147" s="383"/>
      <c r="M147" s="158"/>
      <c r="N147" s="370"/>
      <c r="O147" s="383"/>
      <c r="P147" s="158"/>
      <c r="Q147" s="370"/>
      <c r="R147" s="383"/>
      <c r="S147" s="158"/>
      <c r="T147" s="370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/>
      <c r="AQ147" s="158"/>
      <c r="AR147" s="158"/>
      <c r="AS147" s="158"/>
      <c r="AT147" s="158"/>
      <c r="AU147" s="158"/>
      <c r="AV147" s="158"/>
      <c r="AW147" s="158"/>
      <c r="AX147" s="158"/>
      <c r="AY147" s="158"/>
      <c r="AZ147" s="158"/>
      <c r="BA147" s="158"/>
      <c r="BB147" s="158"/>
      <c r="BC147" s="158"/>
      <c r="BD147" s="256"/>
      <c r="BE147" s="383"/>
      <c r="BF147" s="158"/>
      <c r="BG147" s="370"/>
    </row>
    <row r="148" spans="1:59" s="211" customFormat="1" x14ac:dyDescent="0.25">
      <c r="A148" s="469" t="s">
        <v>260</v>
      </c>
      <c r="B148" s="470"/>
      <c r="C148" s="178" t="s">
        <v>255</v>
      </c>
      <c r="D148" s="145"/>
      <c r="E148" s="145"/>
      <c r="F148" s="145"/>
      <c r="G148" s="146"/>
      <c r="H148" s="147"/>
      <c r="I148" s="383">
        <v>0</v>
      </c>
      <c r="J148" s="183"/>
      <c r="K148" s="384"/>
      <c r="L148" s="383">
        <v>0</v>
      </c>
      <c r="M148" s="158"/>
      <c r="N148" s="370"/>
      <c r="O148" s="383">
        <v>0</v>
      </c>
      <c r="P148" s="158"/>
      <c r="Q148" s="370"/>
      <c r="R148" s="383"/>
      <c r="S148" s="158"/>
      <c r="T148" s="370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8"/>
      <c r="AS148" s="158"/>
      <c r="AT148" s="158"/>
      <c r="AU148" s="158"/>
      <c r="AV148" s="158"/>
      <c r="AW148" s="158"/>
      <c r="AX148" s="158"/>
      <c r="AY148" s="158"/>
      <c r="AZ148" s="158"/>
      <c r="BA148" s="158"/>
      <c r="BB148" s="158"/>
      <c r="BC148" s="158"/>
      <c r="BD148" s="256"/>
      <c r="BE148" s="383"/>
      <c r="BF148" s="158"/>
      <c r="BG148" s="370"/>
    </row>
    <row r="149" spans="1:59" s="211" customFormat="1" x14ac:dyDescent="0.25">
      <c r="A149" s="471"/>
      <c r="B149" s="472"/>
      <c r="C149" s="178" t="s">
        <v>256</v>
      </c>
      <c r="D149" s="145"/>
      <c r="E149" s="145"/>
      <c r="F149" s="145"/>
      <c r="G149" s="146"/>
      <c r="H149" s="147"/>
      <c r="I149" s="383">
        <v>4.75</v>
      </c>
      <c r="J149" s="183"/>
      <c r="K149" s="384"/>
      <c r="L149" s="383">
        <v>2.82</v>
      </c>
      <c r="M149" s="158"/>
      <c r="N149" s="370"/>
      <c r="O149" s="383">
        <v>6.39</v>
      </c>
      <c r="P149" s="158"/>
      <c r="Q149" s="370"/>
      <c r="R149" s="383"/>
      <c r="S149" s="158"/>
      <c r="T149" s="370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8"/>
      <c r="AT149" s="158"/>
      <c r="AU149" s="158"/>
      <c r="AV149" s="158"/>
      <c r="AW149" s="158"/>
      <c r="AX149" s="158"/>
      <c r="AY149" s="158"/>
      <c r="AZ149" s="158"/>
      <c r="BA149" s="158"/>
      <c r="BB149" s="158"/>
      <c r="BC149" s="158"/>
      <c r="BD149" s="256"/>
      <c r="BE149" s="383"/>
      <c r="BF149" s="158"/>
      <c r="BG149" s="370"/>
    </row>
    <row r="150" spans="1:59" s="211" customFormat="1" x14ac:dyDescent="0.25">
      <c r="A150" s="471"/>
      <c r="B150" s="472"/>
      <c r="C150" s="178" t="s">
        <v>114</v>
      </c>
      <c r="D150" s="145"/>
      <c r="E150" s="145"/>
      <c r="F150" s="145"/>
      <c r="G150" s="146"/>
      <c r="H150" s="147"/>
      <c r="I150" s="383">
        <v>2.0699999999999998</v>
      </c>
      <c r="J150" s="183"/>
      <c r="K150" s="384"/>
      <c r="L150" s="383">
        <v>3.64</v>
      </c>
      <c r="M150" s="158"/>
      <c r="N150" s="370"/>
      <c r="O150" s="383">
        <v>3.87</v>
      </c>
      <c r="P150" s="158"/>
      <c r="Q150" s="370"/>
      <c r="R150" s="383"/>
      <c r="S150" s="158"/>
      <c r="T150" s="370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  <c r="AH150" s="158"/>
      <c r="AI150" s="158"/>
      <c r="AJ150" s="158"/>
      <c r="AK150" s="158"/>
      <c r="AL150" s="158"/>
      <c r="AM150" s="158"/>
      <c r="AN150" s="158"/>
      <c r="AO150" s="158"/>
      <c r="AP150" s="158"/>
      <c r="AQ150" s="158"/>
      <c r="AR150" s="158"/>
      <c r="AS150" s="158"/>
      <c r="AT150" s="158"/>
      <c r="AU150" s="158"/>
      <c r="AV150" s="158"/>
      <c r="AW150" s="158"/>
      <c r="AX150" s="158"/>
      <c r="AY150" s="158"/>
      <c r="AZ150" s="158"/>
      <c r="BA150" s="158"/>
      <c r="BB150" s="158"/>
      <c r="BC150" s="158"/>
      <c r="BD150" s="256"/>
      <c r="BE150" s="383"/>
      <c r="BF150" s="158"/>
      <c r="BG150" s="370"/>
    </row>
    <row r="151" spans="1:59" s="211" customFormat="1" x14ac:dyDescent="0.25">
      <c r="A151" s="473"/>
      <c r="B151" s="474"/>
      <c r="C151" s="178" t="s">
        <v>18</v>
      </c>
      <c r="D151" s="145"/>
      <c r="E151" s="145"/>
      <c r="F151" s="145"/>
      <c r="G151" s="146"/>
      <c r="H151" s="147"/>
      <c r="I151" s="383">
        <v>1.05</v>
      </c>
      <c r="J151" s="183"/>
      <c r="K151" s="384"/>
      <c r="L151" s="383">
        <v>13.08</v>
      </c>
      <c r="M151" s="158"/>
      <c r="N151" s="370"/>
      <c r="O151" s="383">
        <v>13.8</v>
      </c>
      <c r="P151" s="158"/>
      <c r="Q151" s="370"/>
      <c r="R151" s="383"/>
      <c r="S151" s="158"/>
      <c r="T151" s="370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  <c r="AH151" s="158"/>
      <c r="AI151" s="158"/>
      <c r="AJ151" s="158"/>
      <c r="AK151" s="158"/>
      <c r="AL151" s="158"/>
      <c r="AM151" s="158"/>
      <c r="AN151" s="158"/>
      <c r="AO151" s="158"/>
      <c r="AP151" s="158"/>
      <c r="AQ151" s="158"/>
      <c r="AR151" s="158"/>
      <c r="AS151" s="158"/>
      <c r="AT151" s="158"/>
      <c r="AU151" s="158"/>
      <c r="AV151" s="158"/>
      <c r="AW151" s="158"/>
      <c r="AX151" s="158"/>
      <c r="AY151" s="158"/>
      <c r="AZ151" s="158"/>
      <c r="BA151" s="158"/>
      <c r="BB151" s="158"/>
      <c r="BC151" s="158"/>
      <c r="BD151" s="256"/>
      <c r="BE151" s="383"/>
      <c r="BF151" s="158"/>
      <c r="BG151" s="370"/>
    </row>
    <row r="152" spans="1:59" s="211" customFormat="1" ht="6.75" customHeight="1" x14ac:dyDescent="0.25">
      <c r="A152" s="154"/>
      <c r="B152" s="166"/>
      <c r="C152" s="155"/>
      <c r="D152" s="155"/>
      <c r="E152" s="155"/>
      <c r="F152" s="155"/>
      <c r="G152" s="156"/>
      <c r="H152" s="147"/>
      <c r="I152" s="341"/>
      <c r="J152" s="156"/>
      <c r="K152" s="342"/>
      <c r="L152" s="383"/>
      <c r="M152" s="158"/>
      <c r="N152" s="370"/>
      <c r="O152" s="383"/>
      <c r="P152" s="158"/>
      <c r="Q152" s="370"/>
      <c r="R152" s="383"/>
      <c r="S152" s="158"/>
      <c r="T152" s="370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8"/>
      <c r="AP152" s="158"/>
      <c r="AQ152" s="158"/>
      <c r="AR152" s="158"/>
      <c r="AS152" s="158"/>
      <c r="AT152" s="158"/>
      <c r="AU152" s="158"/>
      <c r="AV152" s="158"/>
      <c r="AW152" s="158"/>
      <c r="AX152" s="158"/>
      <c r="AY152" s="158"/>
      <c r="AZ152" s="158"/>
      <c r="BA152" s="158"/>
      <c r="BB152" s="158"/>
      <c r="BC152" s="158"/>
      <c r="BD152" s="256"/>
      <c r="BE152" s="383"/>
      <c r="BF152" s="158"/>
      <c r="BG152" s="370"/>
    </row>
    <row r="153" spans="1:59" s="211" customFormat="1" x14ac:dyDescent="0.25">
      <c r="A153" s="469" t="s">
        <v>261</v>
      </c>
      <c r="B153" s="470"/>
      <c r="C153" s="178" t="s">
        <v>255</v>
      </c>
      <c r="D153" s="145"/>
      <c r="E153" s="145"/>
      <c r="F153" s="145"/>
      <c r="G153" s="146"/>
      <c r="H153" s="147"/>
      <c r="I153" s="443">
        <f>I24/367</f>
        <v>0.1907356948228883</v>
      </c>
      <c r="J153" s="183"/>
      <c r="K153" s="384"/>
      <c r="L153" s="443">
        <f>L24/367</f>
        <v>0.1907356948228883</v>
      </c>
      <c r="M153" s="158"/>
      <c r="N153" s="370"/>
      <c r="O153" s="443">
        <f>O24/367</f>
        <v>0.1907356948228883</v>
      </c>
      <c r="P153" s="158"/>
      <c r="Q153" s="370"/>
      <c r="R153" s="443"/>
      <c r="S153" s="158"/>
      <c r="T153" s="370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  <c r="AF153" s="158"/>
      <c r="AG153" s="158"/>
      <c r="AH153" s="158"/>
      <c r="AI153" s="158"/>
      <c r="AJ153" s="158"/>
      <c r="AK153" s="158"/>
      <c r="AL153" s="158"/>
      <c r="AM153" s="158"/>
      <c r="AN153" s="158"/>
      <c r="AO153" s="158"/>
      <c r="AP153" s="158"/>
      <c r="AQ153" s="158"/>
      <c r="AR153" s="158"/>
      <c r="AS153" s="158"/>
      <c r="AT153" s="158"/>
      <c r="AU153" s="158"/>
      <c r="AV153" s="158"/>
      <c r="AW153" s="158"/>
      <c r="AX153" s="158"/>
      <c r="AY153" s="158"/>
      <c r="AZ153" s="158"/>
      <c r="BA153" s="158"/>
      <c r="BB153" s="158"/>
      <c r="BC153" s="158"/>
      <c r="BD153" s="256"/>
      <c r="BE153" s="383"/>
      <c r="BF153" s="158"/>
      <c r="BG153" s="370"/>
    </row>
    <row r="154" spans="1:59" s="211" customFormat="1" x14ac:dyDescent="0.25">
      <c r="A154" s="471"/>
      <c r="B154" s="472"/>
      <c r="C154" s="178" t="s">
        <v>256</v>
      </c>
      <c r="D154" s="145"/>
      <c r="E154" s="145"/>
      <c r="F154" s="145"/>
      <c r="G154" s="146"/>
      <c r="H154" s="147"/>
      <c r="I154" s="383">
        <v>9.34</v>
      </c>
      <c r="J154" s="183"/>
      <c r="K154" s="384"/>
      <c r="L154" s="383">
        <v>9.66</v>
      </c>
      <c r="M154" s="158"/>
      <c r="N154" s="370"/>
      <c r="O154" s="383">
        <v>2.2200000000000002</v>
      </c>
      <c r="P154" s="158"/>
      <c r="Q154" s="370"/>
      <c r="R154" s="383"/>
      <c r="S154" s="158"/>
      <c r="T154" s="370"/>
      <c r="U154" s="158"/>
      <c r="V154" s="158"/>
      <c r="W154" s="158"/>
      <c r="X154" s="158"/>
      <c r="Y154" s="158"/>
      <c r="Z154" s="158"/>
      <c r="AA154" s="158"/>
      <c r="AB154" s="158"/>
      <c r="AC154" s="158"/>
      <c r="AD154" s="158"/>
      <c r="AE154" s="158"/>
      <c r="AF154" s="158"/>
      <c r="AG154" s="158"/>
      <c r="AH154" s="158"/>
      <c r="AI154" s="158"/>
      <c r="AJ154" s="158"/>
      <c r="AK154" s="158"/>
      <c r="AL154" s="158"/>
      <c r="AM154" s="158"/>
      <c r="AN154" s="158"/>
      <c r="AO154" s="158"/>
      <c r="AP154" s="158"/>
      <c r="AQ154" s="158"/>
      <c r="AR154" s="158"/>
      <c r="AS154" s="158"/>
      <c r="AT154" s="158"/>
      <c r="AU154" s="158"/>
      <c r="AV154" s="158"/>
      <c r="AW154" s="158"/>
      <c r="AX154" s="158"/>
      <c r="AY154" s="158"/>
      <c r="AZ154" s="158"/>
      <c r="BA154" s="158"/>
      <c r="BB154" s="158"/>
      <c r="BC154" s="158"/>
      <c r="BD154" s="256"/>
      <c r="BE154" s="383"/>
      <c r="BF154" s="158"/>
      <c r="BG154" s="370"/>
    </row>
    <row r="155" spans="1:59" s="211" customFormat="1" x14ac:dyDescent="0.25">
      <c r="A155" s="471"/>
      <c r="B155" s="472"/>
      <c r="C155" s="178" t="s">
        <v>114</v>
      </c>
      <c r="D155" s="145"/>
      <c r="E155" s="145"/>
      <c r="F155" s="145"/>
      <c r="G155" s="146"/>
      <c r="H155" s="147"/>
      <c r="I155" s="383">
        <v>5.57</v>
      </c>
      <c r="J155" s="183"/>
      <c r="K155" s="384"/>
      <c r="L155" s="383">
        <v>7.02</v>
      </c>
      <c r="M155" s="158"/>
      <c r="N155" s="370"/>
      <c r="O155" s="383">
        <v>4.62</v>
      </c>
      <c r="P155" s="158"/>
      <c r="Q155" s="370"/>
      <c r="R155" s="383"/>
      <c r="S155" s="158"/>
      <c r="T155" s="370"/>
      <c r="U155" s="158"/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  <c r="AF155" s="158"/>
      <c r="AG155" s="158"/>
      <c r="AH155" s="158"/>
      <c r="AI155" s="158"/>
      <c r="AJ155" s="158"/>
      <c r="AK155" s="158"/>
      <c r="AL155" s="158"/>
      <c r="AM155" s="158"/>
      <c r="AN155" s="158"/>
      <c r="AO155" s="158"/>
      <c r="AP155" s="158"/>
      <c r="AQ155" s="158"/>
      <c r="AR155" s="158"/>
      <c r="AS155" s="158"/>
      <c r="AT155" s="158"/>
      <c r="AU155" s="158"/>
      <c r="AV155" s="158"/>
      <c r="AW155" s="158"/>
      <c r="AX155" s="158"/>
      <c r="AY155" s="158"/>
      <c r="AZ155" s="158"/>
      <c r="BA155" s="158"/>
      <c r="BB155" s="158"/>
      <c r="BC155" s="158"/>
      <c r="BD155" s="256"/>
      <c r="BE155" s="383"/>
      <c r="BF155" s="158"/>
      <c r="BG155" s="370"/>
    </row>
    <row r="156" spans="1:59" s="211" customFormat="1" x14ac:dyDescent="0.25">
      <c r="A156" s="473"/>
      <c r="B156" s="474"/>
      <c r="C156" s="178" t="s">
        <v>18</v>
      </c>
      <c r="D156" s="145"/>
      <c r="E156" s="145"/>
      <c r="F156" s="145"/>
      <c r="G156" s="146"/>
      <c r="H156" s="147"/>
      <c r="I156" s="383">
        <v>8.01</v>
      </c>
      <c r="J156" s="183"/>
      <c r="K156" s="384"/>
      <c r="L156" s="383">
        <v>0.72</v>
      </c>
      <c r="M156" s="158"/>
      <c r="N156" s="370"/>
      <c r="O156" s="383">
        <v>6.06</v>
      </c>
      <c r="P156" s="158"/>
      <c r="Q156" s="370"/>
      <c r="R156" s="383"/>
      <c r="S156" s="158"/>
      <c r="T156" s="370"/>
      <c r="U156" s="158"/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8"/>
      <c r="AG156" s="158"/>
      <c r="AH156" s="158"/>
      <c r="AI156" s="158"/>
      <c r="AJ156" s="158"/>
      <c r="AK156" s="158"/>
      <c r="AL156" s="158"/>
      <c r="AM156" s="158"/>
      <c r="AN156" s="158"/>
      <c r="AO156" s="158"/>
      <c r="AP156" s="158"/>
      <c r="AQ156" s="158"/>
      <c r="AR156" s="158"/>
      <c r="AS156" s="158"/>
      <c r="AT156" s="158"/>
      <c r="AU156" s="158"/>
      <c r="AV156" s="158"/>
      <c r="AW156" s="158"/>
      <c r="AX156" s="158"/>
      <c r="AY156" s="158"/>
      <c r="AZ156" s="158"/>
      <c r="BA156" s="158"/>
      <c r="BB156" s="158"/>
      <c r="BC156" s="158"/>
      <c r="BD156" s="256"/>
      <c r="BE156" s="383"/>
      <c r="BF156" s="158"/>
      <c r="BG156" s="370"/>
    </row>
    <row r="157" spans="1:59" s="211" customFormat="1" ht="6" customHeight="1" x14ac:dyDescent="0.25">
      <c r="A157" s="154"/>
      <c r="B157" s="166"/>
      <c r="C157" s="155"/>
      <c r="D157" s="155"/>
      <c r="E157" s="155"/>
      <c r="F157" s="155"/>
      <c r="G157" s="156"/>
      <c r="H157" s="147"/>
      <c r="I157" s="341"/>
      <c r="J157" s="156"/>
      <c r="K157" s="342"/>
      <c r="L157" s="383"/>
      <c r="M157" s="158"/>
      <c r="N157" s="370"/>
      <c r="O157" s="383"/>
      <c r="P157" s="158"/>
      <c r="Q157" s="370"/>
      <c r="R157" s="383"/>
      <c r="S157" s="158"/>
      <c r="T157" s="370"/>
      <c r="U157" s="158"/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  <c r="AF157" s="158"/>
      <c r="AG157" s="158"/>
      <c r="AH157" s="158"/>
      <c r="AI157" s="158"/>
      <c r="AJ157" s="158"/>
      <c r="AK157" s="158"/>
      <c r="AL157" s="158"/>
      <c r="AM157" s="158"/>
      <c r="AN157" s="158"/>
      <c r="AO157" s="158"/>
      <c r="AP157" s="158"/>
      <c r="AQ157" s="158"/>
      <c r="AR157" s="158"/>
      <c r="AS157" s="158"/>
      <c r="AT157" s="158"/>
      <c r="AU157" s="158"/>
      <c r="AV157" s="158"/>
      <c r="AW157" s="158"/>
      <c r="AX157" s="158"/>
      <c r="AY157" s="158"/>
      <c r="AZ157" s="158"/>
      <c r="BA157" s="158"/>
      <c r="BB157" s="158"/>
      <c r="BC157" s="158"/>
      <c r="BD157" s="256"/>
      <c r="BE157" s="383"/>
      <c r="BF157" s="158"/>
      <c r="BG157" s="370"/>
    </row>
    <row r="158" spans="1:59" s="211" customFormat="1" x14ac:dyDescent="0.25">
      <c r="A158" s="469" t="s">
        <v>262</v>
      </c>
      <c r="B158" s="470"/>
      <c r="C158" s="178" t="s">
        <v>255</v>
      </c>
      <c r="D158" s="145"/>
      <c r="E158" s="145"/>
      <c r="F158" s="145"/>
      <c r="G158" s="146"/>
      <c r="H158" s="147"/>
      <c r="I158" s="383">
        <v>0</v>
      </c>
      <c r="J158" s="183">
        <v>0</v>
      </c>
      <c r="K158" s="384"/>
      <c r="L158" s="383">
        <v>0</v>
      </c>
      <c r="M158" s="158">
        <v>0</v>
      </c>
      <c r="N158" s="370"/>
      <c r="O158" s="383">
        <v>0</v>
      </c>
      <c r="P158" s="158">
        <v>0</v>
      </c>
      <c r="Q158" s="370"/>
      <c r="R158" s="383"/>
      <c r="S158" s="158"/>
      <c r="T158" s="370"/>
      <c r="U158" s="158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  <c r="AH158" s="158"/>
      <c r="AI158" s="158"/>
      <c r="AJ158" s="158"/>
      <c r="AK158" s="158"/>
      <c r="AL158" s="158"/>
      <c r="AM158" s="158"/>
      <c r="AN158" s="158"/>
      <c r="AO158" s="158"/>
      <c r="AP158" s="158"/>
      <c r="AQ158" s="158"/>
      <c r="AR158" s="158"/>
      <c r="AS158" s="158"/>
      <c r="AT158" s="158"/>
      <c r="AU158" s="158"/>
      <c r="AV158" s="158"/>
      <c r="AW158" s="158"/>
      <c r="AX158" s="158"/>
      <c r="AY158" s="158"/>
      <c r="AZ158" s="158"/>
      <c r="BA158" s="158"/>
      <c r="BB158" s="158"/>
      <c r="BC158" s="158"/>
      <c r="BD158" s="256"/>
      <c r="BE158" s="383"/>
      <c r="BF158" s="158"/>
      <c r="BG158" s="370"/>
    </row>
    <row r="159" spans="1:59" s="211" customFormat="1" x14ac:dyDescent="0.25">
      <c r="A159" s="471"/>
      <c r="B159" s="472"/>
      <c r="C159" s="178" t="s">
        <v>256</v>
      </c>
      <c r="D159" s="145"/>
      <c r="E159" s="145"/>
      <c r="F159" s="145"/>
      <c r="G159" s="146"/>
      <c r="H159" s="147"/>
      <c r="I159" s="383">
        <v>120</v>
      </c>
      <c r="J159" s="183">
        <v>137.4</v>
      </c>
      <c r="K159" s="384"/>
      <c r="L159" s="383">
        <v>147.26</v>
      </c>
      <c r="M159" s="158">
        <v>132.96</v>
      </c>
      <c r="N159" s="370"/>
      <c r="O159" s="383">
        <v>125</v>
      </c>
      <c r="P159" s="158">
        <v>125</v>
      </c>
      <c r="Q159" s="370"/>
      <c r="R159" s="383"/>
      <c r="S159" s="158"/>
      <c r="T159" s="370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  <c r="AH159" s="158"/>
      <c r="AI159" s="158"/>
      <c r="AJ159" s="158"/>
      <c r="AK159" s="158"/>
      <c r="AL159" s="158"/>
      <c r="AM159" s="158"/>
      <c r="AN159" s="158"/>
      <c r="AO159" s="158"/>
      <c r="AP159" s="158"/>
      <c r="AQ159" s="158"/>
      <c r="AR159" s="158"/>
      <c r="AS159" s="158"/>
      <c r="AT159" s="158"/>
      <c r="AU159" s="158"/>
      <c r="AV159" s="158"/>
      <c r="AW159" s="158"/>
      <c r="AX159" s="158"/>
      <c r="AY159" s="158"/>
      <c r="AZ159" s="158"/>
      <c r="BA159" s="158"/>
      <c r="BB159" s="158"/>
      <c r="BC159" s="158"/>
      <c r="BD159" s="256"/>
      <c r="BE159" s="383"/>
      <c r="BF159" s="158"/>
      <c r="BG159" s="370"/>
    </row>
    <row r="160" spans="1:59" s="211" customFormat="1" x14ac:dyDescent="0.25">
      <c r="A160" s="471"/>
      <c r="B160" s="472"/>
      <c r="C160" s="178" t="s">
        <v>114</v>
      </c>
      <c r="D160" s="145"/>
      <c r="E160" s="145"/>
      <c r="F160" s="145"/>
      <c r="G160" s="146"/>
      <c r="H160" s="147"/>
      <c r="I160" s="383">
        <v>52.86</v>
      </c>
      <c r="J160" s="183">
        <v>14.93</v>
      </c>
      <c r="K160" s="384"/>
      <c r="L160" s="383">
        <v>54</v>
      </c>
      <c r="M160" s="158">
        <v>50.19</v>
      </c>
      <c r="N160" s="370"/>
      <c r="O160" s="383">
        <v>44.31</v>
      </c>
      <c r="P160" s="158">
        <v>27.54</v>
      </c>
      <c r="Q160" s="370"/>
      <c r="R160" s="383"/>
      <c r="S160" s="158"/>
      <c r="T160" s="370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  <c r="AH160" s="158"/>
      <c r="AI160" s="158"/>
      <c r="AJ160" s="158"/>
      <c r="AK160" s="158"/>
      <c r="AL160" s="158"/>
      <c r="AM160" s="158"/>
      <c r="AN160" s="158"/>
      <c r="AO160" s="158"/>
      <c r="AP160" s="158"/>
      <c r="AQ160" s="158"/>
      <c r="AR160" s="158"/>
      <c r="AS160" s="158"/>
      <c r="AT160" s="158"/>
      <c r="AU160" s="158"/>
      <c r="AV160" s="158"/>
      <c r="AW160" s="158"/>
      <c r="AX160" s="158"/>
      <c r="AY160" s="158"/>
      <c r="AZ160" s="158"/>
      <c r="BA160" s="158"/>
      <c r="BB160" s="158"/>
      <c r="BC160" s="158"/>
      <c r="BD160" s="256"/>
      <c r="BE160" s="383"/>
      <c r="BF160" s="158"/>
      <c r="BG160" s="370"/>
    </row>
    <row r="161" spans="1:59" s="211" customFormat="1" x14ac:dyDescent="0.25">
      <c r="A161" s="473"/>
      <c r="B161" s="474"/>
      <c r="C161" s="178" t="s">
        <v>18</v>
      </c>
      <c r="D161" s="145"/>
      <c r="E161" s="145"/>
      <c r="F161" s="145"/>
      <c r="G161" s="146"/>
      <c r="H161" s="147"/>
      <c r="I161" s="383">
        <v>48.29</v>
      </c>
      <c r="J161" s="183">
        <v>33.79</v>
      </c>
      <c r="K161" s="384"/>
      <c r="L161" s="383">
        <v>51.51</v>
      </c>
      <c r="M161" s="158">
        <v>25.8</v>
      </c>
      <c r="N161" s="370"/>
      <c r="O161" s="383">
        <v>40</v>
      </c>
      <c r="P161" s="158">
        <v>10</v>
      </c>
      <c r="Q161" s="370"/>
      <c r="R161" s="383"/>
      <c r="S161" s="158"/>
      <c r="T161" s="370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  <c r="AF161" s="158"/>
      <c r="AG161" s="158"/>
      <c r="AH161" s="158"/>
      <c r="AI161" s="158"/>
      <c r="AJ161" s="158"/>
      <c r="AK161" s="158"/>
      <c r="AL161" s="158"/>
      <c r="AM161" s="158"/>
      <c r="AN161" s="158"/>
      <c r="AO161" s="158"/>
      <c r="AP161" s="158"/>
      <c r="AQ161" s="158"/>
      <c r="AR161" s="158"/>
      <c r="AS161" s="158"/>
      <c r="AT161" s="158"/>
      <c r="AU161" s="158"/>
      <c r="AV161" s="158"/>
      <c r="AW161" s="158"/>
      <c r="AX161" s="158"/>
      <c r="AY161" s="158"/>
      <c r="AZ161" s="158"/>
      <c r="BA161" s="158"/>
      <c r="BB161" s="158"/>
      <c r="BC161" s="158"/>
      <c r="BD161" s="256"/>
      <c r="BE161" s="383"/>
      <c r="BF161" s="158"/>
      <c r="BG161" s="370"/>
    </row>
    <row r="162" spans="1:59" s="211" customFormat="1" ht="6" customHeight="1" x14ac:dyDescent="0.25">
      <c r="A162" s="154"/>
      <c r="B162" s="166"/>
      <c r="C162" s="155"/>
      <c r="D162" s="155"/>
      <c r="E162" s="155"/>
      <c r="F162" s="155"/>
      <c r="G162" s="156"/>
      <c r="H162" s="147"/>
      <c r="I162" s="341"/>
      <c r="J162" s="156"/>
      <c r="K162" s="342"/>
      <c r="L162" s="383"/>
      <c r="M162" s="158"/>
      <c r="N162" s="370"/>
      <c r="O162" s="383"/>
      <c r="P162" s="158"/>
      <c r="Q162" s="370"/>
      <c r="R162" s="383"/>
      <c r="S162" s="158"/>
      <c r="T162" s="370"/>
      <c r="U162" s="158"/>
      <c r="V162" s="158"/>
      <c r="W162" s="158"/>
      <c r="X162" s="158"/>
      <c r="Y162" s="158"/>
      <c r="Z162" s="158"/>
      <c r="AA162" s="158"/>
      <c r="AB162" s="158"/>
      <c r="AC162" s="158"/>
      <c r="AD162" s="158"/>
      <c r="AE162" s="158"/>
      <c r="AF162" s="158"/>
      <c r="AG162" s="158"/>
      <c r="AH162" s="158"/>
      <c r="AI162" s="158"/>
      <c r="AJ162" s="158"/>
      <c r="AK162" s="158"/>
      <c r="AL162" s="158"/>
      <c r="AM162" s="158"/>
      <c r="AN162" s="158"/>
      <c r="AO162" s="158"/>
      <c r="AP162" s="158"/>
      <c r="AQ162" s="158"/>
      <c r="AR162" s="158"/>
      <c r="AS162" s="158"/>
      <c r="AT162" s="158"/>
      <c r="AU162" s="158"/>
      <c r="AV162" s="158"/>
      <c r="AW162" s="158"/>
      <c r="AX162" s="158"/>
      <c r="AY162" s="158"/>
      <c r="AZ162" s="158"/>
      <c r="BA162" s="158"/>
      <c r="BB162" s="158"/>
      <c r="BC162" s="158"/>
      <c r="BD162" s="256"/>
      <c r="BE162" s="383"/>
      <c r="BF162" s="158"/>
      <c r="BG162" s="370"/>
    </row>
    <row r="163" spans="1:59" s="211" customFormat="1" x14ac:dyDescent="0.25">
      <c r="A163" s="469" t="s">
        <v>263</v>
      </c>
      <c r="B163" s="470"/>
      <c r="C163" s="178" t="s">
        <v>255</v>
      </c>
      <c r="D163" s="145"/>
      <c r="E163" s="145"/>
      <c r="F163" s="145"/>
      <c r="G163" s="146"/>
      <c r="H163" s="147"/>
      <c r="I163" s="383" t="s">
        <v>282</v>
      </c>
      <c r="J163" s="183"/>
      <c r="K163" s="384"/>
      <c r="L163" s="383" t="s">
        <v>282</v>
      </c>
      <c r="M163" s="158"/>
      <c r="N163" s="370"/>
      <c r="O163" s="383" t="s">
        <v>282</v>
      </c>
      <c r="P163" s="158"/>
      <c r="Q163" s="370"/>
      <c r="R163" s="383"/>
      <c r="S163" s="158"/>
      <c r="T163" s="370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I163" s="158"/>
      <c r="AJ163" s="158"/>
      <c r="AK163" s="158"/>
      <c r="AL163" s="158"/>
      <c r="AM163" s="158"/>
      <c r="AN163" s="158"/>
      <c r="AO163" s="158"/>
      <c r="AP163" s="158"/>
      <c r="AQ163" s="158"/>
      <c r="AR163" s="158"/>
      <c r="AS163" s="158"/>
      <c r="AT163" s="158"/>
      <c r="AU163" s="158"/>
      <c r="AV163" s="158"/>
      <c r="AW163" s="158"/>
      <c r="AX163" s="158"/>
      <c r="AY163" s="158"/>
      <c r="AZ163" s="158"/>
      <c r="BA163" s="158"/>
      <c r="BB163" s="158"/>
      <c r="BC163" s="158"/>
      <c r="BD163" s="256"/>
      <c r="BE163" s="383"/>
      <c r="BF163" s="158"/>
      <c r="BG163" s="370"/>
    </row>
    <row r="164" spans="1:59" s="211" customFormat="1" x14ac:dyDescent="0.25">
      <c r="A164" s="471"/>
      <c r="B164" s="472"/>
      <c r="C164" s="178" t="s">
        <v>256</v>
      </c>
      <c r="D164" s="145"/>
      <c r="E164" s="145"/>
      <c r="F164" s="145"/>
      <c r="G164" s="146"/>
      <c r="H164" s="147"/>
      <c r="I164" s="383" t="s">
        <v>282</v>
      </c>
      <c r="J164" s="183"/>
      <c r="K164" s="384"/>
      <c r="L164" s="383" t="s">
        <v>282</v>
      </c>
      <c r="M164" s="158"/>
      <c r="N164" s="370"/>
      <c r="O164" s="383" t="s">
        <v>282</v>
      </c>
      <c r="P164" s="158"/>
      <c r="Q164" s="370"/>
      <c r="R164" s="383"/>
      <c r="S164" s="158"/>
      <c r="T164" s="370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  <c r="AH164" s="158"/>
      <c r="AI164" s="158"/>
      <c r="AJ164" s="158"/>
      <c r="AK164" s="158"/>
      <c r="AL164" s="158"/>
      <c r="AM164" s="158"/>
      <c r="AN164" s="158"/>
      <c r="AO164" s="158"/>
      <c r="AP164" s="158"/>
      <c r="AQ164" s="158"/>
      <c r="AR164" s="158"/>
      <c r="AS164" s="158"/>
      <c r="AT164" s="158"/>
      <c r="AU164" s="158"/>
      <c r="AV164" s="158"/>
      <c r="AW164" s="158"/>
      <c r="AX164" s="158"/>
      <c r="AY164" s="158"/>
      <c r="AZ164" s="158"/>
      <c r="BA164" s="158"/>
      <c r="BB164" s="158"/>
      <c r="BC164" s="158"/>
      <c r="BD164" s="256"/>
      <c r="BE164" s="383"/>
      <c r="BF164" s="158"/>
      <c r="BG164" s="370"/>
    </row>
    <row r="165" spans="1:59" s="211" customFormat="1" x14ac:dyDescent="0.25">
      <c r="A165" s="471"/>
      <c r="B165" s="472"/>
      <c r="C165" s="178" t="s">
        <v>114</v>
      </c>
      <c r="D165" s="145"/>
      <c r="E165" s="145"/>
      <c r="F165" s="145"/>
      <c r="G165" s="146"/>
      <c r="H165" s="147"/>
      <c r="I165" s="383" t="s">
        <v>282</v>
      </c>
      <c r="J165" s="183"/>
      <c r="K165" s="384"/>
      <c r="L165" s="383" t="s">
        <v>282</v>
      </c>
      <c r="M165" s="158" t="s">
        <v>278</v>
      </c>
      <c r="N165" s="370"/>
      <c r="O165" s="383" t="s">
        <v>282</v>
      </c>
      <c r="P165" s="158"/>
      <c r="Q165" s="370"/>
      <c r="R165" s="383"/>
      <c r="S165" s="158"/>
      <c r="T165" s="370"/>
      <c r="U165" s="158"/>
      <c r="V165" s="158"/>
      <c r="W165" s="158"/>
      <c r="X165" s="158"/>
      <c r="Y165" s="158"/>
      <c r="Z165" s="158"/>
      <c r="AA165" s="158"/>
      <c r="AB165" s="158"/>
      <c r="AC165" s="158"/>
      <c r="AD165" s="158"/>
      <c r="AE165" s="158"/>
      <c r="AF165" s="158"/>
      <c r="AG165" s="158"/>
      <c r="AH165" s="158"/>
      <c r="AI165" s="158"/>
      <c r="AJ165" s="158"/>
      <c r="AK165" s="158"/>
      <c r="AL165" s="158"/>
      <c r="AM165" s="158"/>
      <c r="AN165" s="158"/>
      <c r="AO165" s="158"/>
      <c r="AP165" s="158"/>
      <c r="AQ165" s="158"/>
      <c r="AR165" s="158"/>
      <c r="AS165" s="158"/>
      <c r="AT165" s="158"/>
      <c r="AU165" s="158"/>
      <c r="AV165" s="158"/>
      <c r="AW165" s="158"/>
      <c r="AX165" s="158"/>
      <c r="AY165" s="158"/>
      <c r="AZ165" s="158"/>
      <c r="BA165" s="158"/>
      <c r="BB165" s="158"/>
      <c r="BC165" s="158"/>
      <c r="BD165" s="256"/>
      <c r="BE165" s="383"/>
      <c r="BF165" s="158"/>
      <c r="BG165" s="370"/>
    </row>
    <row r="166" spans="1:59" s="211" customFormat="1" x14ac:dyDescent="0.25">
      <c r="A166" s="473"/>
      <c r="B166" s="474"/>
      <c r="C166" s="178" t="s">
        <v>18</v>
      </c>
      <c r="D166" s="145"/>
      <c r="E166" s="145"/>
      <c r="F166" s="145"/>
      <c r="G166" s="146"/>
      <c r="H166" s="147"/>
      <c r="I166" s="383" t="s">
        <v>282</v>
      </c>
      <c r="J166" s="183"/>
      <c r="K166" s="384"/>
      <c r="L166" s="383" t="s">
        <v>282</v>
      </c>
      <c r="M166" s="158"/>
      <c r="N166" s="370"/>
      <c r="O166" s="383" t="s">
        <v>282</v>
      </c>
      <c r="P166" s="158"/>
      <c r="Q166" s="370"/>
      <c r="R166" s="383"/>
      <c r="S166" s="158"/>
      <c r="T166" s="370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8"/>
      <c r="AG166" s="158"/>
      <c r="AH166" s="158"/>
      <c r="AI166" s="158"/>
      <c r="AJ166" s="158"/>
      <c r="AK166" s="158"/>
      <c r="AL166" s="158"/>
      <c r="AM166" s="158"/>
      <c r="AN166" s="158"/>
      <c r="AO166" s="158"/>
      <c r="AP166" s="158"/>
      <c r="AQ166" s="158"/>
      <c r="AR166" s="158"/>
      <c r="AS166" s="158"/>
      <c r="AT166" s="158"/>
      <c r="AU166" s="158"/>
      <c r="AV166" s="158"/>
      <c r="AW166" s="158"/>
      <c r="AX166" s="158"/>
      <c r="AY166" s="158"/>
      <c r="AZ166" s="158"/>
      <c r="BA166" s="158"/>
      <c r="BB166" s="158"/>
      <c r="BC166" s="158"/>
      <c r="BD166" s="256"/>
      <c r="BE166" s="383"/>
      <c r="BF166" s="158"/>
      <c r="BG166" s="370"/>
    </row>
    <row r="167" spans="1:59" s="211" customFormat="1" ht="6" customHeight="1" x14ac:dyDescent="0.25">
      <c r="A167" s="154"/>
      <c r="B167" s="166"/>
      <c r="C167" s="155"/>
      <c r="D167" s="155"/>
      <c r="E167" s="155"/>
      <c r="F167" s="155"/>
      <c r="G167" s="156"/>
      <c r="H167" s="147"/>
      <c r="I167" s="341"/>
      <c r="J167" s="156"/>
      <c r="K167" s="342"/>
      <c r="L167" s="383"/>
      <c r="M167" s="158"/>
      <c r="N167" s="370"/>
      <c r="O167" s="383"/>
      <c r="P167" s="158"/>
      <c r="Q167" s="370"/>
      <c r="R167" s="383"/>
      <c r="S167" s="158"/>
      <c r="T167" s="370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8"/>
      <c r="AG167" s="158"/>
      <c r="AH167" s="158"/>
      <c r="AI167" s="158"/>
      <c r="AJ167" s="158"/>
      <c r="AK167" s="158"/>
      <c r="AL167" s="158"/>
      <c r="AM167" s="158"/>
      <c r="AN167" s="158"/>
      <c r="AO167" s="158"/>
      <c r="AP167" s="158"/>
      <c r="AQ167" s="158"/>
      <c r="AR167" s="158"/>
      <c r="AS167" s="158"/>
      <c r="AT167" s="158"/>
      <c r="AU167" s="158"/>
      <c r="AV167" s="158"/>
      <c r="AW167" s="158"/>
      <c r="AX167" s="158"/>
      <c r="AY167" s="158"/>
      <c r="AZ167" s="158"/>
      <c r="BA167" s="158"/>
      <c r="BB167" s="158"/>
      <c r="BC167" s="158"/>
      <c r="BD167" s="256"/>
      <c r="BE167" s="383"/>
      <c r="BF167" s="158"/>
      <c r="BG167" s="370"/>
    </row>
    <row r="168" spans="1:59" ht="15" customHeight="1" x14ac:dyDescent="0.25">
      <c r="A168" s="436" t="s">
        <v>9</v>
      </c>
      <c r="B168" s="173"/>
      <c r="C168" s="204"/>
      <c r="D168" s="205"/>
      <c r="E168" s="205"/>
      <c r="F168" s="142"/>
      <c r="G168" s="143"/>
      <c r="H168" s="144"/>
      <c r="I168" s="353"/>
      <c r="J168" s="142"/>
      <c r="K168" s="354"/>
      <c r="L168" s="353"/>
      <c r="M168" s="142"/>
      <c r="N168" s="354"/>
      <c r="O168" s="353"/>
      <c r="P168" s="142"/>
      <c r="Q168" s="354"/>
      <c r="R168" s="353"/>
      <c r="S168" s="142"/>
      <c r="T168" s="354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353"/>
      <c r="BF168" s="142"/>
      <c r="BG168" s="354"/>
    </row>
    <row r="169" spans="1:59" s="214" customFormat="1" ht="5.25" customHeight="1" x14ac:dyDescent="0.25">
      <c r="A169" s="192"/>
      <c r="B169" s="192"/>
      <c r="C169" s="193"/>
      <c r="D169" s="193"/>
      <c r="E169" s="193"/>
      <c r="F169" s="193"/>
      <c r="G169" s="194"/>
      <c r="H169" s="147"/>
      <c r="I169" s="387"/>
      <c r="J169" s="194"/>
      <c r="K169" s="388"/>
      <c r="L169" s="406"/>
      <c r="M169" s="195"/>
      <c r="N169" s="407"/>
      <c r="O169" s="406"/>
      <c r="P169" s="195"/>
      <c r="Q169" s="407"/>
      <c r="R169" s="406"/>
      <c r="S169" s="195"/>
      <c r="T169" s="407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95"/>
      <c r="BA169" s="195"/>
      <c r="BB169" s="195"/>
      <c r="BC169" s="195"/>
      <c r="BD169" s="195"/>
      <c r="BE169" s="406"/>
      <c r="BF169" s="195"/>
      <c r="BG169" s="407"/>
    </row>
    <row r="170" spans="1:59" ht="12.75" customHeight="1" x14ac:dyDescent="0.25">
      <c r="A170" s="475" t="s">
        <v>264</v>
      </c>
      <c r="B170" s="476"/>
      <c r="C170" s="178" t="s">
        <v>255</v>
      </c>
      <c r="D170" s="145"/>
      <c r="E170" s="145"/>
      <c r="F170" s="145"/>
      <c r="G170" s="145"/>
      <c r="H170" s="206"/>
      <c r="I170" s="383" t="s">
        <v>282</v>
      </c>
      <c r="J170" s="146"/>
      <c r="K170" s="350"/>
      <c r="L170" s="383" t="s">
        <v>282</v>
      </c>
      <c r="M170" s="151"/>
      <c r="N170" s="398"/>
      <c r="O170" s="383" t="s">
        <v>282</v>
      </c>
      <c r="P170" s="151"/>
      <c r="Q170" s="398"/>
      <c r="R170" s="383"/>
      <c r="S170" s="151"/>
      <c r="T170" s="398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  <c r="BA170" s="151"/>
      <c r="BB170" s="151"/>
      <c r="BC170" s="151"/>
      <c r="BD170" s="421"/>
      <c r="BE170" s="349"/>
      <c r="BF170" s="151"/>
      <c r="BG170" s="398"/>
    </row>
    <row r="171" spans="1:59" ht="12.75" customHeight="1" x14ac:dyDescent="0.25">
      <c r="A171" s="477"/>
      <c r="B171" s="478"/>
      <c r="C171" s="178" t="s">
        <v>256</v>
      </c>
      <c r="D171" s="145"/>
      <c r="E171" s="145"/>
      <c r="F171" s="145"/>
      <c r="G171" s="145"/>
      <c r="H171" s="206"/>
      <c r="I171" s="383" t="s">
        <v>282</v>
      </c>
      <c r="J171" s="146"/>
      <c r="K171" s="350"/>
      <c r="L171" s="383" t="s">
        <v>282</v>
      </c>
      <c r="M171" s="151"/>
      <c r="N171" s="398"/>
      <c r="O171" s="383" t="s">
        <v>282</v>
      </c>
      <c r="P171" s="151"/>
      <c r="Q171" s="398"/>
      <c r="R171" s="383"/>
      <c r="S171" s="151"/>
      <c r="T171" s="398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  <c r="BA171" s="151"/>
      <c r="BB171" s="151"/>
      <c r="BC171" s="151"/>
      <c r="BD171" s="421"/>
      <c r="BE171" s="349"/>
      <c r="BF171" s="151"/>
      <c r="BG171" s="398"/>
    </row>
    <row r="172" spans="1:59" ht="12.75" customHeight="1" x14ac:dyDescent="0.25">
      <c r="A172" s="477"/>
      <c r="B172" s="478"/>
      <c r="C172" s="178" t="s">
        <v>114</v>
      </c>
      <c r="D172" s="145"/>
      <c r="E172" s="145"/>
      <c r="F172" s="145"/>
      <c r="G172" s="145"/>
      <c r="H172" s="206"/>
      <c r="I172" s="383" t="s">
        <v>282</v>
      </c>
      <c r="J172" s="146"/>
      <c r="K172" s="350"/>
      <c r="L172" s="383" t="s">
        <v>282</v>
      </c>
      <c r="M172" s="151"/>
      <c r="N172" s="398"/>
      <c r="O172" s="383" t="s">
        <v>282</v>
      </c>
      <c r="P172" s="151"/>
      <c r="Q172" s="398"/>
      <c r="R172" s="383"/>
      <c r="S172" s="151"/>
      <c r="T172" s="398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1"/>
      <c r="AY172" s="151"/>
      <c r="AZ172" s="151"/>
      <c r="BA172" s="151"/>
      <c r="BB172" s="151"/>
      <c r="BC172" s="151"/>
      <c r="BD172" s="421"/>
      <c r="BE172" s="349"/>
      <c r="BF172" s="151"/>
      <c r="BG172" s="398"/>
    </row>
    <row r="173" spans="1:59" ht="12.75" customHeight="1" x14ac:dyDescent="0.25">
      <c r="A173" s="479"/>
      <c r="B173" s="480"/>
      <c r="C173" s="178" t="s">
        <v>18</v>
      </c>
      <c r="D173" s="145"/>
      <c r="E173" s="145"/>
      <c r="F173" s="145"/>
      <c r="G173" s="145"/>
      <c r="H173" s="206"/>
      <c r="I173" s="383" t="s">
        <v>282</v>
      </c>
      <c r="J173" s="146"/>
      <c r="K173" s="350"/>
      <c r="L173" s="383" t="s">
        <v>282</v>
      </c>
      <c r="M173" s="151"/>
      <c r="N173" s="398"/>
      <c r="O173" s="383" t="s">
        <v>282</v>
      </c>
      <c r="P173" s="151"/>
      <c r="Q173" s="398"/>
      <c r="R173" s="383"/>
      <c r="S173" s="151"/>
      <c r="T173" s="398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1"/>
      <c r="AP173" s="151"/>
      <c r="AQ173" s="151"/>
      <c r="AR173" s="151"/>
      <c r="AS173" s="151"/>
      <c r="AT173" s="151"/>
      <c r="AU173" s="151"/>
      <c r="AV173" s="151"/>
      <c r="AW173" s="151"/>
      <c r="AX173" s="151"/>
      <c r="AY173" s="151"/>
      <c r="AZ173" s="151"/>
      <c r="BA173" s="151"/>
      <c r="BB173" s="151"/>
      <c r="BC173" s="151"/>
      <c r="BD173" s="421"/>
      <c r="BE173" s="349"/>
      <c r="BF173" s="151"/>
      <c r="BG173" s="398"/>
    </row>
    <row r="174" spans="1:59" ht="51" x14ac:dyDescent="0.25">
      <c r="A174" s="481" t="s">
        <v>43</v>
      </c>
      <c r="B174" s="481"/>
      <c r="C174" s="196" t="s">
        <v>265</v>
      </c>
      <c r="D174" s="145"/>
      <c r="E174" s="145"/>
      <c r="F174" s="145"/>
      <c r="G174" s="145"/>
      <c r="H174" s="206"/>
      <c r="I174" s="349"/>
      <c r="J174" s="146"/>
      <c r="K174" s="350"/>
      <c r="L174" s="349"/>
      <c r="M174" s="151"/>
      <c r="N174" s="398"/>
      <c r="O174" s="349"/>
      <c r="P174" s="151"/>
      <c r="Q174" s="398"/>
      <c r="R174" s="349"/>
      <c r="S174" s="151"/>
      <c r="T174" s="398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1"/>
      <c r="AP174" s="151"/>
      <c r="AQ174" s="151"/>
      <c r="AR174" s="151"/>
      <c r="AS174" s="151"/>
      <c r="AT174" s="151"/>
      <c r="AU174" s="151"/>
      <c r="AV174" s="151"/>
      <c r="AW174" s="151"/>
      <c r="AX174" s="151"/>
      <c r="AY174" s="151"/>
      <c r="AZ174" s="151"/>
      <c r="BA174" s="151"/>
      <c r="BB174" s="151"/>
      <c r="BC174" s="151"/>
      <c r="BD174" s="421"/>
      <c r="BE174" s="349"/>
      <c r="BF174" s="151"/>
      <c r="BG174" s="398"/>
    </row>
    <row r="175" spans="1:59" ht="13.5" thickBot="1" x14ac:dyDescent="0.3">
      <c r="A175" s="481"/>
      <c r="B175" s="481"/>
      <c r="C175" s="196" t="s">
        <v>266</v>
      </c>
      <c r="D175" s="145"/>
      <c r="E175" s="145"/>
      <c r="F175" s="145"/>
      <c r="G175" s="145"/>
      <c r="H175" s="206"/>
      <c r="I175" s="389"/>
      <c r="J175" s="390"/>
      <c r="K175" s="391"/>
      <c r="L175" s="389"/>
      <c r="M175" s="408"/>
      <c r="N175" s="409"/>
      <c r="O175" s="389"/>
      <c r="P175" s="408"/>
      <c r="Q175" s="409"/>
      <c r="R175" s="389"/>
      <c r="S175" s="408"/>
      <c r="T175" s="409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1"/>
      <c r="AP175" s="151"/>
      <c r="AQ175" s="151"/>
      <c r="AR175" s="151"/>
      <c r="AS175" s="151"/>
      <c r="AT175" s="151"/>
      <c r="AU175" s="151"/>
      <c r="AV175" s="151"/>
      <c r="AW175" s="151"/>
      <c r="AX175" s="151"/>
      <c r="AY175" s="151"/>
      <c r="AZ175" s="151"/>
      <c r="BA175" s="151"/>
      <c r="BB175" s="151"/>
      <c r="BC175" s="151"/>
      <c r="BD175" s="421"/>
      <c r="BE175" s="389"/>
      <c r="BF175" s="408"/>
      <c r="BG175" s="409"/>
    </row>
    <row r="176" spans="1:59" x14ac:dyDescent="0.25">
      <c r="A176" s="207"/>
      <c r="B176" s="207"/>
      <c r="C176" s="207"/>
      <c r="D176" s="207"/>
      <c r="E176" s="207"/>
      <c r="F176" s="207"/>
      <c r="G176" s="207"/>
      <c r="H176" s="147"/>
      <c r="I176" s="207"/>
      <c r="J176" s="207"/>
      <c r="K176" s="207"/>
      <c r="L176" s="207"/>
      <c r="M176" s="208"/>
      <c r="N176" s="208"/>
      <c r="O176" s="207"/>
      <c r="P176" s="208"/>
      <c r="Q176" s="208"/>
      <c r="R176" s="207"/>
      <c r="S176" s="208"/>
      <c r="T176" s="208"/>
      <c r="U176" s="208"/>
      <c r="V176" s="208"/>
      <c r="W176" s="208"/>
      <c r="X176" s="208"/>
      <c r="Y176" s="208"/>
      <c r="Z176" s="208"/>
      <c r="AA176" s="208"/>
      <c r="AB176" s="208"/>
      <c r="AC176" s="208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/>
      <c r="AP176" s="208"/>
      <c r="AQ176" s="208"/>
      <c r="AR176" s="208"/>
      <c r="AS176" s="208"/>
      <c r="AT176" s="208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7"/>
      <c r="BF176" s="208"/>
      <c r="BG176" s="208"/>
    </row>
    <row r="177" spans="1:59" x14ac:dyDescent="0.25">
      <c r="A177" s="207"/>
      <c r="B177" s="207"/>
      <c r="C177" s="207"/>
      <c r="D177" s="207"/>
      <c r="E177" s="207"/>
      <c r="F177" s="207"/>
      <c r="G177" s="207"/>
      <c r="H177" s="147"/>
      <c r="I177" s="207"/>
      <c r="J177" s="207"/>
      <c r="K177" s="207"/>
      <c r="L177" s="207"/>
      <c r="M177" s="208"/>
      <c r="N177" s="208"/>
      <c r="O177" s="207"/>
      <c r="P177" s="208"/>
      <c r="Q177" s="208"/>
      <c r="R177" s="207"/>
      <c r="S177" s="208"/>
      <c r="T177" s="208"/>
      <c r="U177" s="208"/>
      <c r="V177" s="208"/>
      <c r="W177" s="208"/>
      <c r="X177" s="208"/>
      <c r="Y177" s="208"/>
      <c r="Z177" s="208"/>
      <c r="AA177" s="208"/>
      <c r="AB177" s="208"/>
      <c r="AC177" s="208"/>
      <c r="AD177" s="208"/>
      <c r="AE177" s="208"/>
      <c r="AF177" s="208"/>
      <c r="AG177" s="208"/>
      <c r="AH177" s="208"/>
      <c r="AI177" s="208"/>
      <c r="AJ177" s="208"/>
      <c r="AK177" s="208"/>
      <c r="AL177" s="208"/>
      <c r="AM177" s="208"/>
      <c r="AN177" s="208"/>
      <c r="AO177" s="208"/>
      <c r="AP177" s="208"/>
      <c r="AQ177" s="208"/>
      <c r="AR177" s="208"/>
      <c r="AS177" s="208"/>
      <c r="AT177" s="208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7"/>
      <c r="BF177" s="208"/>
      <c r="BG177" s="208"/>
    </row>
    <row r="178" spans="1:59" x14ac:dyDescent="0.25">
      <c r="A178" s="207"/>
      <c r="B178" s="207"/>
      <c r="C178" s="207"/>
      <c r="D178" s="207"/>
      <c r="E178" s="207"/>
      <c r="F178" s="207"/>
      <c r="G178" s="207"/>
      <c r="H178" s="147"/>
      <c r="I178" s="207"/>
      <c r="J178" s="207"/>
      <c r="K178" s="207"/>
      <c r="L178" s="207"/>
      <c r="M178" s="208"/>
      <c r="N178" s="208"/>
      <c r="O178" s="207"/>
      <c r="P178" s="208"/>
      <c r="Q178" s="208"/>
      <c r="R178" s="207"/>
      <c r="S178" s="208"/>
      <c r="T178" s="208"/>
      <c r="U178" s="208"/>
      <c r="V178" s="208"/>
      <c r="W178" s="208"/>
      <c r="X178" s="208"/>
      <c r="Y178" s="208"/>
      <c r="Z178" s="208"/>
      <c r="AA178" s="208"/>
      <c r="AB178" s="208"/>
      <c r="AC178" s="208"/>
      <c r="AD178" s="208"/>
      <c r="AE178" s="208"/>
      <c r="AF178" s="208"/>
      <c r="AG178" s="208"/>
      <c r="AH178" s="208"/>
      <c r="AI178" s="208"/>
      <c r="AJ178" s="208"/>
      <c r="AK178" s="208"/>
      <c r="AL178" s="208"/>
      <c r="AM178" s="208"/>
      <c r="AN178" s="208"/>
      <c r="AO178" s="208"/>
      <c r="AP178" s="208"/>
      <c r="AQ178" s="208"/>
      <c r="AR178" s="208"/>
      <c r="AS178" s="208"/>
      <c r="AT178" s="208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7"/>
      <c r="BF178" s="208"/>
      <c r="BG178" s="208"/>
    </row>
    <row r="179" spans="1:59" x14ac:dyDescent="0.25">
      <c r="A179" s="207"/>
      <c r="B179" s="207"/>
      <c r="C179" s="207"/>
      <c r="D179" s="207"/>
      <c r="E179" s="207"/>
      <c r="F179" s="207"/>
      <c r="G179" s="207"/>
      <c r="H179" s="147"/>
      <c r="I179" s="207"/>
      <c r="J179" s="207"/>
      <c r="K179" s="207"/>
      <c r="L179" s="207"/>
      <c r="M179" s="208"/>
      <c r="N179" s="208"/>
      <c r="O179" s="207"/>
      <c r="P179" s="208"/>
      <c r="Q179" s="208"/>
      <c r="R179" s="207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7"/>
      <c r="BF179" s="208"/>
      <c r="BG179" s="208"/>
    </row>
    <row r="180" spans="1:59" x14ac:dyDescent="0.25">
      <c r="A180" s="207"/>
      <c r="B180" s="207"/>
      <c r="C180" s="207"/>
      <c r="D180" s="207"/>
      <c r="E180" s="207"/>
      <c r="F180" s="207"/>
      <c r="G180" s="207"/>
      <c r="H180" s="147"/>
      <c r="I180" s="207"/>
      <c r="J180" s="207"/>
      <c r="K180" s="207"/>
      <c r="L180" s="207"/>
      <c r="M180" s="208"/>
      <c r="N180" s="208"/>
      <c r="O180" s="207"/>
      <c r="P180" s="208"/>
      <c r="Q180" s="208"/>
      <c r="R180" s="207"/>
      <c r="S180" s="208"/>
      <c r="T180" s="208"/>
      <c r="U180" s="208"/>
      <c r="V180" s="208"/>
      <c r="W180" s="208"/>
      <c r="X180" s="208"/>
      <c r="Y180" s="208"/>
      <c r="Z180" s="208"/>
      <c r="AA180" s="208"/>
      <c r="AB180" s="208"/>
      <c r="AC180" s="208"/>
      <c r="AD180" s="208"/>
      <c r="AE180" s="208"/>
      <c r="AF180" s="208"/>
      <c r="AG180" s="208"/>
      <c r="AH180" s="208"/>
      <c r="AI180" s="208"/>
      <c r="AJ180" s="208"/>
      <c r="AK180" s="208"/>
      <c r="AL180" s="208"/>
      <c r="AM180" s="208"/>
      <c r="AN180" s="208"/>
      <c r="AO180" s="208"/>
      <c r="AP180" s="208"/>
      <c r="AQ180" s="208"/>
      <c r="AR180" s="208"/>
      <c r="AS180" s="208"/>
      <c r="AT180" s="208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207"/>
      <c r="BF180" s="208"/>
      <c r="BG180" s="208"/>
    </row>
    <row r="181" spans="1:59" x14ac:dyDescent="0.25">
      <c r="A181" s="207"/>
      <c r="B181" s="207"/>
      <c r="C181" s="207"/>
      <c r="D181" s="207"/>
      <c r="E181" s="207"/>
      <c r="F181" s="207"/>
      <c r="G181" s="207"/>
      <c r="H181" s="147"/>
      <c r="I181" s="207"/>
      <c r="J181" s="207"/>
      <c r="K181" s="207"/>
      <c r="L181" s="207"/>
      <c r="M181" s="208"/>
      <c r="N181" s="208"/>
      <c r="O181" s="207"/>
      <c r="P181" s="208"/>
      <c r="Q181" s="208"/>
      <c r="R181" s="207"/>
      <c r="S181" s="208"/>
      <c r="T181" s="208"/>
      <c r="U181" s="208"/>
      <c r="V181" s="208"/>
      <c r="W181" s="208"/>
      <c r="X181" s="208"/>
      <c r="Y181" s="208"/>
      <c r="Z181" s="208"/>
      <c r="AA181" s="208"/>
      <c r="AB181" s="208"/>
      <c r="AC181" s="208"/>
      <c r="AD181" s="208"/>
      <c r="AE181" s="208"/>
      <c r="AF181" s="208"/>
      <c r="AG181" s="208"/>
      <c r="AH181" s="208"/>
      <c r="AI181" s="208"/>
      <c r="AJ181" s="208"/>
      <c r="AK181" s="208"/>
      <c r="AL181" s="208"/>
      <c r="AM181" s="208"/>
      <c r="AN181" s="208"/>
      <c r="AO181" s="208"/>
      <c r="AP181" s="208"/>
      <c r="AQ181" s="208"/>
      <c r="AR181" s="208"/>
      <c r="AS181" s="208"/>
      <c r="AT181" s="208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07"/>
      <c r="BF181" s="208"/>
      <c r="BG181" s="208"/>
    </row>
    <row r="182" spans="1:59" x14ac:dyDescent="0.25">
      <c r="A182" s="207"/>
      <c r="B182" s="207"/>
      <c r="C182" s="207"/>
      <c r="D182" s="207"/>
      <c r="E182" s="207"/>
      <c r="F182" s="207"/>
      <c r="G182" s="207"/>
      <c r="H182" s="147"/>
      <c r="I182" s="207"/>
      <c r="J182" s="207"/>
      <c r="K182" s="207"/>
      <c r="L182" s="207"/>
      <c r="M182" s="208"/>
      <c r="N182" s="208"/>
      <c r="O182" s="207"/>
      <c r="P182" s="208"/>
      <c r="Q182" s="208"/>
      <c r="R182" s="207"/>
      <c r="S182" s="208"/>
      <c r="T182" s="208"/>
      <c r="U182" s="208"/>
      <c r="V182" s="208"/>
      <c r="W182" s="208"/>
      <c r="X182" s="208"/>
      <c r="Y182" s="208"/>
      <c r="Z182" s="208"/>
      <c r="AA182" s="208"/>
      <c r="AB182" s="208"/>
      <c r="AC182" s="208"/>
      <c r="AD182" s="208"/>
      <c r="AE182" s="208"/>
      <c r="AF182" s="208"/>
      <c r="AG182" s="208"/>
      <c r="AH182" s="208"/>
      <c r="AI182" s="208"/>
      <c r="AJ182" s="208"/>
      <c r="AK182" s="208"/>
      <c r="AL182" s="208"/>
      <c r="AM182" s="208"/>
      <c r="AN182" s="208"/>
      <c r="AO182" s="208"/>
      <c r="AP182" s="208"/>
      <c r="AQ182" s="208"/>
      <c r="AR182" s="208"/>
      <c r="AS182" s="208"/>
      <c r="AT182" s="208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7"/>
      <c r="BF182" s="208"/>
      <c r="BG182" s="208"/>
    </row>
    <row r="183" spans="1:59" x14ac:dyDescent="0.25">
      <c r="A183" s="207"/>
      <c r="B183" s="207"/>
      <c r="C183" s="207"/>
      <c r="D183" s="207"/>
      <c r="E183" s="207"/>
      <c r="F183" s="207"/>
      <c r="G183" s="207"/>
      <c r="H183" s="147"/>
      <c r="I183" s="207"/>
      <c r="J183" s="207"/>
      <c r="K183" s="207"/>
      <c r="L183" s="207"/>
      <c r="M183" s="208"/>
      <c r="N183" s="208"/>
      <c r="O183" s="207"/>
      <c r="P183" s="208"/>
      <c r="Q183" s="208"/>
      <c r="R183" s="207"/>
      <c r="S183" s="208"/>
      <c r="T183" s="208"/>
      <c r="U183" s="208"/>
      <c r="V183" s="208"/>
      <c r="W183" s="208"/>
      <c r="X183" s="208"/>
      <c r="Y183" s="208"/>
      <c r="Z183" s="208"/>
      <c r="AA183" s="208"/>
      <c r="AB183" s="208"/>
      <c r="AC183" s="208"/>
      <c r="AD183" s="208"/>
      <c r="AE183" s="208"/>
      <c r="AF183" s="208"/>
      <c r="AG183" s="208"/>
      <c r="AH183" s="208"/>
      <c r="AI183" s="208"/>
      <c r="AJ183" s="208"/>
      <c r="AK183" s="208"/>
      <c r="AL183" s="208"/>
      <c r="AM183" s="208"/>
      <c r="AN183" s="208"/>
      <c r="AO183" s="208"/>
      <c r="AP183" s="208"/>
      <c r="AQ183" s="208"/>
      <c r="AR183" s="208"/>
      <c r="AS183" s="208"/>
      <c r="AT183" s="208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7"/>
      <c r="BF183" s="208"/>
      <c r="BG183" s="208"/>
    </row>
    <row r="184" spans="1:59" x14ac:dyDescent="0.25">
      <c r="A184" s="207"/>
      <c r="B184" s="207"/>
      <c r="C184" s="207"/>
      <c r="D184" s="207"/>
      <c r="E184" s="207"/>
      <c r="F184" s="207"/>
      <c r="G184" s="207"/>
      <c r="H184" s="147"/>
      <c r="I184" s="207"/>
      <c r="J184" s="207"/>
      <c r="K184" s="207"/>
      <c r="L184" s="207"/>
      <c r="M184" s="208"/>
      <c r="N184" s="208"/>
      <c r="O184" s="207"/>
      <c r="P184" s="208"/>
      <c r="Q184" s="208"/>
      <c r="R184" s="207"/>
      <c r="S184" s="208"/>
      <c r="T184" s="208"/>
      <c r="U184" s="208"/>
      <c r="V184" s="208"/>
      <c r="W184" s="208"/>
      <c r="X184" s="208"/>
      <c r="Y184" s="208"/>
      <c r="Z184" s="208"/>
      <c r="AA184" s="208"/>
      <c r="AB184" s="208"/>
      <c r="AC184" s="208"/>
      <c r="AD184" s="208"/>
      <c r="AE184" s="208"/>
      <c r="AF184" s="208"/>
      <c r="AG184" s="208"/>
      <c r="AH184" s="208"/>
      <c r="AI184" s="208"/>
      <c r="AJ184" s="208"/>
      <c r="AK184" s="208"/>
      <c r="AL184" s="208"/>
      <c r="AM184" s="208"/>
      <c r="AN184" s="208"/>
      <c r="AO184" s="208"/>
      <c r="AP184" s="208"/>
      <c r="AQ184" s="208"/>
      <c r="AR184" s="208"/>
      <c r="AS184" s="208"/>
      <c r="AT184" s="208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7"/>
      <c r="BF184" s="208"/>
      <c r="BG184" s="208"/>
    </row>
    <row r="185" spans="1:59" x14ac:dyDescent="0.25">
      <c r="A185" s="207"/>
      <c r="B185" s="207"/>
      <c r="C185" s="207"/>
      <c r="D185" s="207"/>
      <c r="E185" s="207"/>
      <c r="F185" s="207"/>
      <c r="G185" s="207"/>
      <c r="H185" s="147"/>
      <c r="I185" s="207"/>
      <c r="J185" s="207"/>
      <c r="K185" s="207"/>
      <c r="L185" s="207"/>
      <c r="M185" s="208"/>
      <c r="N185" s="208"/>
      <c r="O185" s="207"/>
      <c r="P185" s="208"/>
      <c r="Q185" s="208"/>
      <c r="R185" s="207"/>
      <c r="S185" s="208"/>
      <c r="T185" s="208"/>
      <c r="U185" s="208"/>
      <c r="V185" s="208"/>
      <c r="W185" s="208"/>
      <c r="X185" s="208"/>
      <c r="Y185" s="208"/>
      <c r="Z185" s="208"/>
      <c r="AA185" s="208"/>
      <c r="AB185" s="208"/>
      <c r="AC185" s="208"/>
      <c r="AD185" s="208"/>
      <c r="AE185" s="208"/>
      <c r="AF185" s="208"/>
      <c r="AG185" s="208"/>
      <c r="AH185" s="208"/>
      <c r="AI185" s="208"/>
      <c r="AJ185" s="208"/>
      <c r="AK185" s="208"/>
      <c r="AL185" s="208"/>
      <c r="AM185" s="208"/>
      <c r="AN185" s="208"/>
      <c r="AO185" s="208"/>
      <c r="AP185" s="208"/>
      <c r="AQ185" s="208"/>
      <c r="AR185" s="208"/>
      <c r="AS185" s="208"/>
      <c r="AT185" s="20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7"/>
      <c r="BF185" s="208"/>
      <c r="BG185" s="208"/>
    </row>
    <row r="186" spans="1:59" x14ac:dyDescent="0.25">
      <c r="A186" s="207"/>
      <c r="B186" s="207"/>
      <c r="C186" s="207"/>
      <c r="D186" s="207"/>
      <c r="E186" s="207"/>
      <c r="F186" s="207"/>
      <c r="G186" s="207"/>
      <c r="H186" s="147"/>
      <c r="I186" s="207"/>
      <c r="J186" s="207"/>
      <c r="K186" s="207"/>
      <c r="L186" s="207"/>
      <c r="M186" s="208"/>
      <c r="N186" s="208"/>
      <c r="O186" s="207"/>
      <c r="P186" s="208"/>
      <c r="Q186" s="208"/>
      <c r="R186" s="207"/>
      <c r="S186" s="208"/>
      <c r="T186" s="208"/>
      <c r="U186" s="208"/>
      <c r="V186" s="208"/>
      <c r="W186" s="208"/>
      <c r="X186" s="208"/>
      <c r="Y186" s="208"/>
      <c r="Z186" s="208"/>
      <c r="AA186" s="208"/>
      <c r="AB186" s="208"/>
      <c r="AC186" s="208"/>
      <c r="AD186" s="208"/>
      <c r="AE186" s="208"/>
      <c r="AF186" s="208"/>
      <c r="AG186" s="208"/>
      <c r="AH186" s="208"/>
      <c r="AI186" s="208"/>
      <c r="AJ186" s="208"/>
      <c r="AK186" s="208"/>
      <c r="AL186" s="208"/>
      <c r="AM186" s="208"/>
      <c r="AN186" s="208"/>
      <c r="AO186" s="208"/>
      <c r="AP186" s="208"/>
      <c r="AQ186" s="208"/>
      <c r="AR186" s="208"/>
      <c r="AS186" s="208"/>
      <c r="AT186" s="208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7"/>
      <c r="BF186" s="208"/>
      <c r="BG186" s="208"/>
    </row>
    <row r="187" spans="1:59" x14ac:dyDescent="0.25">
      <c r="A187" s="207"/>
      <c r="B187" s="207"/>
      <c r="C187" s="207"/>
      <c r="D187" s="207"/>
      <c r="E187" s="207"/>
      <c r="F187" s="207"/>
      <c r="G187" s="207"/>
      <c r="H187" s="147"/>
      <c r="I187" s="207"/>
      <c r="J187" s="207"/>
      <c r="K187" s="207"/>
      <c r="L187" s="207"/>
      <c r="M187" s="208"/>
      <c r="N187" s="208"/>
      <c r="O187" s="207"/>
      <c r="P187" s="208"/>
      <c r="Q187" s="208"/>
      <c r="R187" s="207"/>
      <c r="S187" s="208"/>
      <c r="T187" s="208"/>
      <c r="U187" s="208"/>
      <c r="V187" s="208"/>
      <c r="W187" s="208"/>
      <c r="X187" s="208"/>
      <c r="Y187" s="208"/>
      <c r="Z187" s="208"/>
      <c r="AA187" s="208"/>
      <c r="AB187" s="208"/>
      <c r="AC187" s="208"/>
      <c r="AD187" s="208"/>
      <c r="AE187" s="208"/>
      <c r="AF187" s="208"/>
      <c r="AG187" s="208"/>
      <c r="AH187" s="208"/>
      <c r="AI187" s="208"/>
      <c r="AJ187" s="208"/>
      <c r="AK187" s="208"/>
      <c r="AL187" s="208"/>
      <c r="AM187" s="208"/>
      <c r="AN187" s="208"/>
      <c r="AO187" s="208"/>
      <c r="AP187" s="208"/>
      <c r="AQ187" s="208"/>
      <c r="AR187" s="208"/>
      <c r="AS187" s="208"/>
      <c r="AT187" s="208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207"/>
      <c r="BF187" s="208"/>
      <c r="BG187" s="208"/>
    </row>
    <row r="188" spans="1:59" x14ac:dyDescent="0.25">
      <c r="A188" s="207"/>
      <c r="B188" s="207"/>
      <c r="C188" s="207"/>
      <c r="D188" s="207"/>
      <c r="E188" s="207"/>
      <c r="F188" s="207"/>
      <c r="G188" s="207"/>
      <c r="H188" s="147"/>
      <c r="I188" s="207"/>
      <c r="J188" s="207"/>
      <c r="K188" s="207"/>
      <c r="L188" s="207"/>
      <c r="M188" s="208"/>
      <c r="N188" s="208"/>
      <c r="O188" s="207"/>
      <c r="P188" s="208"/>
      <c r="Q188" s="208"/>
      <c r="R188" s="207"/>
      <c r="S188" s="208"/>
      <c r="T188" s="208"/>
      <c r="U188" s="208"/>
      <c r="V188" s="208"/>
      <c r="W188" s="208"/>
      <c r="X188" s="208"/>
      <c r="Y188" s="208"/>
      <c r="Z188" s="208"/>
      <c r="AA188" s="208"/>
      <c r="AB188" s="208"/>
      <c r="AC188" s="208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8"/>
      <c r="AT188" s="208"/>
      <c r="AU188" s="208"/>
      <c r="AV188" s="208"/>
      <c r="AW188" s="208"/>
      <c r="AX188" s="208"/>
      <c r="AY188" s="208"/>
      <c r="AZ188" s="208"/>
      <c r="BA188" s="208"/>
      <c r="BB188" s="208"/>
      <c r="BC188" s="208"/>
      <c r="BD188" s="208"/>
      <c r="BE188" s="207"/>
      <c r="BF188" s="208"/>
      <c r="BG188" s="208"/>
    </row>
    <row r="189" spans="1:59" x14ac:dyDescent="0.25">
      <c r="A189" s="207"/>
      <c r="B189" s="207"/>
      <c r="C189" s="207"/>
      <c r="D189" s="207"/>
      <c r="E189" s="207"/>
      <c r="F189" s="207"/>
      <c r="G189" s="207"/>
      <c r="H189" s="147"/>
      <c r="I189" s="207"/>
      <c r="J189" s="207"/>
      <c r="K189" s="207"/>
      <c r="L189" s="207"/>
      <c r="M189" s="208"/>
      <c r="N189" s="208"/>
      <c r="O189" s="207"/>
      <c r="P189" s="208"/>
      <c r="Q189" s="208"/>
      <c r="R189" s="207"/>
      <c r="S189" s="208"/>
      <c r="T189" s="208"/>
      <c r="U189" s="208"/>
      <c r="V189" s="208"/>
      <c r="W189" s="208"/>
      <c r="X189" s="208"/>
      <c r="Y189" s="208"/>
      <c r="Z189" s="208"/>
      <c r="AA189" s="208"/>
      <c r="AB189" s="208"/>
      <c r="AC189" s="208"/>
      <c r="AD189" s="208"/>
      <c r="AE189" s="208"/>
      <c r="AF189" s="208"/>
      <c r="AG189" s="208"/>
      <c r="AH189" s="208"/>
      <c r="AI189" s="208"/>
      <c r="AJ189" s="208"/>
      <c r="AK189" s="208"/>
      <c r="AL189" s="208"/>
      <c r="AM189" s="208"/>
      <c r="AN189" s="208"/>
      <c r="AO189" s="208"/>
      <c r="AP189" s="208"/>
      <c r="AQ189" s="208"/>
      <c r="AR189" s="208"/>
      <c r="AS189" s="208"/>
      <c r="AT189" s="208"/>
      <c r="AU189" s="208"/>
      <c r="AV189" s="208"/>
      <c r="AW189" s="208"/>
      <c r="AX189" s="208"/>
      <c r="AY189" s="208"/>
      <c r="AZ189" s="208"/>
      <c r="BA189" s="208"/>
      <c r="BB189" s="208"/>
      <c r="BC189" s="208"/>
      <c r="BD189" s="208"/>
      <c r="BE189" s="207"/>
      <c r="BF189" s="208"/>
      <c r="BG189" s="208"/>
    </row>
    <row r="190" spans="1:59" x14ac:dyDescent="0.25">
      <c r="A190" s="207"/>
      <c r="B190" s="207"/>
      <c r="C190" s="207"/>
      <c r="D190" s="207"/>
      <c r="E190" s="207"/>
      <c r="F190" s="207"/>
      <c r="G190" s="207"/>
      <c r="H190" s="147"/>
      <c r="I190" s="207"/>
      <c r="J190" s="207"/>
      <c r="K190" s="207"/>
      <c r="L190" s="207"/>
      <c r="M190" s="208"/>
      <c r="N190" s="208"/>
      <c r="O190" s="207"/>
      <c r="P190" s="208"/>
      <c r="Q190" s="208"/>
      <c r="R190" s="207"/>
      <c r="S190" s="208"/>
      <c r="T190" s="208"/>
      <c r="U190" s="208"/>
      <c r="V190" s="208"/>
      <c r="W190" s="208"/>
      <c r="X190" s="208"/>
      <c r="Y190" s="208"/>
      <c r="Z190" s="208"/>
      <c r="AA190" s="208"/>
      <c r="AB190" s="208"/>
      <c r="AC190" s="208"/>
      <c r="AD190" s="208"/>
      <c r="AE190" s="208"/>
      <c r="AF190" s="208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  <c r="AX190" s="208"/>
      <c r="AY190" s="208"/>
      <c r="AZ190" s="208"/>
      <c r="BA190" s="208"/>
      <c r="BB190" s="208"/>
      <c r="BC190" s="208"/>
      <c r="BD190" s="208"/>
      <c r="BE190" s="207"/>
      <c r="BF190" s="208"/>
      <c r="BG190" s="208"/>
    </row>
    <row r="191" spans="1:59" x14ac:dyDescent="0.25">
      <c r="A191" s="207"/>
      <c r="B191" s="207"/>
      <c r="C191" s="207"/>
      <c r="D191" s="207"/>
      <c r="E191" s="207"/>
      <c r="F191" s="207"/>
      <c r="G191" s="207"/>
      <c r="H191" s="147"/>
      <c r="I191" s="207"/>
      <c r="J191" s="207"/>
      <c r="K191" s="207"/>
      <c r="L191" s="207"/>
      <c r="M191" s="208"/>
      <c r="N191" s="208"/>
      <c r="O191" s="207"/>
      <c r="P191" s="208"/>
      <c r="Q191" s="208"/>
      <c r="R191" s="207"/>
      <c r="S191" s="208"/>
      <c r="T191" s="208"/>
      <c r="U191" s="208"/>
      <c r="V191" s="208"/>
      <c r="W191" s="208"/>
      <c r="X191" s="208"/>
      <c r="Y191" s="208"/>
      <c r="Z191" s="208"/>
      <c r="AA191" s="208"/>
      <c r="AB191" s="208"/>
      <c r="AC191" s="208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7"/>
      <c r="BF191" s="208"/>
      <c r="BG191" s="208"/>
    </row>
    <row r="192" spans="1:59" x14ac:dyDescent="0.25">
      <c r="A192" s="207"/>
      <c r="B192" s="207"/>
      <c r="C192" s="207"/>
      <c r="D192" s="207"/>
      <c r="E192" s="207"/>
      <c r="F192" s="207"/>
      <c r="G192" s="207"/>
      <c r="H192" s="147"/>
      <c r="I192" s="207"/>
      <c r="J192" s="207"/>
      <c r="K192" s="207"/>
      <c r="L192" s="207"/>
      <c r="M192" s="208"/>
      <c r="N192" s="208"/>
      <c r="O192" s="207"/>
      <c r="P192" s="208"/>
      <c r="Q192" s="208"/>
      <c r="R192" s="207"/>
      <c r="S192" s="208"/>
      <c r="T192" s="208"/>
      <c r="U192" s="208"/>
      <c r="V192" s="208"/>
      <c r="W192" s="208"/>
      <c r="X192" s="208"/>
      <c r="Y192" s="208"/>
      <c r="Z192" s="208"/>
      <c r="AA192" s="208"/>
      <c r="AB192" s="208"/>
      <c r="AC192" s="208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7"/>
      <c r="BF192" s="208"/>
      <c r="BG192" s="208"/>
    </row>
    <row r="193" spans="1:59" x14ac:dyDescent="0.25">
      <c r="A193" s="207"/>
      <c r="B193" s="207"/>
      <c r="C193" s="207"/>
      <c r="D193" s="207"/>
      <c r="E193" s="207"/>
      <c r="F193" s="207"/>
      <c r="G193" s="207"/>
      <c r="H193" s="147"/>
      <c r="I193" s="207"/>
      <c r="J193" s="207"/>
      <c r="K193" s="207"/>
      <c r="L193" s="207"/>
      <c r="M193" s="208"/>
      <c r="N193" s="208"/>
      <c r="O193" s="207"/>
      <c r="P193" s="208"/>
      <c r="Q193" s="208"/>
      <c r="R193" s="207"/>
      <c r="S193" s="208"/>
      <c r="T193" s="208"/>
      <c r="U193" s="208"/>
      <c r="V193" s="208"/>
      <c r="W193" s="208"/>
      <c r="X193" s="208"/>
      <c r="Y193" s="208"/>
      <c r="Z193" s="208"/>
      <c r="AA193" s="208"/>
      <c r="AB193" s="208"/>
      <c r="AC193" s="208"/>
      <c r="AD193" s="208"/>
      <c r="AE193" s="208"/>
      <c r="AF193" s="208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7"/>
      <c r="BF193" s="208"/>
      <c r="BG193" s="208"/>
    </row>
    <row r="194" spans="1:59" x14ac:dyDescent="0.25">
      <c r="A194" s="207"/>
      <c r="B194" s="207"/>
      <c r="C194" s="207"/>
      <c r="D194" s="207"/>
      <c r="E194" s="207"/>
      <c r="F194" s="207"/>
      <c r="G194" s="207"/>
      <c r="H194" s="147"/>
      <c r="I194" s="207"/>
      <c r="J194" s="207"/>
      <c r="K194" s="207"/>
      <c r="L194" s="207"/>
      <c r="M194" s="208"/>
      <c r="N194" s="208"/>
      <c r="O194" s="207"/>
      <c r="P194" s="208"/>
      <c r="Q194" s="208"/>
      <c r="R194" s="207"/>
      <c r="S194" s="208"/>
      <c r="T194" s="208"/>
      <c r="U194" s="208"/>
      <c r="V194" s="208"/>
      <c r="W194" s="208"/>
      <c r="X194" s="208"/>
      <c r="Y194" s="208"/>
      <c r="Z194" s="208"/>
      <c r="AA194" s="208"/>
      <c r="AB194" s="208"/>
      <c r="AC194" s="208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7"/>
      <c r="BF194" s="208"/>
      <c r="BG194" s="208"/>
    </row>
    <row r="195" spans="1:59" x14ac:dyDescent="0.25">
      <c r="A195" s="207"/>
      <c r="B195" s="207"/>
      <c r="C195" s="207"/>
      <c r="D195" s="207"/>
      <c r="E195" s="207"/>
      <c r="F195" s="207"/>
      <c r="G195" s="207"/>
      <c r="H195" s="147"/>
      <c r="I195" s="207"/>
      <c r="J195" s="207"/>
      <c r="K195" s="207"/>
      <c r="L195" s="207"/>
      <c r="M195" s="208"/>
      <c r="N195" s="208"/>
      <c r="O195" s="207"/>
      <c r="P195" s="208"/>
      <c r="Q195" s="208"/>
      <c r="R195" s="207"/>
      <c r="S195" s="208"/>
      <c r="T195" s="208"/>
      <c r="U195" s="208"/>
      <c r="V195" s="208"/>
      <c r="W195" s="208"/>
      <c r="X195" s="208"/>
      <c r="Y195" s="208"/>
      <c r="Z195" s="208"/>
      <c r="AA195" s="208"/>
      <c r="AB195" s="208"/>
      <c r="AC195" s="208"/>
      <c r="AD195" s="208"/>
      <c r="AE195" s="208"/>
      <c r="AF195" s="208"/>
      <c r="AG195" s="208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7"/>
      <c r="BF195" s="208"/>
      <c r="BG195" s="208"/>
    </row>
    <row r="196" spans="1:59" x14ac:dyDescent="0.25">
      <c r="A196" s="207"/>
      <c r="B196" s="207"/>
      <c r="C196" s="207"/>
      <c r="D196" s="207"/>
      <c r="E196" s="207"/>
      <c r="F196" s="207"/>
      <c r="G196" s="207"/>
      <c r="H196" s="147"/>
      <c r="I196" s="207"/>
      <c r="J196" s="207"/>
      <c r="K196" s="207"/>
      <c r="L196" s="207"/>
      <c r="M196" s="208"/>
      <c r="N196" s="208"/>
      <c r="O196" s="207"/>
      <c r="P196" s="208"/>
      <c r="Q196" s="208"/>
      <c r="R196" s="207"/>
      <c r="S196" s="208"/>
      <c r="T196" s="208"/>
      <c r="U196" s="208"/>
      <c r="V196" s="208"/>
      <c r="W196" s="208"/>
      <c r="X196" s="208"/>
      <c r="Y196" s="208"/>
      <c r="Z196" s="208"/>
      <c r="AA196" s="208"/>
      <c r="AB196" s="208"/>
      <c r="AC196" s="208"/>
      <c r="AD196" s="208"/>
      <c r="AE196" s="208"/>
      <c r="AF196" s="208"/>
      <c r="AG196" s="208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7"/>
      <c r="BF196" s="208"/>
      <c r="BG196" s="208"/>
    </row>
    <row r="197" spans="1:59" x14ac:dyDescent="0.25">
      <c r="A197" s="207"/>
      <c r="B197" s="207"/>
      <c r="C197" s="207"/>
      <c r="D197" s="207"/>
      <c r="E197" s="207"/>
      <c r="F197" s="207"/>
      <c r="G197" s="207"/>
      <c r="H197" s="147"/>
      <c r="I197" s="207"/>
      <c r="J197" s="207"/>
      <c r="K197" s="207"/>
      <c r="L197" s="207"/>
      <c r="M197" s="208"/>
      <c r="N197" s="208"/>
      <c r="O197" s="207"/>
      <c r="P197" s="208"/>
      <c r="Q197" s="208"/>
      <c r="R197" s="207"/>
      <c r="S197" s="208"/>
      <c r="T197" s="208"/>
      <c r="U197" s="208"/>
      <c r="V197" s="208"/>
      <c r="W197" s="208"/>
      <c r="X197" s="208"/>
      <c r="Y197" s="208"/>
      <c r="Z197" s="208"/>
      <c r="AA197" s="208"/>
      <c r="AB197" s="208"/>
      <c r="AC197" s="208"/>
      <c r="AD197" s="208"/>
      <c r="AE197" s="208"/>
      <c r="AF197" s="208"/>
      <c r="AG197" s="208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7"/>
      <c r="BF197" s="208"/>
      <c r="BG197" s="208"/>
    </row>
    <row r="198" spans="1:59" x14ac:dyDescent="0.25">
      <c r="A198" s="207"/>
      <c r="B198" s="207"/>
      <c r="C198" s="207"/>
      <c r="D198" s="207"/>
      <c r="E198" s="207"/>
      <c r="F198" s="207"/>
      <c r="G198" s="207"/>
      <c r="H198" s="147"/>
      <c r="I198" s="207"/>
      <c r="J198" s="207"/>
      <c r="K198" s="207"/>
      <c r="L198" s="207"/>
      <c r="M198" s="208"/>
      <c r="N198" s="208"/>
      <c r="O198" s="207"/>
      <c r="P198" s="208"/>
      <c r="Q198" s="208"/>
      <c r="R198" s="207"/>
      <c r="S198" s="208"/>
      <c r="T198" s="208"/>
      <c r="U198" s="208"/>
      <c r="V198" s="208"/>
      <c r="W198" s="208"/>
      <c r="X198" s="208"/>
      <c r="Y198" s="208"/>
      <c r="Z198" s="208"/>
      <c r="AA198" s="208"/>
      <c r="AB198" s="208"/>
      <c r="AC198" s="208"/>
      <c r="AD198" s="208"/>
      <c r="AE198" s="208"/>
      <c r="AF198" s="208"/>
      <c r="AG198" s="208"/>
      <c r="AH198" s="20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08"/>
      <c r="AT198" s="208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7"/>
      <c r="BF198" s="208"/>
      <c r="BG198" s="208"/>
    </row>
    <row r="199" spans="1:59" x14ac:dyDescent="0.25">
      <c r="A199" s="207"/>
      <c r="B199" s="207"/>
      <c r="C199" s="207"/>
      <c r="D199" s="207"/>
      <c r="E199" s="207"/>
      <c r="F199" s="207"/>
      <c r="G199" s="207"/>
      <c r="H199" s="147"/>
      <c r="I199" s="207"/>
      <c r="J199" s="207"/>
      <c r="K199" s="207"/>
      <c r="L199" s="207"/>
      <c r="M199" s="208"/>
      <c r="N199" s="208"/>
      <c r="O199" s="207"/>
      <c r="P199" s="208"/>
      <c r="Q199" s="208"/>
      <c r="R199" s="207"/>
      <c r="S199" s="208"/>
      <c r="T199" s="208"/>
      <c r="U199" s="208"/>
      <c r="V199" s="208"/>
      <c r="W199" s="208"/>
      <c r="X199" s="208"/>
      <c r="Y199" s="208"/>
      <c r="Z199" s="208"/>
      <c r="AA199" s="208"/>
      <c r="AB199" s="208"/>
      <c r="AC199" s="208"/>
      <c r="AD199" s="208"/>
      <c r="AE199" s="208"/>
      <c r="AF199" s="208"/>
      <c r="AG199" s="208"/>
      <c r="AH199" s="208"/>
      <c r="AI199" s="208"/>
      <c r="AJ199" s="208"/>
      <c r="AK199" s="208"/>
      <c r="AL199" s="208"/>
      <c r="AM199" s="208"/>
      <c r="AN199" s="208"/>
      <c r="AO199" s="208"/>
      <c r="AP199" s="208"/>
      <c r="AQ199" s="208"/>
      <c r="AR199" s="208"/>
      <c r="AS199" s="208"/>
      <c r="AT199" s="208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7"/>
      <c r="BF199" s="208"/>
      <c r="BG199" s="208"/>
    </row>
    <row r="200" spans="1:59" x14ac:dyDescent="0.25">
      <c r="A200" s="207"/>
      <c r="B200" s="207"/>
      <c r="C200" s="207"/>
      <c r="D200" s="207"/>
      <c r="E200" s="207"/>
      <c r="F200" s="207"/>
      <c r="G200" s="207"/>
      <c r="H200" s="147"/>
      <c r="I200" s="207"/>
      <c r="J200" s="207"/>
      <c r="K200" s="207"/>
      <c r="L200" s="207"/>
      <c r="M200" s="208"/>
      <c r="N200" s="208"/>
      <c r="O200" s="207"/>
      <c r="P200" s="208"/>
      <c r="Q200" s="208"/>
      <c r="R200" s="207"/>
      <c r="S200" s="208"/>
      <c r="T200" s="208"/>
      <c r="U200" s="208"/>
      <c r="V200" s="208"/>
      <c r="W200" s="208"/>
      <c r="X200" s="208"/>
      <c r="Y200" s="208"/>
      <c r="Z200" s="208"/>
      <c r="AA200" s="208"/>
      <c r="AB200" s="208"/>
      <c r="AC200" s="208"/>
      <c r="AD200" s="208"/>
      <c r="AE200" s="208"/>
      <c r="AF200" s="208"/>
      <c r="AG200" s="208"/>
      <c r="AH200" s="208"/>
      <c r="AI200" s="208"/>
      <c r="AJ200" s="208"/>
      <c r="AK200" s="208"/>
      <c r="AL200" s="208"/>
      <c r="AM200" s="208"/>
      <c r="AN200" s="208"/>
      <c r="AO200" s="208"/>
      <c r="AP200" s="208"/>
      <c r="AQ200" s="208"/>
      <c r="AR200" s="208"/>
      <c r="AS200" s="208"/>
      <c r="AT200" s="208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7"/>
      <c r="BF200" s="208"/>
      <c r="BG200" s="208"/>
    </row>
    <row r="201" spans="1:59" x14ac:dyDescent="0.25">
      <c r="A201" s="207"/>
      <c r="B201" s="207"/>
      <c r="C201" s="207"/>
      <c r="D201" s="207"/>
      <c r="E201" s="207"/>
      <c r="F201" s="207"/>
      <c r="G201" s="207"/>
      <c r="H201" s="147"/>
      <c r="I201" s="207"/>
      <c r="J201" s="207"/>
      <c r="K201" s="207"/>
      <c r="L201" s="207"/>
      <c r="M201" s="208"/>
      <c r="N201" s="208"/>
      <c r="O201" s="207"/>
      <c r="P201" s="208"/>
      <c r="Q201" s="208"/>
      <c r="R201" s="207"/>
      <c r="S201" s="208"/>
      <c r="T201" s="208"/>
      <c r="U201" s="208"/>
      <c r="V201" s="208"/>
      <c r="W201" s="208"/>
      <c r="X201" s="208"/>
      <c r="Y201" s="208"/>
      <c r="Z201" s="208"/>
      <c r="AA201" s="208"/>
      <c r="AB201" s="208"/>
      <c r="AC201" s="208"/>
      <c r="AD201" s="208"/>
      <c r="AE201" s="208"/>
      <c r="AF201" s="208"/>
      <c r="AG201" s="208"/>
      <c r="AH201" s="208"/>
      <c r="AI201" s="208"/>
      <c r="AJ201" s="208"/>
      <c r="AK201" s="208"/>
      <c r="AL201" s="208"/>
      <c r="AM201" s="208"/>
      <c r="AN201" s="208"/>
      <c r="AO201" s="208"/>
      <c r="AP201" s="208"/>
      <c r="AQ201" s="208"/>
      <c r="AR201" s="208"/>
      <c r="AS201" s="208"/>
      <c r="AT201" s="208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7"/>
      <c r="BF201" s="208"/>
      <c r="BG201" s="208"/>
    </row>
    <row r="202" spans="1:59" x14ac:dyDescent="0.25">
      <c r="A202" s="207"/>
      <c r="B202" s="207"/>
      <c r="C202" s="207"/>
      <c r="D202" s="207"/>
      <c r="E202" s="207"/>
      <c r="F202" s="207"/>
      <c r="G202" s="207"/>
      <c r="H202" s="147"/>
      <c r="I202" s="207"/>
      <c r="J202" s="207"/>
      <c r="K202" s="207"/>
      <c r="L202" s="207"/>
      <c r="M202" s="208"/>
      <c r="N202" s="208"/>
      <c r="O202" s="207"/>
      <c r="P202" s="208"/>
      <c r="Q202" s="208"/>
      <c r="R202" s="207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8"/>
      <c r="AT202" s="208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7"/>
      <c r="BF202" s="208"/>
      <c r="BG202" s="208"/>
    </row>
    <row r="203" spans="1:59" x14ac:dyDescent="0.25">
      <c r="A203" s="207"/>
      <c r="B203" s="207"/>
      <c r="C203" s="207"/>
      <c r="D203" s="207"/>
      <c r="E203" s="207"/>
      <c r="F203" s="207"/>
      <c r="G203" s="207"/>
      <c r="H203" s="147"/>
      <c r="I203" s="207"/>
      <c r="J203" s="207"/>
      <c r="K203" s="207"/>
      <c r="L203" s="207"/>
      <c r="M203" s="208"/>
      <c r="N203" s="208"/>
      <c r="O203" s="207"/>
      <c r="P203" s="208"/>
      <c r="Q203" s="208"/>
      <c r="R203" s="207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8"/>
      <c r="AT203" s="208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7"/>
      <c r="BF203" s="208"/>
      <c r="BG203" s="208"/>
    </row>
    <row r="204" spans="1:59" x14ac:dyDescent="0.25">
      <c r="A204" s="207"/>
      <c r="B204" s="207"/>
      <c r="C204" s="207"/>
      <c r="D204" s="207"/>
      <c r="E204" s="207"/>
      <c r="F204" s="207"/>
      <c r="G204" s="207"/>
      <c r="H204" s="147"/>
      <c r="I204" s="207"/>
      <c r="J204" s="207"/>
      <c r="K204" s="207"/>
      <c r="L204" s="207"/>
      <c r="M204" s="208"/>
      <c r="N204" s="208"/>
      <c r="O204" s="207"/>
      <c r="P204" s="208"/>
      <c r="Q204" s="208"/>
      <c r="R204" s="207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8"/>
      <c r="AT204" s="208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7"/>
      <c r="BF204" s="208"/>
      <c r="BG204" s="208"/>
    </row>
    <row r="205" spans="1:59" x14ac:dyDescent="0.25">
      <c r="A205" s="207"/>
      <c r="B205" s="207"/>
      <c r="C205" s="207"/>
      <c r="D205" s="207"/>
      <c r="E205" s="207"/>
      <c r="F205" s="207"/>
      <c r="G205" s="207"/>
      <c r="H205" s="147"/>
      <c r="I205" s="207"/>
      <c r="J205" s="207"/>
      <c r="K205" s="207"/>
      <c r="L205" s="207"/>
      <c r="M205" s="208"/>
      <c r="N205" s="208"/>
      <c r="O205" s="207"/>
      <c r="P205" s="208"/>
      <c r="Q205" s="208"/>
      <c r="R205" s="207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7"/>
      <c r="BF205" s="208"/>
      <c r="BG205" s="208"/>
    </row>
    <row r="206" spans="1:59" x14ac:dyDescent="0.25">
      <c r="A206" s="207"/>
      <c r="B206" s="207"/>
      <c r="C206" s="207"/>
      <c r="D206" s="207"/>
      <c r="E206" s="207"/>
      <c r="F206" s="207"/>
      <c r="G206" s="207"/>
      <c r="H206" s="147"/>
      <c r="I206" s="207"/>
      <c r="J206" s="207"/>
      <c r="K206" s="207"/>
      <c r="L206" s="207"/>
      <c r="M206" s="208"/>
      <c r="N206" s="208"/>
      <c r="O206" s="207"/>
      <c r="P206" s="208"/>
      <c r="Q206" s="208"/>
      <c r="R206" s="207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7"/>
      <c r="BF206" s="208"/>
      <c r="BG206" s="208"/>
    </row>
    <row r="207" spans="1:59" x14ac:dyDescent="0.25">
      <c r="A207" s="207"/>
      <c r="B207" s="207"/>
      <c r="C207" s="207"/>
      <c r="D207" s="207"/>
      <c r="E207" s="207"/>
      <c r="F207" s="207"/>
      <c r="G207" s="207"/>
      <c r="H207" s="147"/>
      <c r="I207" s="207"/>
      <c r="J207" s="207"/>
      <c r="K207" s="207"/>
      <c r="L207" s="207"/>
      <c r="M207" s="208"/>
      <c r="N207" s="208"/>
      <c r="O207" s="207"/>
      <c r="P207" s="208"/>
      <c r="Q207" s="208"/>
      <c r="R207" s="207"/>
      <c r="S207" s="208"/>
      <c r="T207" s="208"/>
      <c r="U207" s="208"/>
      <c r="V207" s="208"/>
      <c r="W207" s="208"/>
      <c r="X207" s="208"/>
      <c r="Y207" s="208"/>
      <c r="Z207" s="208"/>
      <c r="AA207" s="208"/>
      <c r="AB207" s="208"/>
      <c r="AC207" s="208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208"/>
      <c r="AP207" s="208"/>
      <c r="AQ207" s="208"/>
      <c r="AR207" s="208"/>
      <c r="AS207" s="208"/>
      <c r="AT207" s="208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7"/>
      <c r="BF207" s="208"/>
      <c r="BG207" s="208"/>
    </row>
    <row r="208" spans="1:59" x14ac:dyDescent="0.25">
      <c r="A208" s="207"/>
      <c r="B208" s="207"/>
      <c r="C208" s="207"/>
      <c r="D208" s="207"/>
      <c r="E208" s="207"/>
      <c r="F208" s="207"/>
      <c r="G208" s="207"/>
      <c r="H208" s="147"/>
      <c r="I208" s="207"/>
      <c r="J208" s="207"/>
      <c r="K208" s="207"/>
      <c r="L208" s="207"/>
      <c r="M208" s="208"/>
      <c r="N208" s="208"/>
      <c r="O208" s="207"/>
      <c r="P208" s="208"/>
      <c r="Q208" s="208"/>
      <c r="R208" s="207"/>
      <c r="S208" s="208"/>
      <c r="T208" s="208"/>
      <c r="U208" s="208"/>
      <c r="V208" s="208"/>
      <c r="W208" s="208"/>
      <c r="X208" s="208"/>
      <c r="Y208" s="208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  <c r="AT208" s="208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7"/>
      <c r="BF208" s="208"/>
      <c r="BG208" s="208"/>
    </row>
    <row r="209" spans="1:59" x14ac:dyDescent="0.25">
      <c r="A209" s="207"/>
      <c r="B209" s="207"/>
      <c r="C209" s="207"/>
      <c r="D209" s="207"/>
      <c r="E209" s="207"/>
      <c r="F209" s="207"/>
      <c r="G209" s="207"/>
      <c r="H209" s="147"/>
      <c r="I209" s="207"/>
      <c r="J209" s="207"/>
      <c r="K209" s="207"/>
      <c r="L209" s="207"/>
      <c r="M209" s="208"/>
      <c r="N209" s="208"/>
      <c r="O209" s="207"/>
      <c r="P209" s="208"/>
      <c r="Q209" s="208"/>
      <c r="R209" s="207"/>
      <c r="S209" s="208"/>
      <c r="T209" s="208"/>
      <c r="U209" s="208"/>
      <c r="V209" s="208"/>
      <c r="W209" s="208"/>
      <c r="X209" s="208"/>
      <c r="Y209" s="208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  <c r="AT209" s="208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7"/>
      <c r="BF209" s="208"/>
      <c r="BG209" s="208"/>
    </row>
    <row r="210" spans="1:59" x14ac:dyDescent="0.25">
      <c r="A210" s="207"/>
      <c r="B210" s="207"/>
      <c r="C210" s="207"/>
      <c r="D210" s="207"/>
      <c r="E210" s="207"/>
      <c r="F210" s="207"/>
      <c r="G210" s="207"/>
      <c r="H210" s="147"/>
      <c r="I210" s="207"/>
      <c r="J210" s="207"/>
      <c r="K210" s="207"/>
      <c r="L210" s="207"/>
      <c r="M210" s="208"/>
      <c r="N210" s="208"/>
      <c r="O210" s="207"/>
      <c r="P210" s="208"/>
      <c r="Q210" s="208"/>
      <c r="R210" s="207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7"/>
      <c r="BF210" s="208"/>
      <c r="BG210" s="208"/>
    </row>
    <row r="211" spans="1:59" x14ac:dyDescent="0.25">
      <c r="A211" s="207"/>
      <c r="B211" s="207"/>
      <c r="C211" s="207"/>
      <c r="D211" s="207"/>
      <c r="E211" s="207"/>
      <c r="F211" s="207"/>
      <c r="G211" s="207"/>
      <c r="H211" s="147"/>
      <c r="I211" s="207"/>
      <c r="J211" s="207"/>
      <c r="K211" s="207"/>
      <c r="L211" s="207"/>
      <c r="M211" s="208"/>
      <c r="N211" s="208"/>
      <c r="O211" s="207"/>
      <c r="P211" s="208"/>
      <c r="Q211" s="208"/>
      <c r="R211" s="207"/>
      <c r="S211" s="208"/>
      <c r="T211" s="208"/>
      <c r="U211" s="208"/>
      <c r="V211" s="208"/>
      <c r="W211" s="208"/>
      <c r="X211" s="208"/>
      <c r="Y211" s="208"/>
      <c r="Z211" s="208"/>
      <c r="AA211" s="208"/>
      <c r="AB211" s="208"/>
      <c r="AC211" s="208"/>
      <c r="AD211" s="208"/>
      <c r="AE211" s="208"/>
      <c r="AF211" s="208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  <c r="AT211" s="208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7"/>
      <c r="BF211" s="208"/>
      <c r="BG211" s="208"/>
    </row>
    <row r="212" spans="1:59" x14ac:dyDescent="0.25">
      <c r="A212" s="207"/>
      <c r="B212" s="207"/>
      <c r="C212" s="207"/>
      <c r="D212" s="207"/>
      <c r="E212" s="207"/>
      <c r="F212" s="207"/>
      <c r="G212" s="207"/>
      <c r="H212" s="147"/>
      <c r="I212" s="207"/>
      <c r="J212" s="207"/>
      <c r="K212" s="207"/>
      <c r="L212" s="207"/>
      <c r="M212" s="208"/>
      <c r="N212" s="208"/>
      <c r="O212" s="207"/>
      <c r="P212" s="208"/>
      <c r="Q212" s="208"/>
      <c r="R212" s="207"/>
      <c r="S212" s="208"/>
      <c r="T212" s="208"/>
      <c r="U212" s="208"/>
      <c r="V212" s="208"/>
      <c r="W212" s="208"/>
      <c r="X212" s="208"/>
      <c r="Y212" s="208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  <c r="AT212" s="208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7"/>
      <c r="BF212" s="208"/>
      <c r="BG212" s="208"/>
    </row>
    <row r="213" spans="1:59" x14ac:dyDescent="0.25">
      <c r="A213" s="207"/>
      <c r="B213" s="207"/>
      <c r="C213" s="207"/>
      <c r="D213" s="207"/>
      <c r="E213" s="207"/>
      <c r="F213" s="207"/>
      <c r="G213" s="207"/>
      <c r="H213" s="147"/>
      <c r="I213" s="207"/>
      <c r="J213" s="207"/>
      <c r="K213" s="207"/>
      <c r="L213" s="207"/>
      <c r="M213" s="208"/>
      <c r="N213" s="208"/>
      <c r="O213" s="207"/>
      <c r="P213" s="208"/>
      <c r="Q213" s="208"/>
      <c r="R213" s="207"/>
      <c r="S213" s="208"/>
      <c r="T213" s="208"/>
      <c r="U213" s="208"/>
      <c r="V213" s="208"/>
      <c r="W213" s="208"/>
      <c r="X213" s="208"/>
      <c r="Y213" s="208"/>
      <c r="Z213" s="208"/>
      <c r="AA213" s="208"/>
      <c r="AB213" s="208"/>
      <c r="AC213" s="208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7"/>
      <c r="BF213" s="208"/>
      <c r="BG213" s="208"/>
    </row>
    <row r="214" spans="1:59" x14ac:dyDescent="0.25">
      <c r="A214" s="207"/>
      <c r="B214" s="207"/>
      <c r="C214" s="207"/>
      <c r="D214" s="207"/>
      <c r="E214" s="207"/>
      <c r="F214" s="207"/>
      <c r="G214" s="207"/>
      <c r="H214" s="147"/>
      <c r="I214" s="207"/>
      <c r="J214" s="207"/>
      <c r="K214" s="207"/>
      <c r="L214" s="207"/>
      <c r="M214" s="208"/>
      <c r="N214" s="208"/>
      <c r="O214" s="207"/>
      <c r="P214" s="208"/>
      <c r="Q214" s="208"/>
      <c r="R214" s="207"/>
      <c r="S214" s="208"/>
      <c r="T214" s="208"/>
      <c r="U214" s="208"/>
      <c r="V214" s="208"/>
      <c r="W214" s="208"/>
      <c r="X214" s="208"/>
      <c r="Y214" s="208"/>
      <c r="Z214" s="208"/>
      <c r="AA214" s="208"/>
      <c r="AB214" s="208"/>
      <c r="AC214" s="208"/>
      <c r="AD214" s="208"/>
      <c r="AE214" s="208"/>
      <c r="AF214" s="208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  <c r="AT214" s="208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7"/>
      <c r="BF214" s="208"/>
      <c r="BG214" s="208"/>
    </row>
    <row r="215" spans="1:59" x14ac:dyDescent="0.25">
      <c r="A215" s="207"/>
      <c r="B215" s="207"/>
      <c r="C215" s="207"/>
      <c r="D215" s="207"/>
      <c r="E215" s="207"/>
      <c r="F215" s="207"/>
      <c r="G215" s="207"/>
      <c r="H215" s="147"/>
      <c r="I215" s="207"/>
      <c r="J215" s="207"/>
      <c r="K215" s="207"/>
      <c r="L215" s="207"/>
      <c r="M215" s="208"/>
      <c r="N215" s="208"/>
      <c r="O215" s="207"/>
      <c r="P215" s="208"/>
      <c r="Q215" s="208"/>
      <c r="R215" s="207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  <c r="AT215" s="208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7"/>
      <c r="BF215" s="208"/>
      <c r="BG215" s="208"/>
    </row>
    <row r="216" spans="1:59" x14ac:dyDescent="0.25">
      <c r="A216" s="207"/>
      <c r="B216" s="207"/>
      <c r="C216" s="207"/>
      <c r="D216" s="207"/>
      <c r="E216" s="207"/>
      <c r="F216" s="207"/>
      <c r="G216" s="207"/>
      <c r="H216" s="147"/>
      <c r="I216" s="207"/>
      <c r="J216" s="207"/>
      <c r="K216" s="207"/>
      <c r="L216" s="207"/>
      <c r="M216" s="208"/>
      <c r="N216" s="208"/>
      <c r="O216" s="207"/>
      <c r="P216" s="208"/>
      <c r="Q216" s="208"/>
      <c r="R216" s="207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08"/>
      <c r="AQ216" s="208"/>
      <c r="AR216" s="208"/>
      <c r="AS216" s="208"/>
      <c r="AT216" s="208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7"/>
      <c r="BF216" s="208"/>
      <c r="BG216" s="208"/>
    </row>
    <row r="217" spans="1:59" x14ac:dyDescent="0.25">
      <c r="A217" s="207"/>
      <c r="B217" s="207"/>
      <c r="C217" s="207"/>
      <c r="D217" s="207"/>
      <c r="E217" s="207"/>
      <c r="F217" s="207"/>
      <c r="G217" s="207"/>
      <c r="H217" s="147"/>
      <c r="I217" s="207"/>
      <c r="J217" s="207"/>
      <c r="K217" s="207"/>
      <c r="L217" s="207"/>
      <c r="M217" s="208"/>
      <c r="N217" s="208"/>
      <c r="O217" s="207"/>
      <c r="P217" s="208"/>
      <c r="Q217" s="208"/>
      <c r="R217" s="207"/>
      <c r="S217" s="208"/>
      <c r="T217" s="208"/>
      <c r="U217" s="208"/>
      <c r="V217" s="208"/>
      <c r="W217" s="208"/>
      <c r="X217" s="208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208"/>
      <c r="AP217" s="208"/>
      <c r="AQ217" s="208"/>
      <c r="AR217" s="208"/>
      <c r="AS217" s="208"/>
      <c r="AT217" s="208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7"/>
      <c r="BF217" s="208"/>
      <c r="BG217" s="208"/>
    </row>
  </sheetData>
  <mergeCells count="42">
    <mergeCell ref="I1:K1"/>
    <mergeCell ref="B4:B38"/>
    <mergeCell ref="B132:B135"/>
    <mergeCell ref="A40:B43"/>
    <mergeCell ref="A45:B54"/>
    <mergeCell ref="A57:A91"/>
    <mergeCell ref="B57:B91"/>
    <mergeCell ref="A93:A113"/>
    <mergeCell ref="B93:B104"/>
    <mergeCell ref="B106:B113"/>
    <mergeCell ref="A163:B166"/>
    <mergeCell ref="A170:B173"/>
    <mergeCell ref="A174:B175"/>
    <mergeCell ref="L1:N1"/>
    <mergeCell ref="O1:Q1"/>
    <mergeCell ref="A139:B139"/>
    <mergeCell ref="A141:A144"/>
    <mergeCell ref="B141:B144"/>
    <mergeCell ref="A148:B151"/>
    <mergeCell ref="A153:B156"/>
    <mergeCell ref="A158:B161"/>
    <mergeCell ref="A115:A126"/>
    <mergeCell ref="B115:B117"/>
    <mergeCell ref="B119:B126"/>
    <mergeCell ref="A128:A135"/>
    <mergeCell ref="B128:B131"/>
    <mergeCell ref="BB1:BD1"/>
    <mergeCell ref="A4:A38"/>
    <mergeCell ref="BE1:BG1"/>
    <mergeCell ref="AJ1:AL1"/>
    <mergeCell ref="AM1:AO1"/>
    <mergeCell ref="AP1:AR1"/>
    <mergeCell ref="AS1:AU1"/>
    <mergeCell ref="AV1:AX1"/>
    <mergeCell ref="AY1:BA1"/>
    <mergeCell ref="R1:T1"/>
    <mergeCell ref="U1:W1"/>
    <mergeCell ref="X1:Z1"/>
    <mergeCell ref="AA1:AC1"/>
    <mergeCell ref="AD1:AF1"/>
    <mergeCell ref="AG1:AI1"/>
    <mergeCell ref="A1:B1"/>
  </mergeCells>
  <pageMargins left="0.7" right="0.7" top="0.75" bottom="0.75" header="0.3" footer="0.3"/>
  <pageSetup orientation="portrait" r:id="rId1"/>
  <ignoredErrors>
    <ignoredError sqref="K24 K20 K16 K12 K8 K28 K34 BF36 BE3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showGridLines="0" workbookViewId="0">
      <selection activeCell="P33" sqref="P33"/>
    </sheetView>
  </sheetViews>
  <sheetFormatPr defaultRowHeight="15" x14ac:dyDescent="0.25"/>
  <cols>
    <col min="3" max="3" width="7.140625" customWidth="1"/>
    <col min="19" max="19" width="8.140625" customWidth="1"/>
  </cols>
  <sheetData>
    <row r="1" spans="1:36" x14ac:dyDescent="0.25">
      <c r="A1" s="7" t="s">
        <v>93</v>
      </c>
      <c r="C1" s="6"/>
      <c r="D1" s="6"/>
      <c r="E1" s="6"/>
      <c r="F1" s="7" t="s">
        <v>0</v>
      </c>
      <c r="G1" s="6"/>
      <c r="I1" s="6"/>
      <c r="J1" s="6"/>
      <c r="K1" s="7" t="s">
        <v>4</v>
      </c>
      <c r="M1" s="6"/>
      <c r="O1" s="7" t="s">
        <v>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4" spans="1:36" ht="5.25" customHeight="1" x14ac:dyDescent="0.25"/>
    <row r="5" spans="1:36" ht="18.75" customHeight="1" x14ac:dyDescent="0.25"/>
    <row r="6" spans="1:36" ht="18.75" customHeight="1" x14ac:dyDescent="0.25"/>
    <row r="7" spans="1:36" ht="18.75" customHeight="1" x14ac:dyDescent="0.25"/>
    <row r="8" spans="1:36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6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36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36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36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36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36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36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36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4:19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9" spans="4:19" x14ac:dyDescent="0.25"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4:19" x14ac:dyDescent="0.25"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4:19" x14ac:dyDescent="0.25"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4:19" x14ac:dyDescent="0.25"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4:19" x14ac:dyDescent="0.25"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4:19" x14ac:dyDescent="0.25"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4:19" ht="10.5" customHeight="1" x14ac:dyDescent="0.25"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  <row r="27" spans="4:19" x14ac:dyDescent="0.25"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</row>
    <row r="28" spans="4:19" x14ac:dyDescent="0.25"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spans="4:19" x14ac:dyDescent="0.25"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4:19" x14ac:dyDescent="0.25"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</row>
    <row r="31" spans="4:19" x14ac:dyDescent="0.25"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</row>
    <row r="32" spans="4:19" ht="9" customHeight="1" x14ac:dyDescent="0.25"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</row>
    <row r="34" spans="4:19" x14ac:dyDescent="0.25"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</row>
    <row r="35" spans="4:19" x14ac:dyDescent="0.25"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</row>
    <row r="36" spans="4:19" x14ac:dyDescent="0.25"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</row>
    <row r="37" spans="4:19" x14ac:dyDescent="0.25"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spans="4:19" x14ac:dyDescent="0.25"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8"/>
  <sheetViews>
    <sheetView zoomScaleNormal="100" workbookViewId="0">
      <pane xSplit="3" ySplit="2" topLeftCell="K5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2" x14ac:dyDescent="0.2"/>
  <cols>
    <col min="1" max="1" width="15" style="259" bestFit="1" customWidth="1"/>
    <col min="2" max="2" width="23" style="259" customWidth="1"/>
    <col min="3" max="3" width="18.28515625" style="259" bestFit="1" customWidth="1"/>
    <col min="4" max="4" width="13" style="450" customWidth="1"/>
    <col min="5" max="5" width="14" style="221" customWidth="1"/>
    <col min="6" max="6" width="13" style="450" customWidth="1"/>
    <col min="7" max="7" width="16.85546875" style="221" customWidth="1"/>
    <col min="8" max="8" width="14" style="450" customWidth="1"/>
    <col min="9" max="9" width="16.85546875" style="221" customWidth="1"/>
    <col min="10" max="10" width="9.140625" style="259"/>
    <col min="11" max="11" width="14" style="450" customWidth="1"/>
    <col min="12" max="12" width="16.85546875" style="221" customWidth="1"/>
    <col min="13" max="13" width="12.140625" style="259" bestFit="1" customWidth="1"/>
    <col min="14" max="16384" width="9.140625" style="259"/>
  </cols>
  <sheetData>
    <row r="1" spans="1:12" x14ac:dyDescent="0.2">
      <c r="D1" s="508" t="s">
        <v>11</v>
      </c>
      <c r="E1" s="508"/>
      <c r="F1" s="508" t="s">
        <v>12</v>
      </c>
      <c r="G1" s="508"/>
      <c r="H1" s="508" t="s">
        <v>276</v>
      </c>
      <c r="I1" s="508"/>
      <c r="K1" s="508" t="s">
        <v>307</v>
      </c>
      <c r="L1" s="508"/>
    </row>
    <row r="2" spans="1:12" ht="12.75" thickBot="1" x14ac:dyDescent="0.25">
      <c r="B2" s="260" t="s">
        <v>142</v>
      </c>
      <c r="C2" s="260" t="s">
        <v>143</v>
      </c>
      <c r="D2" s="447" t="s">
        <v>144</v>
      </c>
      <c r="E2" s="287" t="s">
        <v>145</v>
      </c>
      <c r="F2" s="447" t="s">
        <v>144</v>
      </c>
      <c r="G2" s="287" t="s">
        <v>145</v>
      </c>
      <c r="H2" s="447" t="s">
        <v>144</v>
      </c>
      <c r="I2" s="287" t="s">
        <v>145</v>
      </c>
      <c r="K2" s="447" t="s">
        <v>144</v>
      </c>
      <c r="L2" s="287" t="s">
        <v>145</v>
      </c>
    </row>
    <row r="3" spans="1:12" x14ac:dyDescent="0.2">
      <c r="B3" s="261"/>
      <c r="C3" s="261"/>
      <c r="D3" s="448"/>
      <c r="E3" s="220"/>
      <c r="F3" s="448"/>
      <c r="G3" s="220"/>
      <c r="H3" s="448"/>
      <c r="I3" s="220"/>
      <c r="K3" s="448"/>
      <c r="L3" s="220"/>
    </row>
    <row r="4" spans="1:12" ht="12.75" thickBot="1" x14ac:dyDescent="0.25">
      <c r="B4" s="262" t="s">
        <v>146</v>
      </c>
      <c r="C4" s="261"/>
      <c r="D4" s="449">
        <v>7776921</v>
      </c>
      <c r="E4" s="219">
        <v>7846839</v>
      </c>
      <c r="F4" s="449">
        <v>8230259</v>
      </c>
      <c r="G4" s="219">
        <v>7164270</v>
      </c>
      <c r="H4" s="449">
        <v>8645540</v>
      </c>
      <c r="I4" s="437">
        <f>8694540-159002</f>
        <v>8535538</v>
      </c>
      <c r="K4" s="449">
        <f>D4+F4+H4</f>
        <v>24652720</v>
      </c>
      <c r="L4" s="437">
        <f>E4+G4+I4</f>
        <v>23546647</v>
      </c>
    </row>
    <row r="5" spans="1:12" ht="12.75" thickTop="1" x14ac:dyDescent="0.2">
      <c r="B5" s="261"/>
      <c r="C5" s="261"/>
      <c r="D5" s="448"/>
      <c r="E5" s="220"/>
      <c r="F5" s="448"/>
      <c r="G5" s="220"/>
      <c r="H5" s="448"/>
      <c r="I5" s="438"/>
      <c r="K5" s="448"/>
      <c r="L5" s="438"/>
    </row>
    <row r="6" spans="1:12" x14ac:dyDescent="0.2">
      <c r="A6" s="506" t="s">
        <v>147</v>
      </c>
      <c r="B6" s="263" t="s">
        <v>148</v>
      </c>
      <c r="C6" s="263" t="s">
        <v>149</v>
      </c>
      <c r="D6" s="450">
        <v>2403100</v>
      </c>
      <c r="E6" s="221">
        <v>2463600</v>
      </c>
      <c r="F6" s="450">
        <v>1803800</v>
      </c>
      <c r="G6" s="221">
        <v>2169200</v>
      </c>
      <c r="H6" s="450">
        <v>2402145</v>
      </c>
      <c r="I6" s="221">
        <v>3282700</v>
      </c>
      <c r="K6" s="450">
        <f t="shared" ref="K6:K10" si="0">D6+F6+H6</f>
        <v>6609045</v>
      </c>
      <c r="L6" s="221">
        <f t="shared" ref="L6:L10" si="1">E6+G6+I6</f>
        <v>7915500</v>
      </c>
    </row>
    <row r="7" spans="1:12" x14ac:dyDescent="0.2">
      <c r="A7" s="506"/>
      <c r="B7" s="263" t="s">
        <v>150</v>
      </c>
      <c r="C7" s="263" t="s">
        <v>149</v>
      </c>
      <c r="D7" s="450">
        <f>48500+29000+20001</f>
        <v>97501</v>
      </c>
      <c r="E7" s="221">
        <f>78000+54000+61000</f>
        <v>193000</v>
      </c>
      <c r="F7" s="450">
        <f>42500+27000+68500</f>
        <v>138000</v>
      </c>
      <c r="G7" s="221">
        <f>136500+70601+62500</f>
        <v>269601</v>
      </c>
      <c r="H7" s="450">
        <f>65550+29000+27500</f>
        <v>122050</v>
      </c>
      <c r="I7" s="221">
        <f>131300+47000+40000</f>
        <v>218300</v>
      </c>
      <c r="K7" s="450">
        <f t="shared" si="0"/>
        <v>357551</v>
      </c>
      <c r="L7" s="221">
        <f t="shared" si="1"/>
        <v>680901</v>
      </c>
    </row>
    <row r="8" spans="1:12" x14ac:dyDescent="0.2">
      <c r="A8" s="506"/>
      <c r="B8" s="263" t="s">
        <v>151</v>
      </c>
      <c r="C8" s="263" t="s">
        <v>149</v>
      </c>
      <c r="D8" s="450">
        <v>622400</v>
      </c>
      <c r="E8" s="221">
        <v>673400</v>
      </c>
      <c r="F8" s="450">
        <v>722900</v>
      </c>
      <c r="G8" s="221">
        <v>1065710</v>
      </c>
      <c r="H8" s="450">
        <v>668300</v>
      </c>
      <c r="I8" s="221">
        <v>796600</v>
      </c>
      <c r="K8" s="450">
        <f t="shared" si="0"/>
        <v>2013600</v>
      </c>
      <c r="L8" s="221">
        <f t="shared" si="1"/>
        <v>2535710</v>
      </c>
    </row>
    <row r="9" spans="1:12" x14ac:dyDescent="0.2">
      <c r="A9" s="506"/>
      <c r="B9" s="263" t="s">
        <v>152</v>
      </c>
      <c r="C9" s="263" t="s">
        <v>149</v>
      </c>
      <c r="E9" s="221">
        <v>5001</v>
      </c>
      <c r="G9" s="221">
        <v>5001</v>
      </c>
      <c r="I9" s="221">
        <v>30000</v>
      </c>
      <c r="K9" s="450">
        <f t="shared" si="0"/>
        <v>0</v>
      </c>
      <c r="L9" s="221">
        <f t="shared" si="1"/>
        <v>40002</v>
      </c>
    </row>
    <row r="10" spans="1:12" x14ac:dyDescent="0.2">
      <c r="A10" s="506"/>
      <c r="B10" s="263" t="s">
        <v>153</v>
      </c>
      <c r="C10" s="263" t="s">
        <v>149</v>
      </c>
      <c r="D10" s="450">
        <v>108771</v>
      </c>
      <c r="E10" s="221">
        <v>79912</v>
      </c>
      <c r="F10" s="450">
        <v>194366</v>
      </c>
      <c r="G10" s="221">
        <v>235164</v>
      </c>
      <c r="H10" s="450">
        <v>130808</v>
      </c>
      <c r="I10" s="221">
        <v>70004</v>
      </c>
      <c r="K10" s="450">
        <f t="shared" si="0"/>
        <v>433945</v>
      </c>
      <c r="L10" s="221">
        <f t="shared" si="1"/>
        <v>385080</v>
      </c>
    </row>
    <row r="11" spans="1:12" ht="12.75" thickBot="1" x14ac:dyDescent="0.25">
      <c r="A11" s="506"/>
      <c r="B11" s="264" t="s">
        <v>154</v>
      </c>
      <c r="C11" s="264" t="s">
        <v>149</v>
      </c>
      <c r="D11" s="451"/>
      <c r="E11" s="222"/>
      <c r="F11" s="451"/>
      <c r="G11" s="222"/>
      <c r="H11" s="451"/>
      <c r="I11" s="439"/>
      <c r="K11" s="451"/>
      <c r="L11" s="439"/>
    </row>
    <row r="12" spans="1:12" ht="12.75" thickBot="1" x14ac:dyDescent="0.25">
      <c r="A12" s="506"/>
      <c r="B12" s="262" t="s">
        <v>155</v>
      </c>
      <c r="C12" s="262"/>
      <c r="D12" s="452">
        <f t="shared" ref="D12" si="2">SUM(D6:D11)</f>
        <v>3231772</v>
      </c>
      <c r="E12" s="223">
        <f>SUM(E6:E11)</f>
        <v>3414913</v>
      </c>
      <c r="F12" s="452">
        <f t="shared" ref="F12:G12" si="3">SUM(F6:F11)</f>
        <v>2859066</v>
      </c>
      <c r="G12" s="223">
        <f t="shared" si="3"/>
        <v>3744676</v>
      </c>
      <c r="H12" s="452">
        <f>SUM(H6:H11)</f>
        <v>3323303</v>
      </c>
      <c r="I12" s="223">
        <f>SUM(I6:I11)</f>
        <v>4397604</v>
      </c>
      <c r="K12" s="452">
        <f t="shared" ref="K12" si="4">SUM(K6:K11)</f>
        <v>9414141</v>
      </c>
      <c r="L12" s="223">
        <f>SUM(L6:L11)</f>
        <v>11557193</v>
      </c>
    </row>
    <row r="13" spans="1:12" ht="12.75" thickTop="1" x14ac:dyDescent="0.2">
      <c r="A13" s="506"/>
    </row>
    <row r="14" spans="1:12" x14ac:dyDescent="0.2">
      <c r="A14" s="506"/>
      <c r="B14" s="263" t="s">
        <v>156</v>
      </c>
      <c r="C14" s="263" t="s">
        <v>157</v>
      </c>
      <c r="D14" s="450">
        <v>3255087</v>
      </c>
      <c r="E14" s="221">
        <v>2668880</v>
      </c>
      <c r="F14" s="450">
        <v>1403122</v>
      </c>
      <c r="G14" s="221">
        <v>1734927</v>
      </c>
      <c r="H14" s="450">
        <v>1273997</v>
      </c>
      <c r="I14" s="221">
        <f>3777009-2000000</f>
        <v>1777009</v>
      </c>
      <c r="K14" s="450">
        <f t="shared" ref="K14:K19" si="5">D14+F14+H14</f>
        <v>5932206</v>
      </c>
      <c r="L14" s="221">
        <f t="shared" ref="L14:L19" si="6">E14+G14+I14</f>
        <v>6180816</v>
      </c>
    </row>
    <row r="15" spans="1:12" x14ac:dyDescent="0.2">
      <c r="A15" s="506"/>
      <c r="B15" s="263" t="s">
        <v>158</v>
      </c>
      <c r="C15" s="263" t="s">
        <v>157</v>
      </c>
      <c r="H15" s="450">
        <v>2000000</v>
      </c>
      <c r="I15" s="221">
        <v>2000000</v>
      </c>
      <c r="K15" s="450">
        <f t="shared" si="5"/>
        <v>2000000</v>
      </c>
      <c r="L15" s="221">
        <f t="shared" si="6"/>
        <v>2000000</v>
      </c>
    </row>
    <row r="16" spans="1:12" x14ac:dyDescent="0.2">
      <c r="A16" s="506"/>
      <c r="B16" s="263" t="s">
        <v>159</v>
      </c>
      <c r="C16" s="263" t="s">
        <v>157</v>
      </c>
      <c r="D16" s="450">
        <v>87754</v>
      </c>
      <c r="E16" s="221">
        <v>75612</v>
      </c>
      <c r="F16" s="450">
        <v>38115</v>
      </c>
      <c r="G16" s="221">
        <v>140939</v>
      </c>
      <c r="H16" s="450">
        <v>60536</v>
      </c>
      <c r="I16" s="221">
        <v>434438</v>
      </c>
      <c r="K16" s="450">
        <f t="shared" si="5"/>
        <v>186405</v>
      </c>
      <c r="L16" s="221">
        <f t="shared" si="6"/>
        <v>650989</v>
      </c>
    </row>
    <row r="17" spans="1:13" x14ac:dyDescent="0.2">
      <c r="A17" s="506"/>
      <c r="B17" s="263" t="s">
        <v>160</v>
      </c>
      <c r="C17" s="263" t="s">
        <v>157</v>
      </c>
      <c r="I17" s="225"/>
      <c r="K17" s="450">
        <f t="shared" si="5"/>
        <v>0</v>
      </c>
      <c r="L17" s="225">
        <f t="shared" si="6"/>
        <v>0</v>
      </c>
    </row>
    <row r="18" spans="1:13" x14ac:dyDescent="0.2">
      <c r="A18" s="506"/>
      <c r="B18" s="263" t="s">
        <v>161</v>
      </c>
      <c r="C18" s="263" t="s">
        <v>157</v>
      </c>
      <c r="I18" s="225"/>
      <c r="K18" s="450">
        <f t="shared" si="5"/>
        <v>0</v>
      </c>
      <c r="L18" s="225">
        <f t="shared" si="6"/>
        <v>0</v>
      </c>
    </row>
    <row r="19" spans="1:13" x14ac:dyDescent="0.2">
      <c r="A19" s="506"/>
      <c r="B19" s="265" t="s">
        <v>162</v>
      </c>
      <c r="C19" s="266" t="s">
        <v>157</v>
      </c>
      <c r="D19" s="453"/>
      <c r="E19" s="224"/>
      <c r="F19" s="453"/>
      <c r="G19" s="224"/>
      <c r="H19" s="453"/>
      <c r="I19" s="441"/>
      <c r="K19" s="453">
        <f t="shared" si="5"/>
        <v>0</v>
      </c>
      <c r="L19" s="441">
        <f t="shared" si="6"/>
        <v>0</v>
      </c>
    </row>
    <row r="20" spans="1:13" ht="12.75" thickBot="1" x14ac:dyDescent="0.25">
      <c r="A20" s="507"/>
      <c r="B20" s="262" t="s">
        <v>163</v>
      </c>
      <c r="C20" s="262"/>
      <c r="D20" s="452">
        <f t="shared" ref="D20" si="7">SUM(D14:D19)</f>
        <v>3342841</v>
      </c>
      <c r="E20" s="223">
        <f>SUM(E14:E19)</f>
        <v>2744492</v>
      </c>
      <c r="F20" s="452">
        <f t="shared" ref="F20:G20" si="8">SUM(F14:F19)</f>
        <v>1441237</v>
      </c>
      <c r="G20" s="223">
        <f t="shared" si="8"/>
        <v>1875866</v>
      </c>
      <c r="H20" s="452">
        <f>SUM(H14:H19)</f>
        <v>3334533</v>
      </c>
      <c r="I20" s="440">
        <f>SUM(I14:I19)</f>
        <v>4211447</v>
      </c>
      <c r="K20" s="452">
        <f>SUM(K14:K19)</f>
        <v>8118611</v>
      </c>
      <c r="L20" s="440">
        <f>SUM(L14:L19)</f>
        <v>8831805</v>
      </c>
      <c r="M20" s="259">
        <f>(L20-K20)/K20</f>
        <v>8.7846800394796601E-2</v>
      </c>
    </row>
    <row r="21" spans="1:13" ht="12.75" thickTop="1" x14ac:dyDescent="0.2">
      <c r="A21" s="507"/>
      <c r="B21" s="267"/>
      <c r="C21" s="267"/>
      <c r="D21" s="449"/>
      <c r="E21" s="219"/>
      <c r="F21" s="449"/>
      <c r="G21" s="219"/>
      <c r="H21" s="449"/>
      <c r="I21" s="437"/>
      <c r="K21" s="449"/>
      <c r="L21" s="437"/>
    </row>
    <row r="22" spans="1:13" x14ac:dyDescent="0.2">
      <c r="B22" s="263" t="s">
        <v>164</v>
      </c>
      <c r="D22" s="450">
        <v>200873</v>
      </c>
      <c r="E22" s="221">
        <v>18523</v>
      </c>
      <c r="F22" s="450">
        <v>145882</v>
      </c>
      <c r="G22" s="221">
        <v>78991</v>
      </c>
      <c r="H22" s="450">
        <v>379395</v>
      </c>
      <c r="I22" s="221">
        <v>50240</v>
      </c>
      <c r="K22" s="450">
        <f t="shared" ref="K22:K25" si="9">D22+F22+H22</f>
        <v>726150</v>
      </c>
      <c r="L22" s="221">
        <f t="shared" ref="L22:L25" si="10">E22+G22+I22</f>
        <v>147754</v>
      </c>
    </row>
    <row r="23" spans="1:13" x14ac:dyDescent="0.2">
      <c r="B23" s="263" t="s">
        <v>165</v>
      </c>
      <c r="F23" s="450">
        <v>200000</v>
      </c>
      <c r="I23" s="225"/>
      <c r="K23" s="450">
        <f t="shared" si="9"/>
        <v>200000</v>
      </c>
      <c r="L23" s="225">
        <f t="shared" si="10"/>
        <v>0</v>
      </c>
    </row>
    <row r="24" spans="1:13" x14ac:dyDescent="0.2">
      <c r="B24" s="263" t="s">
        <v>166</v>
      </c>
      <c r="D24" s="450">
        <v>1198</v>
      </c>
      <c r="I24" s="225"/>
      <c r="K24" s="450">
        <f t="shared" si="9"/>
        <v>1198</v>
      </c>
      <c r="L24" s="225">
        <f t="shared" si="10"/>
        <v>0</v>
      </c>
    </row>
    <row r="25" spans="1:13" x14ac:dyDescent="0.2">
      <c r="B25" s="263" t="s">
        <v>167</v>
      </c>
      <c r="E25" s="221">
        <v>8000</v>
      </c>
      <c r="G25" s="221">
        <v>3000</v>
      </c>
      <c r="I25" s="221">
        <v>2000</v>
      </c>
      <c r="K25" s="450">
        <f t="shared" si="9"/>
        <v>0</v>
      </c>
      <c r="L25" s="221">
        <f t="shared" si="10"/>
        <v>13000</v>
      </c>
    </row>
    <row r="26" spans="1:13" x14ac:dyDescent="0.2">
      <c r="B26" s="265"/>
      <c r="C26" s="266"/>
      <c r="D26" s="453"/>
      <c r="E26" s="224"/>
      <c r="F26" s="453"/>
      <c r="G26" s="224"/>
      <c r="H26" s="453"/>
      <c r="I26" s="441"/>
      <c r="K26" s="453"/>
      <c r="L26" s="441"/>
    </row>
    <row r="27" spans="1:13" ht="12.75" thickBot="1" x14ac:dyDescent="0.25">
      <c r="B27" s="262" t="s">
        <v>168</v>
      </c>
      <c r="C27" s="262"/>
      <c r="D27" s="452">
        <f t="shared" ref="D27:E27" si="11">SUM(D22:D26)</f>
        <v>202071</v>
      </c>
      <c r="E27" s="223">
        <f t="shared" si="11"/>
        <v>26523</v>
      </c>
      <c r="F27" s="452">
        <f>SUM(F22:F26)</f>
        <v>345882</v>
      </c>
      <c r="G27" s="223">
        <f t="shared" ref="G27" si="12">SUM(G22:G26)</f>
        <v>81991</v>
      </c>
      <c r="H27" s="452">
        <f>SUM(H22:H26)</f>
        <v>379395</v>
      </c>
      <c r="I27" s="440">
        <f>SUM(I22:I26)</f>
        <v>52240</v>
      </c>
      <c r="K27" s="452">
        <f>SUM(K22:K26)</f>
        <v>927348</v>
      </c>
      <c r="L27" s="440">
        <f>SUM(L22:L26)</f>
        <v>160754</v>
      </c>
    </row>
    <row r="28" spans="1:13" ht="12.75" thickTop="1" x14ac:dyDescent="0.2">
      <c r="B28" s="268"/>
      <c r="I28" s="225"/>
      <c r="L28" s="225"/>
    </row>
    <row r="29" spans="1:13" x14ac:dyDescent="0.2">
      <c r="B29" s="268" t="s">
        <v>169</v>
      </c>
      <c r="I29" s="225"/>
      <c r="L29" s="225"/>
    </row>
    <row r="30" spans="1:13" x14ac:dyDescent="0.2">
      <c r="B30" s="267" t="s">
        <v>170</v>
      </c>
      <c r="D30" s="454">
        <v>1497242</v>
      </c>
      <c r="E30" s="225">
        <v>1383810</v>
      </c>
      <c r="F30" s="454">
        <v>2206342</v>
      </c>
      <c r="G30" s="225">
        <v>1383810</v>
      </c>
      <c r="H30" s="454">
        <v>1825843</v>
      </c>
      <c r="I30" s="221">
        <v>1383810</v>
      </c>
      <c r="K30" s="454">
        <f t="shared" ref="K30:K32" si="13">D30+F30+H30</f>
        <v>5529427</v>
      </c>
      <c r="L30" s="221">
        <f t="shared" ref="L30:L32" si="14">E30+G30+I30</f>
        <v>4151430</v>
      </c>
    </row>
    <row r="31" spans="1:13" x14ac:dyDescent="0.2">
      <c r="B31" s="267" t="s">
        <v>171</v>
      </c>
      <c r="D31" s="454">
        <v>822889</v>
      </c>
      <c r="E31" s="225">
        <v>1103436</v>
      </c>
      <c r="F31" s="454">
        <v>1249227</v>
      </c>
      <c r="G31" s="225">
        <v>1132215</v>
      </c>
      <c r="H31" s="454">
        <v>892190</v>
      </c>
      <c r="I31" s="221">
        <v>1141503</v>
      </c>
      <c r="K31" s="454">
        <f t="shared" si="13"/>
        <v>2964306</v>
      </c>
      <c r="L31" s="221">
        <f t="shared" si="14"/>
        <v>3377154</v>
      </c>
    </row>
    <row r="32" spans="1:13" x14ac:dyDescent="0.2">
      <c r="B32" s="265" t="s">
        <v>172</v>
      </c>
      <c r="C32" s="266"/>
      <c r="D32" s="453">
        <v>50170</v>
      </c>
      <c r="E32" s="224">
        <v>13765</v>
      </c>
      <c r="F32" s="453">
        <v>4240</v>
      </c>
      <c r="G32" s="224">
        <v>240064</v>
      </c>
      <c r="H32" s="453">
        <v>106600</v>
      </c>
      <c r="I32" s="224">
        <f>60835</f>
        <v>60835</v>
      </c>
      <c r="K32" s="453">
        <f t="shared" si="13"/>
        <v>161010</v>
      </c>
      <c r="L32" s="224">
        <f t="shared" si="14"/>
        <v>314664</v>
      </c>
    </row>
    <row r="33" spans="2:12" ht="12.75" thickBot="1" x14ac:dyDescent="0.25">
      <c r="B33" s="262" t="s">
        <v>173</v>
      </c>
      <c r="C33" s="262"/>
      <c r="D33" s="452">
        <f t="shared" ref="D33:G33" si="15">SUM(D30:D32)</f>
        <v>2370301</v>
      </c>
      <c r="E33" s="223">
        <f t="shared" si="15"/>
        <v>2501011</v>
      </c>
      <c r="F33" s="452">
        <f t="shared" si="15"/>
        <v>3459809</v>
      </c>
      <c r="G33" s="223">
        <f t="shared" si="15"/>
        <v>2756089</v>
      </c>
      <c r="H33" s="452">
        <f>SUM(H30:H32)</f>
        <v>2824633</v>
      </c>
      <c r="I33" s="440">
        <f>SUM(I30:I32)</f>
        <v>2586148</v>
      </c>
      <c r="K33" s="452">
        <f>SUM(K30:K32)</f>
        <v>8654743</v>
      </c>
      <c r="L33" s="440">
        <f>SUM(L30:L32)</f>
        <v>7843248</v>
      </c>
    </row>
    <row r="34" spans="2:12" ht="12.75" thickTop="1" x14ac:dyDescent="0.2">
      <c r="B34" s="268"/>
      <c r="I34" s="225"/>
      <c r="L34" s="225"/>
    </row>
    <row r="35" spans="2:12" ht="12.75" thickBot="1" x14ac:dyDescent="0.25">
      <c r="B35" s="268" t="s">
        <v>174</v>
      </c>
      <c r="C35" s="259" t="s">
        <v>175</v>
      </c>
      <c r="D35" s="455">
        <f t="shared" ref="D35:G35" si="16">D33+D27+D20+D12</f>
        <v>9146985</v>
      </c>
      <c r="E35" s="226">
        <f t="shared" si="16"/>
        <v>8686939</v>
      </c>
      <c r="F35" s="455">
        <f t="shared" si="16"/>
        <v>8105994</v>
      </c>
      <c r="G35" s="226">
        <f t="shared" si="16"/>
        <v>8458622</v>
      </c>
      <c r="H35" s="455">
        <f>H33+H27+H20+H12</f>
        <v>9861864</v>
      </c>
      <c r="I35" s="442">
        <f>I33+I27+I20+I12</f>
        <v>11247439</v>
      </c>
      <c r="K35" s="455">
        <f>K33+K27+K20+K12</f>
        <v>27114843</v>
      </c>
      <c r="L35" s="442">
        <f>L33+L27+L20+L12</f>
        <v>28393000</v>
      </c>
    </row>
    <row r="36" spans="2:12" ht="12.75" thickTop="1" x14ac:dyDescent="0.2">
      <c r="I36" s="225"/>
      <c r="L36" s="225"/>
    </row>
    <row r="37" spans="2:12" x14ac:dyDescent="0.2">
      <c r="C37" s="268"/>
      <c r="D37" s="449"/>
      <c r="E37" s="219"/>
      <c r="F37" s="449"/>
      <c r="G37" s="219"/>
      <c r="H37" s="449"/>
      <c r="I37" s="437"/>
      <c r="K37" s="449"/>
      <c r="L37" s="437"/>
    </row>
    <row r="38" spans="2:12" x14ac:dyDescent="0.2">
      <c r="I38" s="225"/>
      <c r="L38" s="225"/>
    </row>
    <row r="40" spans="2:12" x14ac:dyDescent="0.2">
      <c r="B40" s="259" t="s">
        <v>176</v>
      </c>
      <c r="D40" s="450">
        <v>2841750</v>
      </c>
      <c r="E40" s="221">
        <f>4312258-E61-E73</f>
        <v>3706726</v>
      </c>
      <c r="F40" s="450">
        <f>3885744-F61-F73</f>
        <v>3297707</v>
      </c>
      <c r="G40" s="221">
        <f>21793+4306652-G61-G73</f>
        <v>3678739</v>
      </c>
      <c r="H40" s="450">
        <f>7097283-3297707</f>
        <v>3799576</v>
      </c>
      <c r="I40" s="221">
        <f>3854263-I61-I73</f>
        <v>3217893</v>
      </c>
      <c r="K40" s="450">
        <f t="shared" ref="K40:K41" si="17">D40+F40+H40</f>
        <v>9939033</v>
      </c>
      <c r="L40" s="221">
        <f t="shared" ref="L40:L41" si="18">E40+G40+I40</f>
        <v>10603358</v>
      </c>
    </row>
    <row r="41" spans="2:12" x14ac:dyDescent="0.2">
      <c r="B41" s="259" t="s">
        <v>177</v>
      </c>
      <c r="D41" s="450">
        <v>610042</v>
      </c>
      <c r="E41" s="221">
        <v>731939</v>
      </c>
      <c r="F41" s="450">
        <v>686986</v>
      </c>
      <c r="G41" s="221">
        <v>741125</v>
      </c>
      <c r="H41" s="450">
        <v>632321</v>
      </c>
      <c r="I41" s="221">
        <v>1162643</v>
      </c>
      <c r="K41" s="450">
        <f t="shared" si="17"/>
        <v>1929349</v>
      </c>
      <c r="L41" s="221">
        <f t="shared" si="18"/>
        <v>2635707</v>
      </c>
    </row>
    <row r="43" spans="2:12" x14ac:dyDescent="0.2">
      <c r="B43" s="259" t="s">
        <v>178</v>
      </c>
      <c r="D43" s="450">
        <f>12524+3493625-D62-D74</f>
        <v>3457268</v>
      </c>
      <c r="E43" s="221">
        <v>4115271</v>
      </c>
      <c r="F43" s="450">
        <v>6292086</v>
      </c>
      <c r="G43" s="221">
        <v>9957330</v>
      </c>
      <c r="H43" s="450">
        <v>6833788</v>
      </c>
      <c r="I43" s="221">
        <f>9967172-I62-I74</f>
        <v>9633101</v>
      </c>
      <c r="K43" s="450">
        <f t="shared" ref="K43:K44" si="19">D43+F43+H43</f>
        <v>16583142</v>
      </c>
      <c r="L43" s="221">
        <f t="shared" ref="L43:L44" si="20">E43+G43+I43</f>
        <v>23705702</v>
      </c>
    </row>
    <row r="44" spans="2:12" x14ac:dyDescent="0.2">
      <c r="B44" s="259" t="s">
        <v>179</v>
      </c>
      <c r="D44" s="450">
        <f>744+109+5393364-4590321+4750000</f>
        <v>5553896</v>
      </c>
      <c r="E44" s="221">
        <f>2645992-E41+500000</f>
        <v>2414053</v>
      </c>
      <c r="F44" s="450">
        <f>2196+9441669+5182401-1196627-F41-5700000+475000</f>
        <v>7517653</v>
      </c>
      <c r="G44" s="221">
        <f>2725377-G41+500000</f>
        <v>2484252</v>
      </c>
      <c r="H44" s="450">
        <f>1257878+475000</f>
        <v>1732878</v>
      </c>
      <c r="I44" s="221">
        <f>2117732</f>
        <v>2117732</v>
      </c>
      <c r="K44" s="450">
        <f t="shared" si="19"/>
        <v>14804427</v>
      </c>
      <c r="L44" s="221">
        <f t="shared" si="20"/>
        <v>7016037</v>
      </c>
    </row>
    <row r="46" spans="2:12" x14ac:dyDescent="0.2">
      <c r="B46" s="259" t="s">
        <v>180</v>
      </c>
      <c r="D46" s="450">
        <f>SUM(D40:D44)</f>
        <v>12462956</v>
      </c>
      <c r="E46" s="221">
        <f t="shared" ref="E46:I46" si="21">SUM(E40:E44)</f>
        <v>10967989</v>
      </c>
      <c r="F46" s="450">
        <f t="shared" si="21"/>
        <v>17794432</v>
      </c>
      <c r="G46" s="221">
        <f t="shared" si="21"/>
        <v>16861446</v>
      </c>
      <c r="H46" s="450">
        <f t="shared" si="21"/>
        <v>12998563</v>
      </c>
      <c r="I46" s="221">
        <f t="shared" si="21"/>
        <v>16131369</v>
      </c>
      <c r="K46" s="450">
        <f>D46+F46+H46</f>
        <v>43255951</v>
      </c>
      <c r="L46" s="221">
        <f>E46+G46+I46</f>
        <v>43960804</v>
      </c>
    </row>
    <row r="50" spans="1:12" ht="12.75" thickBot="1" x14ac:dyDescent="0.25">
      <c r="B50" s="259" t="s">
        <v>181</v>
      </c>
      <c r="C50" s="259" t="s">
        <v>182</v>
      </c>
      <c r="D50" s="455">
        <f t="shared" ref="D50:I50" si="22">D35-D46</f>
        <v>-3315971</v>
      </c>
      <c r="E50" s="226">
        <f t="shared" si="22"/>
        <v>-2281050</v>
      </c>
      <c r="F50" s="455">
        <f t="shared" si="22"/>
        <v>-9688438</v>
      </c>
      <c r="G50" s="226">
        <f t="shared" si="22"/>
        <v>-8402824</v>
      </c>
      <c r="H50" s="455">
        <f>H35-H46</f>
        <v>-3136699</v>
      </c>
      <c r="I50" s="226">
        <f t="shared" si="22"/>
        <v>-4883930</v>
      </c>
      <c r="K50" s="455">
        <f>K35-K46</f>
        <v>-16141108</v>
      </c>
      <c r="L50" s="226">
        <f t="shared" ref="L50" si="23">L35-L46</f>
        <v>-15567804</v>
      </c>
    </row>
    <row r="51" spans="1:12" ht="12.75" thickTop="1" x14ac:dyDescent="0.2"/>
    <row r="52" spans="1:12" x14ac:dyDescent="0.2">
      <c r="B52" s="259" t="s">
        <v>183</v>
      </c>
    </row>
    <row r="54" spans="1:12" x14ac:dyDescent="0.2">
      <c r="D54" s="508" t="s">
        <v>11</v>
      </c>
      <c r="E54" s="508"/>
      <c r="F54" s="508" t="s">
        <v>12</v>
      </c>
      <c r="G54" s="508"/>
      <c r="H54" s="508" t="s">
        <v>12</v>
      </c>
      <c r="I54" s="508"/>
      <c r="K54" s="508" t="s">
        <v>307</v>
      </c>
      <c r="L54" s="508"/>
    </row>
    <row r="55" spans="1:12" ht="12.75" thickBot="1" x14ac:dyDescent="0.25">
      <c r="A55" s="259" t="s">
        <v>17</v>
      </c>
      <c r="D55" s="447" t="s">
        <v>144</v>
      </c>
      <c r="E55" s="287" t="s">
        <v>145</v>
      </c>
      <c r="F55" s="447" t="s">
        <v>144</v>
      </c>
      <c r="G55" s="287" t="s">
        <v>145</v>
      </c>
      <c r="H55" s="447" t="s">
        <v>144</v>
      </c>
      <c r="I55" s="287" t="s">
        <v>145</v>
      </c>
      <c r="K55" s="447" t="s">
        <v>144</v>
      </c>
      <c r="L55" s="287" t="s">
        <v>145</v>
      </c>
    </row>
    <row r="56" spans="1:12" x14ac:dyDescent="0.2">
      <c r="B56" s="259" t="s">
        <v>170</v>
      </c>
      <c r="D56" s="454">
        <f>1465000-15000</f>
        <v>1450000</v>
      </c>
      <c r="E56" s="225">
        <f>1937560-75650</f>
        <v>1861910</v>
      </c>
      <c r="F56" s="454">
        <f>2665000</f>
        <v>2665000</v>
      </c>
      <c r="G56" s="225">
        <f>3587375+253430</f>
        <v>3840805</v>
      </c>
      <c r="H56" s="454">
        <f>2140906+195250</f>
        <v>2336156</v>
      </c>
      <c r="I56" s="225">
        <v>3643848</v>
      </c>
      <c r="K56" s="454">
        <f t="shared" ref="K56:K57" si="24">D56+F56+H56</f>
        <v>6451156</v>
      </c>
      <c r="L56" s="225">
        <f t="shared" ref="L56:L57" si="25">E56+G56+I56</f>
        <v>9346563</v>
      </c>
    </row>
    <row r="57" spans="1:12" x14ac:dyDescent="0.2">
      <c r="B57" s="259" t="s">
        <v>169</v>
      </c>
      <c r="D57" s="454">
        <v>102670</v>
      </c>
      <c r="E57" s="225">
        <f>92275+20000</f>
        <v>112275</v>
      </c>
      <c r="F57" s="454">
        <v>131340</v>
      </c>
      <c r="G57" s="225">
        <f>132435</f>
        <v>132435</v>
      </c>
      <c r="H57" s="454">
        <v>94520</v>
      </c>
      <c r="I57" s="225">
        <v>150929</v>
      </c>
      <c r="K57" s="454">
        <f t="shared" si="24"/>
        <v>328530</v>
      </c>
      <c r="L57" s="225">
        <f t="shared" si="25"/>
        <v>395639</v>
      </c>
    </row>
    <row r="58" spans="1:12" ht="12.75" thickBot="1" x14ac:dyDescent="0.25">
      <c r="B58" s="259" t="s">
        <v>173</v>
      </c>
      <c r="C58" s="259" t="s">
        <v>184</v>
      </c>
      <c r="D58" s="455">
        <f t="shared" ref="D58:I58" si="26">SUM(D56:D57)</f>
        <v>1552670</v>
      </c>
      <c r="E58" s="226">
        <f t="shared" si="26"/>
        <v>1974185</v>
      </c>
      <c r="F58" s="455">
        <f t="shared" si="26"/>
        <v>2796340</v>
      </c>
      <c r="G58" s="226">
        <f t="shared" si="26"/>
        <v>3973240</v>
      </c>
      <c r="H58" s="455">
        <f>SUM(H56:H57)</f>
        <v>2430676</v>
      </c>
      <c r="I58" s="226">
        <f t="shared" si="26"/>
        <v>3794777</v>
      </c>
      <c r="K58" s="455">
        <f>SUM(K56:K57)</f>
        <v>6779686</v>
      </c>
      <c r="L58" s="226">
        <f t="shared" ref="L58" si="27">SUM(L56:L57)</f>
        <v>9742202</v>
      </c>
    </row>
    <row r="59" spans="1:12" ht="12.75" thickTop="1" x14ac:dyDescent="0.2"/>
    <row r="60" spans="1:12" x14ac:dyDescent="0.2">
      <c r="B60" s="259" t="s">
        <v>185</v>
      </c>
    </row>
    <row r="61" spans="1:12" x14ac:dyDescent="0.2">
      <c r="B61" s="259" t="s">
        <v>186</v>
      </c>
      <c r="D61" s="454">
        <v>49703</v>
      </c>
      <c r="E61" s="225">
        <v>77030</v>
      </c>
      <c r="F61" s="454">
        <v>58526</v>
      </c>
      <c r="G61" s="225">
        <v>84764</v>
      </c>
      <c r="H61" s="454">
        <v>59752</v>
      </c>
      <c r="I61" s="225">
        <v>80897</v>
      </c>
      <c r="K61" s="454">
        <f t="shared" ref="K61:K63" si="28">D61+F61+H61</f>
        <v>167981</v>
      </c>
      <c r="L61" s="225">
        <f t="shared" ref="L61:L63" si="29">E61+G61+I61</f>
        <v>242691</v>
      </c>
    </row>
    <row r="62" spans="1:12" x14ac:dyDescent="0.2">
      <c r="B62" s="259" t="s">
        <v>187</v>
      </c>
      <c r="D62" s="454">
        <v>6694</v>
      </c>
      <c r="E62" s="225">
        <f>139175-77030</f>
        <v>62145</v>
      </c>
      <c r="F62" s="454">
        <f>135592-49703</f>
        <v>85889</v>
      </c>
      <c r="G62" s="225">
        <f>358443-84764</f>
        <v>273679</v>
      </c>
      <c r="H62" s="454">
        <v>124845</v>
      </c>
      <c r="I62" s="225">
        <v>122517</v>
      </c>
      <c r="K62" s="454">
        <f t="shared" si="28"/>
        <v>217428</v>
      </c>
      <c r="L62" s="225">
        <f t="shared" si="29"/>
        <v>458341</v>
      </c>
    </row>
    <row r="63" spans="1:12" x14ac:dyDescent="0.2">
      <c r="D63" s="450">
        <f>SUM(D61:D62)</f>
        <v>56397</v>
      </c>
      <c r="E63" s="221">
        <f t="shared" ref="E63:I63" si="30">SUM(E61:E62)</f>
        <v>139175</v>
      </c>
      <c r="F63" s="450">
        <f t="shared" si="30"/>
        <v>144415</v>
      </c>
      <c r="G63" s="221">
        <f t="shared" si="30"/>
        <v>358443</v>
      </c>
      <c r="H63" s="450">
        <f t="shared" ref="H63" si="31">SUM(H61:H62)</f>
        <v>184597</v>
      </c>
      <c r="I63" s="221">
        <f t="shared" si="30"/>
        <v>203414</v>
      </c>
      <c r="K63" s="450">
        <f t="shared" si="28"/>
        <v>385409</v>
      </c>
      <c r="L63" s="221">
        <f t="shared" si="29"/>
        <v>701032</v>
      </c>
    </row>
    <row r="65" spans="1:13" ht="12.75" thickBot="1" x14ac:dyDescent="0.25">
      <c r="B65" s="259" t="s">
        <v>181</v>
      </c>
      <c r="C65" s="259" t="s">
        <v>188</v>
      </c>
      <c r="D65" s="455">
        <f>D58-D63</f>
        <v>1496273</v>
      </c>
      <c r="E65" s="226">
        <f t="shared" ref="E65:G65" si="32">E58-E63</f>
        <v>1835010</v>
      </c>
      <c r="F65" s="455">
        <f t="shared" si="32"/>
        <v>2651925</v>
      </c>
      <c r="G65" s="226">
        <f t="shared" si="32"/>
        <v>3614797</v>
      </c>
      <c r="H65" s="455">
        <f>H58-H63</f>
        <v>2246079</v>
      </c>
      <c r="I65" s="226">
        <f t="shared" ref="I65" si="33">I58-I63</f>
        <v>3591363</v>
      </c>
      <c r="K65" s="455">
        <f>K58-K63</f>
        <v>6394277</v>
      </c>
      <c r="L65" s="226">
        <f t="shared" ref="L65" si="34">L58-L63</f>
        <v>9041170</v>
      </c>
      <c r="M65" s="221">
        <f>L65-K65</f>
        <v>2646893</v>
      </c>
    </row>
    <row r="66" spans="1:13" ht="12.75" thickTop="1" x14ac:dyDescent="0.2"/>
    <row r="68" spans="1:13" x14ac:dyDescent="0.2">
      <c r="A68" s="259" t="s">
        <v>189</v>
      </c>
      <c r="B68" s="259" t="s">
        <v>170</v>
      </c>
      <c r="D68" s="454">
        <v>541553</v>
      </c>
      <c r="E68" s="225">
        <v>754849</v>
      </c>
      <c r="F68" s="454">
        <v>1124926</v>
      </c>
      <c r="G68" s="225">
        <v>1012008</v>
      </c>
      <c r="H68" s="454">
        <v>1159082</v>
      </c>
      <c r="I68" s="225">
        <v>1279371</v>
      </c>
      <c r="K68" s="454">
        <f>D68+F68+H68</f>
        <v>2825561</v>
      </c>
      <c r="L68" s="225">
        <f>E68+G68+I68</f>
        <v>3046228</v>
      </c>
    </row>
    <row r="69" spans="1:13" x14ac:dyDescent="0.2">
      <c r="B69" s="259" t="s">
        <v>169</v>
      </c>
    </row>
    <row r="70" spans="1:13" ht="12.75" thickBot="1" x14ac:dyDescent="0.25">
      <c r="B70" s="259" t="s">
        <v>173</v>
      </c>
      <c r="C70" s="259" t="s">
        <v>190</v>
      </c>
      <c r="D70" s="455">
        <f>SUM(D68:D69)</f>
        <v>541553</v>
      </c>
      <c r="E70" s="226">
        <f t="shared" ref="E70:G70" si="35">SUM(E68:E69)</f>
        <v>754849</v>
      </c>
      <c r="F70" s="455">
        <f t="shared" si="35"/>
        <v>1124926</v>
      </c>
      <c r="G70" s="226">
        <f t="shared" si="35"/>
        <v>1012008</v>
      </c>
      <c r="H70" s="455">
        <f>SUM(H68:H69)</f>
        <v>1159082</v>
      </c>
      <c r="I70" s="226">
        <f t="shared" ref="I70" si="36">SUM(I68:I69)</f>
        <v>1279371</v>
      </c>
      <c r="K70" s="455">
        <f>SUM(K68:K69)</f>
        <v>2825561</v>
      </c>
      <c r="L70" s="226">
        <f t="shared" ref="L70" si="37">SUM(L68:L69)</f>
        <v>3046228</v>
      </c>
    </row>
    <row r="71" spans="1:13" ht="12.75" thickTop="1" x14ac:dyDescent="0.2"/>
    <row r="72" spans="1:13" x14ac:dyDescent="0.2">
      <c r="B72" s="259" t="s">
        <v>185</v>
      </c>
    </row>
    <row r="73" spans="1:13" x14ac:dyDescent="0.2">
      <c r="B73" s="259" t="s">
        <v>186</v>
      </c>
      <c r="D73" s="454">
        <v>476369</v>
      </c>
      <c r="E73" s="225">
        <v>528502</v>
      </c>
      <c r="F73" s="454">
        <v>529511</v>
      </c>
      <c r="G73" s="225">
        <v>564942</v>
      </c>
      <c r="H73" s="454">
        <v>447054</v>
      </c>
      <c r="I73" s="225">
        <v>555473</v>
      </c>
      <c r="K73" s="454">
        <f t="shared" ref="K73:K75" si="38">D73+F73+H73</f>
        <v>1452934</v>
      </c>
      <c r="L73" s="225">
        <f t="shared" ref="L73:L75" si="39">E73+G73+I73</f>
        <v>1648917</v>
      </c>
    </row>
    <row r="74" spans="1:13" x14ac:dyDescent="0.2">
      <c r="B74" s="259" t="s">
        <v>187</v>
      </c>
      <c r="D74" s="454">
        <v>42187</v>
      </c>
      <c r="E74" s="225">
        <f>797097-528502</f>
        <v>268595</v>
      </c>
      <c r="F74" s="454">
        <f>813275-476369</f>
        <v>336906</v>
      </c>
      <c r="G74" s="225">
        <f>933688-564942</f>
        <v>368746</v>
      </c>
      <c r="H74" s="454">
        <v>194570</v>
      </c>
      <c r="I74" s="225">
        <v>211554</v>
      </c>
      <c r="K74" s="454">
        <f t="shared" si="38"/>
        <v>573663</v>
      </c>
      <c r="L74" s="225">
        <f t="shared" si="39"/>
        <v>848895</v>
      </c>
    </row>
    <row r="75" spans="1:13" x14ac:dyDescent="0.2">
      <c r="D75" s="450">
        <f>SUM(D73:D74)</f>
        <v>518556</v>
      </c>
      <c r="E75" s="221">
        <f t="shared" ref="E75:I75" si="40">SUM(E73:E74)</f>
        <v>797097</v>
      </c>
      <c r="F75" s="450">
        <f t="shared" si="40"/>
        <v>866417</v>
      </c>
      <c r="G75" s="221">
        <f t="shared" si="40"/>
        <v>933688</v>
      </c>
      <c r="H75" s="450">
        <f t="shared" ref="H75" si="41">SUM(H73:H74)</f>
        <v>641624</v>
      </c>
      <c r="I75" s="221">
        <f t="shared" si="40"/>
        <v>767027</v>
      </c>
      <c r="K75" s="450">
        <f t="shared" si="38"/>
        <v>2026597</v>
      </c>
      <c r="L75" s="221">
        <f t="shared" si="39"/>
        <v>2497812</v>
      </c>
    </row>
    <row r="77" spans="1:13" ht="12.75" thickBot="1" x14ac:dyDescent="0.25">
      <c r="B77" s="259" t="s">
        <v>181</v>
      </c>
      <c r="C77" s="259" t="s">
        <v>191</v>
      </c>
      <c r="D77" s="455">
        <f>D70-D75</f>
        <v>22997</v>
      </c>
      <c r="E77" s="226">
        <f t="shared" ref="E77:G77" si="42">E70-E75</f>
        <v>-42248</v>
      </c>
      <c r="F77" s="455">
        <f t="shared" si="42"/>
        <v>258509</v>
      </c>
      <c r="G77" s="226">
        <f t="shared" si="42"/>
        <v>78320</v>
      </c>
      <c r="H77" s="455">
        <f>H70-H75</f>
        <v>517458</v>
      </c>
      <c r="I77" s="226">
        <f t="shared" ref="I77" si="43">I70-I75</f>
        <v>512344</v>
      </c>
      <c r="K77" s="455">
        <f>K70-K75</f>
        <v>798964</v>
      </c>
      <c r="L77" s="226">
        <f t="shared" ref="L77" si="44">L70-L75</f>
        <v>548416</v>
      </c>
    </row>
    <row r="78" spans="1:13" ht="12.75" thickTop="1" x14ac:dyDescent="0.2"/>
    <row r="79" spans="1:13" x14ac:dyDescent="0.2">
      <c r="D79" s="508" t="s">
        <v>11</v>
      </c>
      <c r="E79" s="508"/>
      <c r="F79" s="508" t="s">
        <v>12</v>
      </c>
      <c r="G79" s="508"/>
      <c r="H79" s="508" t="s">
        <v>12</v>
      </c>
      <c r="I79" s="508"/>
      <c r="K79" s="508" t="s">
        <v>307</v>
      </c>
      <c r="L79" s="508"/>
    </row>
    <row r="80" spans="1:13" ht="12.75" thickBot="1" x14ac:dyDescent="0.25">
      <c r="D80" s="447" t="s">
        <v>144</v>
      </c>
      <c r="E80" s="287" t="s">
        <v>145</v>
      </c>
      <c r="F80" s="447" t="s">
        <v>144</v>
      </c>
      <c r="G80" s="287" t="s">
        <v>145</v>
      </c>
      <c r="H80" s="447" t="s">
        <v>144</v>
      </c>
      <c r="I80" s="287" t="s">
        <v>145</v>
      </c>
      <c r="K80" s="447" t="s">
        <v>144</v>
      </c>
      <c r="L80" s="287" t="s">
        <v>145</v>
      </c>
    </row>
    <row r="81" spans="1:13" x14ac:dyDescent="0.2">
      <c r="A81" s="259" t="s">
        <v>192</v>
      </c>
      <c r="B81" s="259" t="s">
        <v>158</v>
      </c>
      <c r="D81" s="454">
        <f>3647753+(18805610/12)</f>
        <v>5214887.166666667</v>
      </c>
      <c r="E81" s="225">
        <f>772750+(26550000/12)</f>
        <v>2985250</v>
      </c>
      <c r="F81" s="454">
        <f>525785+(18805610/12)</f>
        <v>2092919.1666666667</v>
      </c>
      <c r="G81" s="225">
        <f>273025+(26550000/12)</f>
        <v>2485525</v>
      </c>
      <c r="H81" s="454">
        <f>386004+(18805610/12)</f>
        <v>1953138.1666666667</v>
      </c>
      <c r="I81" s="225">
        <f>904625+(26550000/12)</f>
        <v>3117125</v>
      </c>
      <c r="K81" s="454">
        <f>D81+F81+H81</f>
        <v>9260944.5</v>
      </c>
      <c r="L81" s="225">
        <f>E81+G81+I81</f>
        <v>8587900</v>
      </c>
    </row>
    <row r="82" spans="1:13" x14ac:dyDescent="0.2">
      <c r="B82" s="259" t="s">
        <v>169</v>
      </c>
      <c r="D82" s="454"/>
      <c r="E82" s="225"/>
      <c r="F82" s="454"/>
      <c r="G82" s="225"/>
      <c r="H82" s="454"/>
      <c r="I82" s="225"/>
      <c r="K82" s="454"/>
      <c r="L82" s="225"/>
    </row>
    <row r="83" spans="1:13" ht="12.75" thickBot="1" x14ac:dyDescent="0.25">
      <c r="B83" s="259" t="s">
        <v>173</v>
      </c>
      <c r="C83" s="259" t="s">
        <v>193</v>
      </c>
      <c r="D83" s="455">
        <f t="shared" ref="D83" si="45">SUM(D81:D82)</f>
        <v>5214887.166666667</v>
      </c>
      <c r="E83" s="226">
        <f>SUM(E81:E82)</f>
        <v>2985250</v>
      </c>
      <c r="F83" s="455">
        <f t="shared" ref="F83:G83" si="46">SUM(F81:F82)</f>
        <v>2092919.1666666667</v>
      </c>
      <c r="G83" s="226">
        <f t="shared" si="46"/>
        <v>2485525</v>
      </c>
      <c r="H83" s="455">
        <f t="shared" ref="H83:L83" si="47">SUM(H81:H82)</f>
        <v>1953138.1666666667</v>
      </c>
      <c r="I83" s="226">
        <f t="shared" si="47"/>
        <v>3117125</v>
      </c>
      <c r="K83" s="455">
        <f t="shared" si="47"/>
        <v>9260944.5</v>
      </c>
      <c r="L83" s="226">
        <f t="shared" si="47"/>
        <v>8587900</v>
      </c>
    </row>
    <row r="84" spans="1:13" ht="12.75" thickTop="1" x14ac:dyDescent="0.2"/>
    <row r="85" spans="1:13" x14ac:dyDescent="0.2">
      <c r="B85" s="259" t="s">
        <v>185</v>
      </c>
    </row>
    <row r="86" spans="1:13" x14ac:dyDescent="0.2">
      <c r="B86" s="259" t="s">
        <v>186</v>
      </c>
      <c r="D86" s="454">
        <f>522412+280077</f>
        <v>802489</v>
      </c>
      <c r="E86" s="225">
        <v>1464367</v>
      </c>
      <c r="F86" s="454">
        <f>634576+247623</f>
        <v>882199</v>
      </c>
      <c r="G86" s="225">
        <v>968820</v>
      </c>
      <c r="H86" s="454">
        <v>1225317</v>
      </c>
      <c r="I86" s="225">
        <v>2274115</v>
      </c>
      <c r="K86" s="454">
        <f t="shared" ref="K86:K88" si="48">D86+F86+H86</f>
        <v>2910005</v>
      </c>
      <c r="L86" s="225">
        <f t="shared" ref="L86:L88" si="49">E86+G86+I86</f>
        <v>4707302</v>
      </c>
    </row>
    <row r="87" spans="1:13" x14ac:dyDescent="0.2">
      <c r="B87" s="259" t="s">
        <v>187</v>
      </c>
      <c r="D87" s="454">
        <f>29330+296262</f>
        <v>325592</v>
      </c>
      <c r="E87" s="225">
        <f>700+1985873-1464367</f>
        <v>522206</v>
      </c>
      <c r="F87" s="454">
        <f>671869-D86+561357</f>
        <v>430737</v>
      </c>
      <c r="G87" s="225">
        <f>1621303-G86</f>
        <v>652483</v>
      </c>
      <c r="H87" s="454">
        <v>192437</v>
      </c>
      <c r="I87" s="225">
        <v>303993</v>
      </c>
      <c r="K87" s="454">
        <f t="shared" si="48"/>
        <v>948766</v>
      </c>
      <c r="L87" s="225">
        <f t="shared" si="49"/>
        <v>1478682</v>
      </c>
    </row>
    <row r="88" spans="1:13" x14ac:dyDescent="0.2">
      <c r="D88" s="450">
        <f t="shared" ref="D88" si="50">SUM(D86:D87)</f>
        <v>1128081</v>
      </c>
      <c r="E88" s="221">
        <f>SUM(E86:E87)</f>
        <v>1986573</v>
      </c>
      <c r="F88" s="450">
        <f t="shared" ref="F88:G88" si="51">SUM(F86:F87)</f>
        <v>1312936</v>
      </c>
      <c r="G88" s="221">
        <f t="shared" si="51"/>
        <v>1621303</v>
      </c>
      <c r="H88" s="450">
        <f t="shared" ref="H88:I88" si="52">SUM(H86:H87)</f>
        <v>1417754</v>
      </c>
      <c r="I88" s="221">
        <f t="shared" si="52"/>
        <v>2578108</v>
      </c>
      <c r="K88" s="450">
        <f t="shared" si="48"/>
        <v>3858771</v>
      </c>
      <c r="L88" s="221">
        <f t="shared" si="49"/>
        <v>6185984</v>
      </c>
    </row>
    <row r="90" spans="1:13" ht="12.75" thickBot="1" x14ac:dyDescent="0.25">
      <c r="B90" s="259" t="s">
        <v>181</v>
      </c>
      <c r="C90" s="259" t="s">
        <v>194</v>
      </c>
      <c r="D90" s="455">
        <f t="shared" ref="D90" si="53">+D83-D88</f>
        <v>4086806.166666667</v>
      </c>
      <c r="E90" s="226">
        <f>+E83-E88</f>
        <v>998677</v>
      </c>
      <c r="F90" s="455">
        <f t="shared" ref="F90:G90" si="54">+F83-F88</f>
        <v>779983.16666666674</v>
      </c>
      <c r="G90" s="226">
        <f t="shared" si="54"/>
        <v>864222</v>
      </c>
      <c r="H90" s="455">
        <f t="shared" ref="H90:L90" si="55">+H83-H88</f>
        <v>535384.16666666674</v>
      </c>
      <c r="I90" s="226">
        <f t="shared" si="55"/>
        <v>539017</v>
      </c>
      <c r="K90" s="455">
        <f t="shared" si="55"/>
        <v>5402173.5</v>
      </c>
      <c r="L90" s="226">
        <f t="shared" si="55"/>
        <v>2401916</v>
      </c>
    </row>
    <row r="91" spans="1:13" ht="12.75" thickTop="1" x14ac:dyDescent="0.2"/>
    <row r="92" spans="1:13" x14ac:dyDescent="0.2">
      <c r="A92" s="259" t="s">
        <v>217</v>
      </c>
      <c r="B92" s="259" t="s">
        <v>218</v>
      </c>
      <c r="C92" s="259" t="s">
        <v>182</v>
      </c>
      <c r="D92" s="450">
        <v>675000</v>
      </c>
      <c r="E92" s="221">
        <v>766000</v>
      </c>
      <c r="F92" s="450">
        <v>610000</v>
      </c>
      <c r="G92" s="221">
        <v>1007000</v>
      </c>
      <c r="H92" s="450">
        <v>862583</v>
      </c>
      <c r="I92" s="221">
        <v>976289</v>
      </c>
      <c r="K92" s="450">
        <f>D92+F92+H92</f>
        <v>2147583</v>
      </c>
      <c r="L92" s="221">
        <f>E92+G92+I92</f>
        <v>2749289</v>
      </c>
      <c r="M92" s="259">
        <f>K92-L92</f>
        <v>-601706</v>
      </c>
    </row>
    <row r="94" spans="1:13" x14ac:dyDescent="0.2">
      <c r="B94" s="259" t="s">
        <v>219</v>
      </c>
      <c r="D94" s="450">
        <v>250000</v>
      </c>
      <c r="E94" s="221">
        <v>204000</v>
      </c>
      <c r="F94" s="450">
        <v>290000</v>
      </c>
      <c r="G94" s="221">
        <v>140000</v>
      </c>
      <c r="H94" s="450">
        <v>287806</v>
      </c>
      <c r="I94" s="221">
        <v>178359</v>
      </c>
      <c r="K94" s="450">
        <f t="shared" ref="K94:K96" si="56">D94+F94+H94</f>
        <v>827806</v>
      </c>
      <c r="L94" s="221">
        <f t="shared" ref="L94:L96" si="57">E94+G94+I94</f>
        <v>522359</v>
      </c>
    </row>
    <row r="95" spans="1:13" x14ac:dyDescent="0.2">
      <c r="B95" s="259" t="s">
        <v>187</v>
      </c>
      <c r="D95" s="450">
        <v>118000</v>
      </c>
      <c r="E95" s="221">
        <v>617000</v>
      </c>
      <c r="F95" s="450">
        <v>1623000</v>
      </c>
      <c r="G95" s="221">
        <v>945000</v>
      </c>
      <c r="H95" s="450">
        <v>392347</v>
      </c>
      <c r="I95" s="221">
        <v>641181</v>
      </c>
      <c r="K95" s="450">
        <f t="shared" si="56"/>
        <v>2133347</v>
      </c>
      <c r="L95" s="221">
        <f t="shared" si="57"/>
        <v>2203181</v>
      </c>
    </row>
    <row r="96" spans="1:13" x14ac:dyDescent="0.2">
      <c r="B96" s="259" t="s">
        <v>220</v>
      </c>
      <c r="D96" s="450">
        <f>SUM(D94:D95)</f>
        <v>368000</v>
      </c>
      <c r="E96" s="221">
        <f t="shared" ref="E96:I96" si="58">SUM(E94:E95)</f>
        <v>821000</v>
      </c>
      <c r="F96" s="450">
        <f t="shared" si="58"/>
        <v>1913000</v>
      </c>
      <c r="G96" s="221">
        <f t="shared" si="58"/>
        <v>1085000</v>
      </c>
      <c r="H96" s="450">
        <f t="shared" si="58"/>
        <v>680153</v>
      </c>
      <c r="I96" s="221">
        <f t="shared" si="58"/>
        <v>819540</v>
      </c>
      <c r="K96" s="450">
        <f t="shared" si="56"/>
        <v>2961153</v>
      </c>
      <c r="L96" s="221">
        <f t="shared" si="57"/>
        <v>2725540</v>
      </c>
    </row>
    <row r="98" spans="1:12" ht="12.75" thickBot="1" x14ac:dyDescent="0.25">
      <c r="B98" s="259" t="s">
        <v>181</v>
      </c>
      <c r="C98" s="259" t="s">
        <v>236</v>
      </c>
      <c r="D98" s="455">
        <f>D92-D96</f>
        <v>307000</v>
      </c>
      <c r="E98" s="226">
        <f t="shared" ref="E98:G98" si="59">E92-E96</f>
        <v>-55000</v>
      </c>
      <c r="F98" s="455">
        <f t="shared" si="59"/>
        <v>-1303000</v>
      </c>
      <c r="G98" s="226">
        <f t="shared" si="59"/>
        <v>-78000</v>
      </c>
      <c r="H98" s="455">
        <f t="shared" ref="H98:L98" si="60">H92-H96</f>
        <v>182430</v>
      </c>
      <c r="I98" s="226">
        <f t="shared" si="60"/>
        <v>156749</v>
      </c>
      <c r="K98" s="455">
        <f t="shared" si="60"/>
        <v>-813570</v>
      </c>
      <c r="L98" s="226">
        <f t="shared" si="60"/>
        <v>23749</v>
      </c>
    </row>
    <row r="99" spans="1:12" ht="12.75" thickTop="1" x14ac:dyDescent="0.2"/>
    <row r="100" spans="1:12" x14ac:dyDescent="0.2">
      <c r="A100" s="259" t="s">
        <v>195</v>
      </c>
      <c r="B100" s="259" t="s">
        <v>196</v>
      </c>
      <c r="C100" s="259" t="s">
        <v>197</v>
      </c>
      <c r="D100" s="454">
        <f>D35+D58+D70+D83+D92</f>
        <v>17131095.166666668</v>
      </c>
      <c r="E100" s="225">
        <f>E35+E58+E70+E83+E92</f>
        <v>15167223</v>
      </c>
      <c r="F100" s="454">
        <f t="shared" ref="F100:G100" si="61">F35+F58+F70+F83+F92</f>
        <v>14730179.166666666</v>
      </c>
      <c r="G100" s="225">
        <f t="shared" si="61"/>
        <v>16936395</v>
      </c>
      <c r="H100" s="454">
        <f t="shared" ref="H100" si="62">H35+H58+H70+H83+H92</f>
        <v>16267343.166666666</v>
      </c>
      <c r="I100" s="225">
        <f>I35+I58+I70+I83+I92</f>
        <v>20415001</v>
      </c>
      <c r="K100" s="454">
        <f t="shared" ref="K100" si="63">K35+K58+K70+K83+K92</f>
        <v>48128617.5</v>
      </c>
      <c r="L100" s="225">
        <f>L35+L58+L70+L83+L92</f>
        <v>52518619</v>
      </c>
    </row>
    <row r="101" spans="1:12" x14ac:dyDescent="0.2">
      <c r="B101" s="259" t="s">
        <v>198</v>
      </c>
      <c r="D101" s="454">
        <f>D40+D41+D61+D73+D86+D94</f>
        <v>5030353</v>
      </c>
      <c r="E101" s="225">
        <f t="shared" ref="E101:G101" si="64">E40+E41+E61+E73+E86+E94</f>
        <v>6712564</v>
      </c>
      <c r="F101" s="454">
        <f t="shared" si="64"/>
        <v>5744929</v>
      </c>
      <c r="G101" s="225">
        <f t="shared" si="64"/>
        <v>6178390</v>
      </c>
      <c r="H101" s="454">
        <f t="shared" ref="H101" si="65">H40+H41+H61+H73+H86+H94</f>
        <v>6451826</v>
      </c>
      <c r="I101" s="225">
        <f>I40+I41+I61+I73+I86+I94</f>
        <v>7469380</v>
      </c>
      <c r="K101" s="454">
        <f t="shared" ref="K101" si="66">K40+K41+K61+K73+K86+K94</f>
        <v>17227108</v>
      </c>
      <c r="L101" s="225">
        <f>L40+L41+L61+L73+L86+L94</f>
        <v>20360334</v>
      </c>
    </row>
    <row r="102" spans="1:12" x14ac:dyDescent="0.2">
      <c r="B102" s="259" t="s">
        <v>187</v>
      </c>
      <c r="D102" s="454">
        <f>D43+D44+D62+D74+D87+D95</f>
        <v>9503637</v>
      </c>
      <c r="E102" s="225">
        <f t="shared" ref="E102:G102" si="67">E43+E44+E62+E74+E87+E95</f>
        <v>7999270</v>
      </c>
      <c r="F102" s="454">
        <f t="shared" si="67"/>
        <v>16286271</v>
      </c>
      <c r="G102" s="225">
        <f t="shared" si="67"/>
        <v>14681490</v>
      </c>
      <c r="H102" s="454">
        <f t="shared" ref="H102:I102" si="68">H43+H44+H62+H74+H87+H95</f>
        <v>9470865</v>
      </c>
      <c r="I102" s="225">
        <f t="shared" si="68"/>
        <v>13030078</v>
      </c>
      <c r="K102" s="454">
        <f t="shared" ref="K102:L102" si="69">K43+K44+K62+K74+K87+K95</f>
        <v>35260773</v>
      </c>
      <c r="L102" s="225">
        <f t="shared" si="69"/>
        <v>35710838</v>
      </c>
    </row>
    <row r="103" spans="1:12" ht="12.75" thickBot="1" x14ac:dyDescent="0.25">
      <c r="B103" s="259" t="s">
        <v>181</v>
      </c>
      <c r="D103" s="455">
        <f>D100-D101-D102</f>
        <v>2597105.1666666679</v>
      </c>
      <c r="E103" s="226">
        <f>E100-E101-E102</f>
        <v>455389</v>
      </c>
      <c r="F103" s="455">
        <f t="shared" ref="F103:G103" si="70">F100-F101-F102</f>
        <v>-7301020.833333334</v>
      </c>
      <c r="G103" s="226">
        <f t="shared" si="70"/>
        <v>-3923485</v>
      </c>
      <c r="H103" s="455">
        <f t="shared" ref="H103" si="71">H100-H101-H102</f>
        <v>344652.16666666605</v>
      </c>
      <c r="I103" s="226">
        <f>I100-I101-I102</f>
        <v>-84457</v>
      </c>
      <c r="K103" s="455">
        <f t="shared" ref="K103" si="72">K100-K101-K102</f>
        <v>-4359263.5</v>
      </c>
      <c r="L103" s="226">
        <f>L100-L101-L102</f>
        <v>-3552553</v>
      </c>
    </row>
    <row r="104" spans="1:12" ht="12.75" thickTop="1" x14ac:dyDescent="0.2"/>
    <row r="105" spans="1:12" ht="12.75" thickBot="1" x14ac:dyDescent="0.25">
      <c r="C105" s="259" t="s">
        <v>199</v>
      </c>
      <c r="D105" s="455">
        <f>D50+D65+D77+D90</f>
        <v>2290105.166666667</v>
      </c>
      <c r="E105" s="226">
        <f t="shared" ref="E105:G105" si="73">E50+E65+E77+E90</f>
        <v>510389</v>
      </c>
      <c r="F105" s="455">
        <f t="shared" si="73"/>
        <v>-5998020.833333333</v>
      </c>
      <c r="G105" s="226">
        <f t="shared" si="73"/>
        <v>-3845485</v>
      </c>
      <c r="H105" s="455">
        <f>H50+H65+H77+H90</f>
        <v>162222.16666666674</v>
      </c>
      <c r="I105" s="226">
        <f>I50+I65+I77+I90</f>
        <v>-241206</v>
      </c>
      <c r="K105" s="455"/>
      <c r="L105" s="226"/>
    </row>
    <row r="106" spans="1:12" ht="12.75" thickTop="1" x14ac:dyDescent="0.2">
      <c r="D106" s="450">
        <f>D103-D105</f>
        <v>307000.00000000093</v>
      </c>
      <c r="E106" s="221">
        <f t="shared" ref="E106:G106" si="74">E103-E105</f>
        <v>-55000</v>
      </c>
      <c r="F106" s="450">
        <f t="shared" si="74"/>
        <v>-1303000.0000000009</v>
      </c>
      <c r="G106" s="221">
        <f t="shared" si="74"/>
        <v>-78000</v>
      </c>
      <c r="H106" s="450">
        <f t="shared" ref="H106" si="75">H103-H105</f>
        <v>182429.9999999993</v>
      </c>
      <c r="I106" s="221">
        <f>I103-I105</f>
        <v>156749</v>
      </c>
    </row>
    <row r="108" spans="1:12" x14ac:dyDescent="0.2">
      <c r="D108" s="450">
        <f>D50+D65+D77+D90+D98</f>
        <v>2597105.166666667</v>
      </c>
      <c r="E108" s="221">
        <v>9.5500000000000007</v>
      </c>
      <c r="F108" s="450">
        <f t="shared" ref="F108:I108" si="76">F50+F65+F77+F90+F98</f>
        <v>-7301020.833333333</v>
      </c>
      <c r="G108" s="221">
        <f t="shared" si="76"/>
        <v>-3923485</v>
      </c>
      <c r="H108" s="450">
        <f t="shared" si="76"/>
        <v>344652.16666666674</v>
      </c>
      <c r="I108" s="221">
        <f t="shared" si="76"/>
        <v>-84457</v>
      </c>
    </row>
    <row r="109" spans="1:12" x14ac:dyDescent="0.2">
      <c r="D109" s="456">
        <f>73.47/171.31*100</f>
        <v>42.887163621504875</v>
      </c>
      <c r="E109" s="444">
        <f>E108/151.67*100</f>
        <v>6.2965649106613046</v>
      </c>
      <c r="F109" s="450">
        <f>-125.2/147.3*100</f>
        <v>-84.996605566870329</v>
      </c>
    </row>
    <row r="110" spans="1:12" x14ac:dyDescent="0.2">
      <c r="B110" s="259" t="s">
        <v>279</v>
      </c>
      <c r="D110" s="450">
        <f>D12+D20+D27+D33+D58+D70+D83+D92</f>
        <v>17131095.166666668</v>
      </c>
      <c r="E110" s="221">
        <f>E12+E20+E27+E33+E58+E70+E83+E92</f>
        <v>15167223</v>
      </c>
      <c r="F110" s="450">
        <f t="shared" ref="F110:I110" si="77">F12+F20+F27+F33+F58+F70+F83+F92</f>
        <v>14730179.166666666</v>
      </c>
      <c r="G110" s="221">
        <f t="shared" si="77"/>
        <v>16936395</v>
      </c>
      <c r="H110" s="450">
        <f t="shared" si="77"/>
        <v>16267343.166666666</v>
      </c>
      <c r="I110" s="221">
        <f t="shared" si="77"/>
        <v>20415001</v>
      </c>
    </row>
    <row r="113" spans="2:9" x14ac:dyDescent="0.2">
      <c r="E113" s="221">
        <f>(26550000/12)</f>
        <v>2212500</v>
      </c>
      <c r="G113" s="221">
        <f>(26550000/12)</f>
        <v>2212500</v>
      </c>
      <c r="I113" s="221">
        <f>(26550000/12)</f>
        <v>2212500</v>
      </c>
    </row>
    <row r="115" spans="2:9" x14ac:dyDescent="0.2">
      <c r="B115" s="259" t="s">
        <v>281</v>
      </c>
      <c r="E115" s="221">
        <f>E103-E113</f>
        <v>-1757111</v>
      </c>
      <c r="G115" s="221">
        <f>G103-G113</f>
        <v>-6135985</v>
      </c>
      <c r="I115" s="221">
        <f>I103-I113</f>
        <v>-2296957</v>
      </c>
    </row>
    <row r="116" spans="2:9" x14ac:dyDescent="0.2">
      <c r="B116" s="259" t="s">
        <v>280</v>
      </c>
      <c r="E116" s="221">
        <f>-1213823+2797754-2645992-54738</f>
        <v>-1116799</v>
      </c>
      <c r="G116" s="221">
        <f>-1348278-1484330-2725377-82141</f>
        <v>-5640126</v>
      </c>
      <c r="I116" s="221">
        <f>-1673483+2676697-1445389+156749</f>
        <v>-285426</v>
      </c>
    </row>
    <row r="118" spans="2:9" x14ac:dyDescent="0.2">
      <c r="E118" s="221">
        <f>E115-E116</f>
        <v>-640312</v>
      </c>
      <c r="G118" s="221">
        <f>G115-G116</f>
        <v>-495859</v>
      </c>
      <c r="I118" s="221">
        <f>I115-I116</f>
        <v>-2011531</v>
      </c>
    </row>
  </sheetData>
  <mergeCells count="13">
    <mergeCell ref="K1:L1"/>
    <mergeCell ref="K54:L54"/>
    <mergeCell ref="K79:L79"/>
    <mergeCell ref="H79:I79"/>
    <mergeCell ref="D79:E79"/>
    <mergeCell ref="F79:G79"/>
    <mergeCell ref="D1:E1"/>
    <mergeCell ref="F1:G1"/>
    <mergeCell ref="A6:A21"/>
    <mergeCell ref="D54:E54"/>
    <mergeCell ref="F54:G54"/>
    <mergeCell ref="H1:I1"/>
    <mergeCell ref="H54:I54"/>
  </mergeCells>
  <pageMargins left="0.7" right="0.7" top="0.75" bottom="0.75" header="0.3" footer="0.3"/>
  <pageSetup scale="48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7"/>
  <sheetViews>
    <sheetView showGridLines="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J12" sqref="J12"/>
    </sheetView>
  </sheetViews>
  <sheetFormatPr defaultRowHeight="12" x14ac:dyDescent="0.2"/>
  <cols>
    <col min="1" max="1" width="18.42578125" style="124" customWidth="1"/>
    <col min="2" max="2" width="25.140625" style="124" customWidth="1"/>
    <col min="3" max="3" width="41.7109375" style="124" customWidth="1"/>
    <col min="4" max="4" width="11" style="124" hidden="1" customWidth="1"/>
    <col min="5" max="5" width="11.5703125" style="124" hidden="1" customWidth="1"/>
    <col min="6" max="6" width="9.5703125" style="124" hidden="1" customWidth="1"/>
    <col min="7" max="7" width="0.85546875" style="125" customWidth="1"/>
    <col min="8" max="8" width="11.42578125" style="124" customWidth="1"/>
    <col min="9" max="10" width="11.85546875" style="124" customWidth="1"/>
    <col min="11" max="16384" width="9.140625" style="124"/>
  </cols>
  <sheetData>
    <row r="1" spans="1:10" ht="24" x14ac:dyDescent="0.2">
      <c r="A1" s="511" t="s">
        <v>1</v>
      </c>
      <c r="B1" s="511"/>
      <c r="C1" s="73" t="s">
        <v>2</v>
      </c>
      <c r="D1" s="73" t="s">
        <v>3</v>
      </c>
      <c r="E1" s="73" t="s">
        <v>8</v>
      </c>
      <c r="F1" s="74" t="s">
        <v>6</v>
      </c>
      <c r="G1" s="75"/>
      <c r="H1" s="76" t="s">
        <v>11</v>
      </c>
      <c r="I1" s="76" t="s">
        <v>12</v>
      </c>
      <c r="J1" s="76" t="s">
        <v>276</v>
      </c>
    </row>
    <row r="2" spans="1:10" ht="15" customHeight="1" x14ac:dyDescent="0.2">
      <c r="A2" s="126" t="s">
        <v>29</v>
      </c>
      <c r="B2" s="126"/>
      <c r="C2" s="126"/>
      <c r="D2" s="127"/>
      <c r="E2" s="127"/>
      <c r="F2" s="128"/>
      <c r="G2" s="129"/>
      <c r="H2" s="127"/>
      <c r="I2" s="127"/>
      <c r="J2" s="127"/>
    </row>
    <row r="3" spans="1:10" ht="18.75" customHeight="1" x14ac:dyDescent="0.2">
      <c r="A3" s="512" t="s">
        <v>119</v>
      </c>
      <c r="B3" s="515" t="s">
        <v>120</v>
      </c>
      <c r="C3" s="77" t="s">
        <v>13</v>
      </c>
      <c r="D3" s="78"/>
      <c r="E3" s="78"/>
      <c r="F3" s="79"/>
      <c r="G3" s="80"/>
      <c r="H3" s="79">
        <f>SUM(H9:H16)</f>
        <v>453.24000000000007</v>
      </c>
      <c r="I3" s="79">
        <f>SUM(I9:I16)</f>
        <v>600.84</v>
      </c>
      <c r="J3" s="79"/>
    </row>
    <row r="4" spans="1:10" ht="21.75" customHeight="1" x14ac:dyDescent="0.2">
      <c r="A4" s="512"/>
      <c r="B4" s="515"/>
      <c r="C4" s="77" t="s">
        <v>73</v>
      </c>
      <c r="D4" s="81"/>
      <c r="E4" s="78"/>
      <c r="F4" s="79"/>
      <c r="G4" s="80"/>
      <c r="H4" s="79">
        <f>H3</f>
        <v>453.24000000000007</v>
      </c>
      <c r="I4" s="79">
        <f>I3+H4</f>
        <v>1054.0800000000002</v>
      </c>
      <c r="J4" s="79"/>
    </row>
    <row r="5" spans="1:10" ht="19.5" customHeight="1" x14ac:dyDescent="0.2">
      <c r="A5" s="512"/>
      <c r="B5" s="515"/>
      <c r="C5" s="77" t="s">
        <v>107</v>
      </c>
      <c r="D5" s="81"/>
      <c r="E5" s="78"/>
      <c r="F5" s="79"/>
      <c r="G5" s="80"/>
      <c r="H5" s="79"/>
      <c r="I5" s="79"/>
      <c r="J5" s="79"/>
    </row>
    <row r="6" spans="1:10" ht="22.5" customHeight="1" x14ac:dyDescent="0.2">
      <c r="A6" s="512"/>
      <c r="B6" s="515"/>
      <c r="C6" s="77" t="s">
        <v>72</v>
      </c>
      <c r="D6" s="81"/>
      <c r="E6" s="78"/>
      <c r="F6" s="79"/>
      <c r="G6" s="80"/>
      <c r="H6" s="79"/>
      <c r="I6" s="79"/>
      <c r="J6" s="79"/>
    </row>
    <row r="7" spans="1:10" ht="24.75" customHeight="1" x14ac:dyDescent="0.2">
      <c r="A7" s="512"/>
      <c r="B7" s="516"/>
      <c r="C7" s="82" t="s">
        <v>74</v>
      </c>
      <c r="D7" s="81"/>
      <c r="E7" s="81"/>
      <c r="F7" s="79"/>
      <c r="G7" s="80"/>
      <c r="H7" s="83"/>
      <c r="I7" s="83"/>
      <c r="J7" s="83"/>
    </row>
    <row r="8" spans="1:10" ht="4.5" customHeight="1" x14ac:dyDescent="0.2">
      <c r="A8" s="513"/>
      <c r="B8" s="84"/>
      <c r="C8" s="85"/>
      <c r="D8" s="86"/>
      <c r="E8" s="86"/>
      <c r="F8" s="87"/>
      <c r="G8" s="80"/>
      <c r="H8" s="87"/>
      <c r="I8" s="88"/>
      <c r="J8" s="88"/>
    </row>
    <row r="9" spans="1:10" x14ac:dyDescent="0.2">
      <c r="A9" s="512"/>
      <c r="B9" s="514" t="s">
        <v>76</v>
      </c>
      <c r="C9" s="89" t="s">
        <v>14</v>
      </c>
      <c r="D9" s="90"/>
      <c r="E9" s="91"/>
      <c r="F9" s="79"/>
      <c r="G9" s="80"/>
      <c r="H9" s="92">
        <f>61.86+7.73+1.14+0.04</f>
        <v>70.77000000000001</v>
      </c>
      <c r="I9" s="92">
        <f>57.03+2.73+1.11+16.46</f>
        <v>77.33</v>
      </c>
      <c r="J9" s="92"/>
    </row>
    <row r="10" spans="1:10" x14ac:dyDescent="0.2">
      <c r="A10" s="512"/>
      <c r="B10" s="517"/>
      <c r="C10" s="89" t="s">
        <v>118</v>
      </c>
      <c r="D10" s="90"/>
      <c r="E10" s="91"/>
      <c r="F10" s="79"/>
      <c r="G10" s="80"/>
      <c r="H10" s="92">
        <f>25.01+0.36</f>
        <v>25.37</v>
      </c>
      <c r="I10" s="92">
        <f>27.56+0.43+0.82</f>
        <v>28.81</v>
      </c>
      <c r="J10" s="92"/>
    </row>
    <row r="11" spans="1:10" x14ac:dyDescent="0.2">
      <c r="A11" s="512"/>
      <c r="B11" s="517"/>
      <c r="C11" s="77" t="s">
        <v>110</v>
      </c>
      <c r="D11" s="81"/>
      <c r="E11" s="78"/>
      <c r="F11" s="79"/>
      <c r="G11" s="80"/>
      <c r="H11" s="79">
        <v>16.649999999999999</v>
      </c>
      <c r="I11" s="79">
        <v>25.44</v>
      </c>
      <c r="J11" s="79"/>
    </row>
    <row r="12" spans="1:10" x14ac:dyDescent="0.2">
      <c r="A12" s="512"/>
      <c r="B12" s="517"/>
      <c r="C12" s="77" t="s">
        <v>111</v>
      </c>
      <c r="D12" s="81"/>
      <c r="E12" s="78"/>
      <c r="F12" s="79"/>
      <c r="G12" s="80"/>
      <c r="H12" s="79">
        <v>78.290000000000006</v>
      </c>
      <c r="I12" s="79">
        <v>127.32</v>
      </c>
      <c r="J12" s="79"/>
    </row>
    <row r="13" spans="1:10" x14ac:dyDescent="0.2">
      <c r="A13" s="512"/>
      <c r="B13" s="517"/>
      <c r="C13" s="77" t="s">
        <v>114</v>
      </c>
      <c r="D13" s="81"/>
      <c r="E13" s="78"/>
      <c r="F13" s="79"/>
      <c r="G13" s="80"/>
      <c r="H13" s="79">
        <f>165.27+31.07</f>
        <v>196.34</v>
      </c>
      <c r="I13" s="79">
        <f>165.69+70.06</f>
        <v>235.75</v>
      </c>
      <c r="J13" s="79"/>
    </row>
    <row r="14" spans="1:10" x14ac:dyDescent="0.2">
      <c r="A14" s="512"/>
      <c r="B14" s="517"/>
      <c r="C14" s="77" t="s">
        <v>16</v>
      </c>
      <c r="D14" s="81"/>
      <c r="E14" s="78"/>
      <c r="F14" s="79"/>
      <c r="G14" s="80"/>
      <c r="H14" s="79">
        <v>7.55</v>
      </c>
      <c r="I14" s="79">
        <v>10.119999999999999</v>
      </c>
      <c r="J14" s="79"/>
    </row>
    <row r="15" spans="1:10" x14ac:dyDescent="0.2">
      <c r="A15" s="512"/>
      <c r="B15" s="517"/>
      <c r="C15" s="77" t="s">
        <v>17</v>
      </c>
      <c r="D15" s="81"/>
      <c r="E15" s="78"/>
      <c r="F15" s="79"/>
      <c r="G15" s="80"/>
      <c r="H15" s="93">
        <v>21.25</v>
      </c>
      <c r="I15" s="93">
        <v>39.729999999999997</v>
      </c>
      <c r="J15" s="93"/>
    </row>
    <row r="16" spans="1:10" x14ac:dyDescent="0.2">
      <c r="A16" s="512"/>
      <c r="B16" s="518"/>
      <c r="C16" s="77" t="s">
        <v>18</v>
      </c>
      <c r="D16" s="81"/>
      <c r="E16" s="78"/>
      <c r="F16" s="79"/>
      <c r="G16" s="80"/>
      <c r="H16" s="79">
        <v>37.020000000000003</v>
      </c>
      <c r="I16" s="79">
        <v>56.34</v>
      </c>
      <c r="J16" s="79"/>
    </row>
    <row r="17" spans="1:11" ht="4.5" customHeight="1" x14ac:dyDescent="0.2">
      <c r="A17" s="512"/>
      <c r="B17" s="84"/>
      <c r="C17" s="85"/>
      <c r="D17" s="86"/>
      <c r="E17" s="86"/>
      <c r="F17" s="87"/>
      <c r="G17" s="80"/>
      <c r="H17" s="87"/>
      <c r="I17" s="88"/>
      <c r="J17" s="88"/>
    </row>
    <row r="18" spans="1:11" x14ac:dyDescent="0.2">
      <c r="A18" s="512"/>
      <c r="B18" s="517" t="s">
        <v>77</v>
      </c>
      <c r="C18" s="77" t="s">
        <v>75</v>
      </c>
      <c r="D18" s="81"/>
      <c r="E18" s="78"/>
      <c r="F18" s="79"/>
      <c r="G18" s="80"/>
      <c r="H18" s="79">
        <f>H9</f>
        <v>70.77000000000001</v>
      </c>
      <c r="I18" s="79">
        <f>H18+I9</f>
        <v>148.10000000000002</v>
      </c>
      <c r="J18" s="79"/>
    </row>
    <row r="19" spans="1:11" x14ac:dyDescent="0.2">
      <c r="A19" s="512"/>
      <c r="B19" s="517"/>
      <c r="C19" s="77" t="s">
        <v>118</v>
      </c>
      <c r="D19" s="81"/>
      <c r="E19" s="78"/>
      <c r="F19" s="79"/>
      <c r="G19" s="80"/>
      <c r="H19" s="79">
        <f>H10</f>
        <v>25.37</v>
      </c>
      <c r="I19" s="79">
        <f>H19+I10</f>
        <v>54.18</v>
      </c>
      <c r="J19" s="79"/>
    </row>
    <row r="20" spans="1:11" x14ac:dyDescent="0.2">
      <c r="A20" s="512"/>
      <c r="B20" s="517"/>
      <c r="C20" s="77" t="s">
        <v>110</v>
      </c>
      <c r="D20" s="81"/>
      <c r="E20" s="78"/>
      <c r="F20" s="79"/>
      <c r="G20" s="80"/>
      <c r="H20" s="79">
        <f t="shared" ref="H20:H21" si="0">H11</f>
        <v>16.649999999999999</v>
      </c>
      <c r="I20" s="79">
        <f t="shared" ref="I20:I25" si="1">H20+I11</f>
        <v>42.09</v>
      </c>
      <c r="J20" s="79"/>
    </row>
    <row r="21" spans="1:11" x14ac:dyDescent="0.2">
      <c r="A21" s="512"/>
      <c r="B21" s="517"/>
      <c r="C21" s="77" t="s">
        <v>111</v>
      </c>
      <c r="D21" s="81"/>
      <c r="E21" s="78"/>
      <c r="F21" s="79"/>
      <c r="G21" s="80"/>
      <c r="H21" s="79">
        <f t="shared" si="0"/>
        <v>78.290000000000006</v>
      </c>
      <c r="I21" s="79">
        <f t="shared" si="1"/>
        <v>205.61</v>
      </c>
      <c r="J21" s="79"/>
    </row>
    <row r="22" spans="1:11" x14ac:dyDescent="0.2">
      <c r="A22" s="512"/>
      <c r="B22" s="517"/>
      <c r="C22" s="77" t="s">
        <v>114</v>
      </c>
      <c r="D22" s="81"/>
      <c r="E22" s="78"/>
      <c r="F22" s="79"/>
      <c r="G22" s="80"/>
      <c r="H22" s="79">
        <f>H13</f>
        <v>196.34</v>
      </c>
      <c r="I22" s="79">
        <f>H22+I13</f>
        <v>432.09000000000003</v>
      </c>
      <c r="J22" s="79"/>
    </row>
    <row r="23" spans="1:11" x14ac:dyDescent="0.2">
      <c r="A23" s="512"/>
      <c r="B23" s="517"/>
      <c r="C23" s="77" t="s">
        <v>16</v>
      </c>
      <c r="D23" s="81"/>
      <c r="E23" s="78"/>
      <c r="F23" s="79"/>
      <c r="G23" s="80"/>
      <c r="H23" s="79">
        <f>H14</f>
        <v>7.55</v>
      </c>
      <c r="I23" s="79">
        <f t="shared" si="1"/>
        <v>17.669999999999998</v>
      </c>
      <c r="J23" s="79"/>
    </row>
    <row r="24" spans="1:11" x14ac:dyDescent="0.2">
      <c r="A24" s="512"/>
      <c r="B24" s="517"/>
      <c r="C24" s="77" t="s">
        <v>17</v>
      </c>
      <c r="D24" s="81"/>
      <c r="E24" s="78"/>
      <c r="F24" s="79"/>
      <c r="G24" s="80"/>
      <c r="H24" s="79">
        <f>H15</f>
        <v>21.25</v>
      </c>
      <c r="I24" s="79">
        <f t="shared" si="1"/>
        <v>60.98</v>
      </c>
      <c r="J24" s="79"/>
    </row>
    <row r="25" spans="1:11" x14ac:dyDescent="0.2">
      <c r="A25" s="514"/>
      <c r="B25" s="517"/>
      <c r="C25" s="82" t="s">
        <v>18</v>
      </c>
      <c r="D25" s="81"/>
      <c r="E25" s="81"/>
      <c r="F25" s="79"/>
      <c r="G25" s="80"/>
      <c r="H25" s="79">
        <f>H16</f>
        <v>37.020000000000003</v>
      </c>
      <c r="I25" s="79">
        <f t="shared" si="1"/>
        <v>93.360000000000014</v>
      </c>
      <c r="J25" s="79"/>
    </row>
    <row r="26" spans="1:11" s="125" customFormat="1" ht="5.25" customHeight="1" x14ac:dyDescent="0.2">
      <c r="A26" s="84"/>
      <c r="B26" s="94"/>
      <c r="C26" s="85"/>
      <c r="D26" s="86"/>
      <c r="E26" s="86"/>
      <c r="F26" s="87"/>
      <c r="G26" s="80"/>
      <c r="H26" s="87"/>
      <c r="I26" s="88"/>
      <c r="J26" s="88"/>
    </row>
    <row r="27" spans="1:11" x14ac:dyDescent="0.2">
      <c r="A27" s="509" t="s">
        <v>121</v>
      </c>
      <c r="B27" s="509"/>
      <c r="C27" s="95" t="s">
        <v>21</v>
      </c>
      <c r="D27" s="90"/>
      <c r="E27" s="91"/>
      <c r="F27" s="79"/>
      <c r="G27" s="80"/>
      <c r="H27" s="96"/>
      <c r="I27" s="96"/>
      <c r="J27" s="96"/>
    </row>
    <row r="28" spans="1:11" x14ac:dyDescent="0.2">
      <c r="A28" s="510"/>
      <c r="B28" s="510"/>
      <c r="C28" s="97" t="s">
        <v>19</v>
      </c>
      <c r="D28" s="81"/>
      <c r="E28" s="78"/>
      <c r="F28" s="79"/>
      <c r="G28" s="80"/>
      <c r="H28" s="93">
        <f>61.86+7.55+21.25+25.01+1.14+0.36+0.04+YMG!H26+86.64+31.07</f>
        <v>318.51</v>
      </c>
      <c r="I28" s="93">
        <f>57.03+10.12+39.73+27.56+1.11+0.43+16.46+0.82+YMG!I26+132.33+70.06</f>
        <v>492.26000000000005</v>
      </c>
      <c r="J28" s="93"/>
    </row>
    <row r="29" spans="1:11" x14ac:dyDescent="0.2">
      <c r="A29" s="510"/>
      <c r="B29" s="510"/>
      <c r="C29" s="97" t="s">
        <v>20</v>
      </c>
      <c r="D29" s="81"/>
      <c r="E29" s="78"/>
      <c r="F29" s="79"/>
      <c r="G29" s="80"/>
      <c r="H29" s="79">
        <f>7.73+YMG!H27+78.63</f>
        <v>94.03</v>
      </c>
      <c r="I29" s="79">
        <f>2.73+YMG!I27+33.36</f>
        <v>46.64</v>
      </c>
      <c r="J29" s="79"/>
    </row>
    <row r="30" spans="1:11" x14ac:dyDescent="0.2">
      <c r="A30" s="510"/>
      <c r="B30" s="510"/>
      <c r="C30" s="97" t="s">
        <v>117</v>
      </c>
      <c r="D30" s="81"/>
      <c r="E30" s="78"/>
      <c r="F30" s="79"/>
      <c r="G30" s="80"/>
      <c r="H30" s="79">
        <f>YMG!H28</f>
        <v>11.32</v>
      </c>
      <c r="I30" s="79">
        <f>YMG!I28</f>
        <v>12.700000000000001</v>
      </c>
      <c r="J30" s="79"/>
    </row>
    <row r="31" spans="1:11" s="125" customFormat="1" ht="5.25" customHeight="1" x14ac:dyDescent="0.2">
      <c r="A31" s="84"/>
      <c r="B31" s="94"/>
      <c r="C31" s="85"/>
      <c r="D31" s="86"/>
      <c r="E31" s="86"/>
      <c r="F31" s="87"/>
      <c r="G31" s="80"/>
      <c r="H31" s="87"/>
      <c r="I31" s="88"/>
      <c r="J31" s="88"/>
    </row>
    <row r="32" spans="1:11" ht="15" customHeight="1" x14ac:dyDescent="0.2">
      <c r="A32" s="519" t="s">
        <v>122</v>
      </c>
      <c r="B32" s="516"/>
      <c r="C32" s="98" t="s">
        <v>53</v>
      </c>
      <c r="D32" s="81"/>
      <c r="E32" s="78"/>
      <c r="F32" s="79"/>
      <c r="G32" s="80"/>
      <c r="H32" s="79"/>
      <c r="I32" s="79"/>
      <c r="J32" s="79"/>
      <c r="K32" s="125"/>
    </row>
    <row r="33" spans="1:11" x14ac:dyDescent="0.2">
      <c r="A33" s="520"/>
      <c r="B33" s="521"/>
      <c r="C33" s="98" t="s">
        <v>22</v>
      </c>
      <c r="D33" s="81"/>
      <c r="E33" s="78"/>
      <c r="F33" s="79"/>
      <c r="G33" s="80"/>
      <c r="H33" s="93">
        <f>YMG!H31</f>
        <v>23.65</v>
      </c>
      <c r="I33" s="93">
        <f>YMG!I31</f>
        <v>58.32</v>
      </c>
      <c r="J33" s="93"/>
    </row>
    <row r="34" spans="1:11" x14ac:dyDescent="0.2">
      <c r="A34" s="520"/>
      <c r="B34" s="521"/>
      <c r="C34" s="98" t="s">
        <v>23</v>
      </c>
      <c r="D34" s="81"/>
      <c r="E34" s="78"/>
      <c r="F34" s="79"/>
      <c r="G34" s="80"/>
      <c r="H34" s="93">
        <f>YMG!H32</f>
        <v>53.41</v>
      </c>
      <c r="I34" s="93">
        <f>YMG!I32</f>
        <v>78.84</v>
      </c>
      <c r="J34" s="93"/>
    </row>
    <row r="35" spans="1:11" x14ac:dyDescent="0.2">
      <c r="A35" s="520"/>
      <c r="B35" s="521"/>
      <c r="C35" s="98" t="s">
        <v>26</v>
      </c>
      <c r="D35" s="81"/>
      <c r="E35" s="78"/>
      <c r="F35" s="79"/>
      <c r="G35" s="80"/>
      <c r="H35" s="79">
        <f>H36+H37</f>
        <v>2.87</v>
      </c>
      <c r="I35" s="79">
        <f>I36+I37</f>
        <v>3.8600000000000003</v>
      </c>
      <c r="J35" s="79"/>
      <c r="K35" s="125"/>
    </row>
    <row r="36" spans="1:11" x14ac:dyDescent="0.2">
      <c r="A36" s="520"/>
      <c r="B36" s="521"/>
      <c r="C36" s="98" t="s">
        <v>54</v>
      </c>
      <c r="D36" s="81"/>
      <c r="E36" s="78"/>
      <c r="F36" s="79"/>
      <c r="G36" s="80"/>
      <c r="H36" s="79">
        <v>1.26</v>
      </c>
      <c r="I36" s="79">
        <v>1.66</v>
      </c>
      <c r="J36" s="79"/>
    </row>
    <row r="37" spans="1:11" x14ac:dyDescent="0.2">
      <c r="A37" s="520"/>
      <c r="B37" s="521"/>
      <c r="C37" s="98" t="s">
        <v>55</v>
      </c>
      <c r="D37" s="81"/>
      <c r="E37" s="78"/>
      <c r="F37" s="79"/>
      <c r="G37" s="80"/>
      <c r="H37" s="79">
        <v>1.61</v>
      </c>
      <c r="I37" s="79">
        <v>2.2000000000000002</v>
      </c>
      <c r="J37" s="79"/>
    </row>
    <row r="38" spans="1:11" x14ac:dyDescent="0.2">
      <c r="A38" s="520"/>
      <c r="B38" s="521"/>
      <c r="C38" s="98" t="s">
        <v>27</v>
      </c>
      <c r="D38" s="81"/>
      <c r="E38" s="78"/>
      <c r="F38" s="79"/>
      <c r="G38" s="80"/>
      <c r="H38" s="99"/>
      <c r="I38" s="99"/>
      <c r="J38" s="99"/>
    </row>
    <row r="39" spans="1:11" s="125" customFormat="1" ht="5.25" customHeight="1" x14ac:dyDescent="0.2">
      <c r="A39" s="84"/>
      <c r="B39" s="94"/>
      <c r="C39" s="85"/>
      <c r="D39" s="86"/>
      <c r="E39" s="86"/>
      <c r="F39" s="87"/>
      <c r="G39" s="80"/>
      <c r="H39" s="87"/>
      <c r="I39" s="88"/>
      <c r="J39" s="88"/>
    </row>
    <row r="40" spans="1:11" ht="15" customHeight="1" x14ac:dyDescent="0.2">
      <c r="A40" s="130" t="s">
        <v>30</v>
      </c>
      <c r="B40" s="130"/>
      <c r="C40" s="130"/>
      <c r="D40" s="127"/>
      <c r="E40" s="127"/>
      <c r="F40" s="131"/>
      <c r="G40" s="129"/>
      <c r="H40" s="127"/>
      <c r="I40" s="127"/>
      <c r="J40" s="127"/>
      <c r="K40" s="125"/>
    </row>
    <row r="41" spans="1:11" x14ac:dyDescent="0.2">
      <c r="A41" s="522" t="s">
        <v>78</v>
      </c>
      <c r="B41" s="100" t="s">
        <v>79</v>
      </c>
      <c r="C41" s="101" t="s">
        <v>31</v>
      </c>
      <c r="D41" s="102"/>
      <c r="E41" s="78"/>
      <c r="F41" s="79"/>
      <c r="G41" s="80"/>
      <c r="H41" s="93">
        <f>SUM(H43:H49)</f>
        <v>41.49</v>
      </c>
      <c r="I41" s="93">
        <f>SUM(I43:I49)</f>
        <v>72.609999999999985</v>
      </c>
      <c r="J41" s="93"/>
    </row>
    <row r="42" spans="1:11" ht="4.5" customHeight="1" x14ac:dyDescent="0.2">
      <c r="A42" s="523"/>
      <c r="B42" s="84"/>
      <c r="C42" s="85"/>
      <c r="D42" s="86"/>
      <c r="E42" s="86"/>
      <c r="F42" s="87"/>
      <c r="G42" s="80"/>
      <c r="H42" s="87"/>
      <c r="I42" s="88"/>
      <c r="J42" s="88"/>
    </row>
    <row r="43" spans="1:11" x14ac:dyDescent="0.2">
      <c r="A43" s="523"/>
      <c r="B43" s="525" t="s">
        <v>80</v>
      </c>
      <c r="C43" s="89" t="s">
        <v>14</v>
      </c>
      <c r="D43" s="102"/>
      <c r="E43" s="78"/>
      <c r="F43" s="79"/>
      <c r="G43" s="80"/>
      <c r="H43" s="93">
        <f>-26.46-12.14+28.09+0.09-19.86-0.38-6.6</f>
        <v>-37.26</v>
      </c>
      <c r="I43" s="93">
        <f>-14.84-33.08-13.48-0.79-36.15-1.23+14.02</f>
        <v>-85.550000000000011</v>
      </c>
      <c r="J43" s="93"/>
    </row>
    <row r="44" spans="1:11" x14ac:dyDescent="0.2">
      <c r="A44" s="523"/>
      <c r="B44" s="526"/>
      <c r="C44" s="77" t="s">
        <v>110</v>
      </c>
      <c r="D44" s="102"/>
      <c r="E44" s="78"/>
      <c r="F44" s="79"/>
      <c r="G44" s="80"/>
      <c r="H44" s="93">
        <v>16.12</v>
      </c>
      <c r="I44" s="93">
        <v>37</v>
      </c>
      <c r="J44" s="93"/>
    </row>
    <row r="45" spans="1:11" x14ac:dyDescent="0.2">
      <c r="A45" s="523"/>
      <c r="B45" s="526"/>
      <c r="C45" s="77" t="s">
        <v>111</v>
      </c>
      <c r="D45" s="102"/>
      <c r="E45" s="78"/>
      <c r="F45" s="79"/>
      <c r="G45" s="80"/>
      <c r="H45" s="93">
        <v>0.91</v>
      </c>
      <c r="I45" s="93">
        <v>1.88</v>
      </c>
      <c r="J45" s="93"/>
    </row>
    <row r="46" spans="1:11" x14ac:dyDescent="0.2">
      <c r="A46" s="523"/>
      <c r="B46" s="526"/>
      <c r="C46" s="77" t="s">
        <v>114</v>
      </c>
      <c r="D46" s="102"/>
      <c r="E46" s="78"/>
      <c r="F46" s="79"/>
      <c r="G46" s="80"/>
      <c r="H46" s="136">
        <v>25.91</v>
      </c>
      <c r="I46" s="93">
        <v>59</v>
      </c>
      <c r="J46" s="93"/>
    </row>
    <row r="47" spans="1:11" x14ac:dyDescent="0.2">
      <c r="A47" s="523"/>
      <c r="B47" s="526"/>
      <c r="C47" s="77" t="s">
        <v>16</v>
      </c>
      <c r="D47" s="102"/>
      <c r="E47" s="78"/>
      <c r="F47" s="79"/>
      <c r="G47" s="80"/>
      <c r="H47" s="93">
        <f>7.55-7.64</f>
        <v>-8.9999999999999858E-2</v>
      </c>
      <c r="I47" s="93">
        <f>10.12-9.33</f>
        <v>0.78999999999999915</v>
      </c>
      <c r="J47" s="93"/>
    </row>
    <row r="48" spans="1:11" x14ac:dyDescent="0.2">
      <c r="A48" s="523"/>
      <c r="B48" s="526"/>
      <c r="C48" s="77" t="s">
        <v>17</v>
      </c>
      <c r="D48" s="102"/>
      <c r="E48" s="78"/>
      <c r="F48" s="79"/>
      <c r="G48" s="80"/>
      <c r="H48" s="93">
        <f>21.25-1.39</f>
        <v>19.86</v>
      </c>
      <c r="I48" s="93">
        <f>39.73-3.58</f>
        <v>36.15</v>
      </c>
      <c r="J48" s="93"/>
    </row>
    <row r="49" spans="1:10" x14ac:dyDescent="0.2">
      <c r="A49" s="524"/>
      <c r="B49" s="527"/>
      <c r="C49" s="77" t="s">
        <v>18</v>
      </c>
      <c r="D49" s="102"/>
      <c r="E49" s="78"/>
      <c r="F49" s="79"/>
      <c r="G49" s="80"/>
      <c r="H49" s="93">
        <v>16.04</v>
      </c>
      <c r="I49" s="93">
        <v>23.34</v>
      </c>
      <c r="J49" s="93"/>
    </row>
    <row r="50" spans="1:10" s="125" customFormat="1" ht="5.25" customHeight="1" x14ac:dyDescent="0.2">
      <c r="A50" s="84"/>
      <c r="B50" s="94"/>
      <c r="C50" s="85"/>
      <c r="D50" s="86"/>
      <c r="E50" s="86"/>
      <c r="F50" s="87"/>
      <c r="G50" s="80"/>
      <c r="H50" s="87"/>
      <c r="I50" s="88"/>
      <c r="J50" s="88"/>
    </row>
    <row r="51" spans="1:10" x14ac:dyDescent="0.2">
      <c r="A51" s="519" t="s">
        <v>81</v>
      </c>
      <c r="B51" s="514" t="s">
        <v>82</v>
      </c>
      <c r="C51" s="104" t="s">
        <v>56</v>
      </c>
      <c r="D51" s="102"/>
      <c r="E51" s="78"/>
      <c r="F51" s="79"/>
      <c r="G51" s="80"/>
      <c r="H51" s="93">
        <f>45.24+12.18+15.47+YMG!H49+34.82</f>
        <v>127.77000000000001</v>
      </c>
      <c r="I51" s="93">
        <f>10.3+47.79+15.46+YMG!I49+36.05</f>
        <v>130.85000000000002</v>
      </c>
      <c r="J51" s="93"/>
    </row>
    <row r="52" spans="1:10" ht="24" x14ac:dyDescent="0.2">
      <c r="A52" s="520"/>
      <c r="B52" s="518"/>
      <c r="C52" s="104" t="s">
        <v>57</v>
      </c>
      <c r="D52" s="102"/>
      <c r="E52" s="78"/>
      <c r="F52" s="79"/>
      <c r="G52" s="80"/>
      <c r="H52" s="93">
        <f>358+25+YMG!H50+296</f>
        <v>842</v>
      </c>
      <c r="I52" s="93">
        <f>358+25+YMG!I50+295</f>
        <v>840</v>
      </c>
      <c r="J52" s="93"/>
    </row>
    <row r="53" spans="1:10" ht="4.5" customHeight="1" x14ac:dyDescent="0.2">
      <c r="A53" s="520"/>
      <c r="B53" s="84"/>
      <c r="C53" s="85"/>
      <c r="D53" s="86"/>
      <c r="E53" s="86"/>
      <c r="F53" s="87"/>
      <c r="G53" s="80"/>
      <c r="H53" s="87"/>
      <c r="I53" s="88"/>
      <c r="J53" s="88"/>
    </row>
    <row r="54" spans="1:10" x14ac:dyDescent="0.2">
      <c r="A54" s="520"/>
      <c r="B54" s="514" t="s">
        <v>83</v>
      </c>
      <c r="C54" s="104" t="s">
        <v>84</v>
      </c>
      <c r="D54" s="102"/>
      <c r="E54" s="78"/>
      <c r="F54" s="79"/>
      <c r="G54" s="80"/>
      <c r="H54" s="93">
        <f>SUM(H55:H61)+H51</f>
        <v>497.64</v>
      </c>
      <c r="I54" s="93">
        <f>SUM(I55:I61)+I51</f>
        <v>762.94</v>
      </c>
      <c r="J54" s="93"/>
    </row>
    <row r="55" spans="1:10" x14ac:dyDescent="0.2">
      <c r="A55" s="520"/>
      <c r="B55" s="517"/>
      <c r="C55" s="89" t="s">
        <v>14</v>
      </c>
      <c r="D55" s="102"/>
      <c r="E55" s="78"/>
      <c r="F55" s="79"/>
      <c r="G55" s="80"/>
      <c r="H55" s="93">
        <f>58.51+1.89+6.64</f>
        <v>67.039999999999992</v>
      </c>
      <c r="I55" s="93">
        <f>198.28-73.55-3.15-2.69+2.77+3.26</f>
        <v>124.92</v>
      </c>
      <c r="J55" s="93"/>
    </row>
    <row r="56" spans="1:10" x14ac:dyDescent="0.2">
      <c r="A56" s="520"/>
      <c r="B56" s="517"/>
      <c r="C56" s="77" t="s">
        <v>110</v>
      </c>
      <c r="D56" s="102"/>
      <c r="E56" s="78"/>
      <c r="F56" s="79"/>
      <c r="G56" s="80"/>
      <c r="H56" s="93">
        <f>YMG!H54</f>
        <v>159</v>
      </c>
      <c r="I56" s="93">
        <f>YMG!I54</f>
        <v>158</v>
      </c>
      <c r="J56" s="93"/>
    </row>
    <row r="57" spans="1:10" x14ac:dyDescent="0.2">
      <c r="A57" s="520"/>
      <c r="B57" s="517"/>
      <c r="C57" s="77" t="s">
        <v>111</v>
      </c>
      <c r="D57" s="102"/>
      <c r="E57" s="78"/>
      <c r="F57" s="79"/>
      <c r="G57" s="80"/>
      <c r="H57" s="93">
        <f>YMG!H55</f>
        <v>4</v>
      </c>
      <c r="I57" s="93">
        <f>YMG!I55</f>
        <v>4</v>
      </c>
      <c r="J57" s="93"/>
    </row>
    <row r="58" spans="1:10" x14ac:dyDescent="0.2">
      <c r="A58" s="520"/>
      <c r="B58" s="517"/>
      <c r="C58" s="77" t="s">
        <v>114</v>
      </c>
      <c r="D58" s="102"/>
      <c r="E58" s="78"/>
      <c r="F58" s="79"/>
      <c r="G58" s="80"/>
      <c r="H58" s="93">
        <f>H22-H46-34.82</f>
        <v>135.61000000000001</v>
      </c>
      <c r="I58" s="93">
        <f>I22-I46-36.05</f>
        <v>337.04</v>
      </c>
      <c r="J58" s="93"/>
    </row>
    <row r="59" spans="1:10" x14ac:dyDescent="0.2">
      <c r="A59" s="520"/>
      <c r="B59" s="517"/>
      <c r="C59" s="77" t="s">
        <v>16</v>
      </c>
      <c r="D59" s="102"/>
      <c r="E59" s="78"/>
      <c r="F59" s="79"/>
      <c r="G59" s="80"/>
      <c r="H59" s="93">
        <f>7.64-5.75</f>
        <v>1.8899999999999997</v>
      </c>
      <c r="I59" s="93">
        <f>9.33-6.18</f>
        <v>3.1500000000000004</v>
      </c>
      <c r="J59" s="93"/>
    </row>
    <row r="60" spans="1:10" x14ac:dyDescent="0.2">
      <c r="A60" s="520"/>
      <c r="B60" s="517"/>
      <c r="C60" s="77" t="s">
        <v>17</v>
      </c>
      <c r="D60" s="102"/>
      <c r="E60" s="78"/>
      <c r="F60" s="79"/>
      <c r="G60" s="80"/>
      <c r="H60" s="93">
        <f>1.39-0.77</f>
        <v>0.61999999999999988</v>
      </c>
      <c r="I60" s="93">
        <f>3.58-0.89</f>
        <v>2.69</v>
      </c>
      <c r="J60" s="93"/>
    </row>
    <row r="61" spans="1:10" x14ac:dyDescent="0.2">
      <c r="A61" s="528"/>
      <c r="B61" s="518"/>
      <c r="C61" s="77" t="s">
        <v>18</v>
      </c>
      <c r="D61" s="102"/>
      <c r="E61" s="78"/>
      <c r="F61" s="79"/>
      <c r="G61" s="80"/>
      <c r="H61" s="93">
        <f>YMG!H59</f>
        <v>1.71</v>
      </c>
      <c r="I61" s="93">
        <f>YMG!I59</f>
        <v>2.29</v>
      </c>
      <c r="J61" s="93"/>
    </row>
    <row r="62" spans="1:10" s="125" customFormat="1" ht="5.25" customHeight="1" x14ac:dyDescent="0.2">
      <c r="A62" s="84"/>
      <c r="B62" s="94"/>
      <c r="C62" s="85"/>
      <c r="D62" s="86"/>
      <c r="E62" s="86"/>
      <c r="F62" s="87"/>
      <c r="G62" s="80"/>
      <c r="H62" s="87"/>
      <c r="I62" s="88"/>
      <c r="J62" s="88"/>
    </row>
    <row r="63" spans="1:10" ht="15" customHeight="1" x14ac:dyDescent="0.2">
      <c r="A63" s="529" t="s">
        <v>60</v>
      </c>
      <c r="B63" s="531" t="s">
        <v>86</v>
      </c>
      <c r="C63" s="105" t="s">
        <v>58</v>
      </c>
      <c r="D63" s="102"/>
      <c r="E63" s="78"/>
      <c r="F63" s="79"/>
      <c r="G63" s="80"/>
      <c r="H63" s="79">
        <f>H55+H51</f>
        <v>194.81</v>
      </c>
      <c r="I63" s="79">
        <f>I55+I51</f>
        <v>255.77000000000004</v>
      </c>
      <c r="J63" s="79"/>
    </row>
    <row r="64" spans="1:10" x14ac:dyDescent="0.2">
      <c r="A64" s="530"/>
      <c r="B64" s="532"/>
      <c r="C64" s="105" t="s">
        <v>59</v>
      </c>
      <c r="D64" s="102"/>
      <c r="E64" s="78"/>
      <c r="F64" s="79"/>
      <c r="G64" s="80"/>
      <c r="H64" s="79">
        <f>H63</f>
        <v>194.81</v>
      </c>
      <c r="I64" s="79">
        <f>I63+H64</f>
        <v>450.58000000000004</v>
      </c>
      <c r="J64" s="79"/>
    </row>
    <row r="65" spans="1:10" ht="24" x14ac:dyDescent="0.2">
      <c r="A65" s="530"/>
      <c r="B65" s="509"/>
      <c r="C65" s="105" t="s">
        <v>85</v>
      </c>
      <c r="D65" s="102"/>
      <c r="E65" s="78"/>
      <c r="F65" s="79"/>
      <c r="G65" s="80"/>
      <c r="H65" s="137">
        <f>H64/H4</f>
        <v>0.42981643279498716</v>
      </c>
      <c r="I65" s="137">
        <f>I64/I4</f>
        <v>0.42746281117182755</v>
      </c>
      <c r="J65" s="137"/>
    </row>
    <row r="66" spans="1:10" ht="4.5" customHeight="1" x14ac:dyDescent="0.2">
      <c r="A66" s="530"/>
      <c r="B66" s="106"/>
      <c r="C66" s="85"/>
      <c r="D66" s="86"/>
      <c r="E66" s="86"/>
      <c r="F66" s="87"/>
      <c r="G66" s="80"/>
      <c r="H66" s="87"/>
      <c r="I66" s="88"/>
      <c r="J66" s="88"/>
    </row>
    <row r="67" spans="1:10" ht="24" x14ac:dyDescent="0.2">
      <c r="A67" s="530"/>
      <c r="B67" s="531" t="s">
        <v>87</v>
      </c>
      <c r="C67" s="105" t="s">
        <v>112</v>
      </c>
      <c r="D67" s="102"/>
      <c r="E67" s="78"/>
      <c r="F67" s="79"/>
      <c r="G67" s="80"/>
      <c r="H67" s="79">
        <v>0.5</v>
      </c>
      <c r="I67" s="79">
        <v>5.5</v>
      </c>
      <c r="J67" s="79"/>
    </row>
    <row r="68" spans="1:10" ht="24" x14ac:dyDescent="0.2">
      <c r="A68" s="530"/>
      <c r="B68" s="532"/>
      <c r="C68" s="105" t="s">
        <v>113</v>
      </c>
      <c r="D68" s="102"/>
      <c r="E68" s="78"/>
      <c r="F68" s="79"/>
      <c r="G68" s="80"/>
      <c r="H68" s="79"/>
      <c r="I68" s="79"/>
      <c r="J68" s="79"/>
    </row>
    <row r="69" spans="1:10" ht="4.5" customHeight="1" x14ac:dyDescent="0.2">
      <c r="A69" s="530"/>
      <c r="B69" s="532"/>
      <c r="C69" s="85"/>
      <c r="D69" s="86"/>
      <c r="E69" s="86"/>
      <c r="F69" s="87"/>
      <c r="G69" s="80"/>
      <c r="H69" s="87"/>
      <c r="I69" s="88"/>
      <c r="J69" s="88"/>
    </row>
    <row r="70" spans="1:10" ht="24" x14ac:dyDescent="0.2">
      <c r="A70" s="530"/>
      <c r="B70" s="532"/>
      <c r="C70" s="105" t="s">
        <v>115</v>
      </c>
      <c r="D70" s="102"/>
      <c r="E70" s="78"/>
      <c r="F70" s="79"/>
      <c r="G70" s="80"/>
      <c r="H70" s="79"/>
      <c r="I70" s="79"/>
      <c r="J70" s="79"/>
    </row>
    <row r="71" spans="1:10" ht="24" x14ac:dyDescent="0.2">
      <c r="A71" s="530"/>
      <c r="B71" s="532"/>
      <c r="C71" s="105" t="s">
        <v>116</v>
      </c>
      <c r="D71" s="102"/>
      <c r="E71" s="78"/>
      <c r="F71" s="79"/>
      <c r="G71" s="80"/>
      <c r="H71" s="79"/>
      <c r="I71" s="79"/>
      <c r="J71" s="79"/>
    </row>
    <row r="72" spans="1:10" ht="4.5" customHeight="1" x14ac:dyDescent="0.2">
      <c r="A72" s="530"/>
      <c r="B72" s="532"/>
      <c r="C72" s="85"/>
      <c r="D72" s="86"/>
      <c r="E72" s="86"/>
      <c r="F72" s="87"/>
      <c r="G72" s="80"/>
      <c r="H72" s="87"/>
      <c r="I72" s="88"/>
      <c r="J72" s="88"/>
    </row>
    <row r="73" spans="1:10" x14ac:dyDescent="0.2">
      <c r="A73" s="530"/>
      <c r="B73" s="532"/>
      <c r="C73" s="105" t="s">
        <v>88</v>
      </c>
      <c r="D73" s="102"/>
      <c r="E73" s="78"/>
      <c r="F73" s="79"/>
      <c r="G73" s="80"/>
      <c r="H73" s="79"/>
      <c r="I73" s="79"/>
      <c r="J73" s="79"/>
    </row>
    <row r="74" spans="1:10" ht="24" x14ac:dyDescent="0.2">
      <c r="A74" s="530"/>
      <c r="B74" s="509"/>
      <c r="C74" s="105" t="s">
        <v>89</v>
      </c>
      <c r="D74" s="102"/>
      <c r="E74" s="78"/>
      <c r="F74" s="79"/>
      <c r="G74" s="80"/>
      <c r="H74" s="103">
        <v>8.1999999999999993</v>
      </c>
      <c r="I74" s="103">
        <v>21</v>
      </c>
      <c r="J74" s="103"/>
    </row>
    <row r="75" spans="1:10" s="125" customFormat="1" ht="5.25" customHeight="1" x14ac:dyDescent="0.2">
      <c r="A75" s="84"/>
      <c r="B75" s="94"/>
      <c r="C75" s="85"/>
      <c r="D75" s="86"/>
      <c r="E75" s="86"/>
      <c r="F75" s="87"/>
      <c r="G75" s="80"/>
      <c r="H75" s="87"/>
      <c r="I75" s="88"/>
      <c r="J75" s="88"/>
    </row>
    <row r="76" spans="1:10" ht="24" x14ac:dyDescent="0.2">
      <c r="A76" s="533" t="s">
        <v>32</v>
      </c>
      <c r="B76" s="534"/>
      <c r="C76" s="107" t="s">
        <v>33</v>
      </c>
      <c r="D76" s="102"/>
      <c r="E76" s="102"/>
      <c r="F76" s="102"/>
      <c r="G76" s="108"/>
      <c r="H76" s="109">
        <f>(+H9+H10+H14+H15)/H52</f>
        <v>0.14838479809976249</v>
      </c>
      <c r="I76" s="109">
        <f>(+I9+I10+I14+I15)/I52</f>
        <v>0.18570238095238095</v>
      </c>
      <c r="J76" s="109"/>
    </row>
    <row r="77" spans="1:10" x14ac:dyDescent="0.2">
      <c r="A77" s="535"/>
      <c r="B77" s="536"/>
      <c r="C77" s="107" t="s">
        <v>34</v>
      </c>
      <c r="D77" s="102"/>
      <c r="E77" s="102"/>
      <c r="F77" s="102"/>
      <c r="G77" s="108"/>
      <c r="H77" s="109">
        <f>+(H10+H14+H15)/H51</f>
        <v>0.42396493699616494</v>
      </c>
      <c r="I77" s="109">
        <f>+(I10+I14+I15)/I51</f>
        <v>0.60114635078333956</v>
      </c>
      <c r="J77" s="109"/>
    </row>
    <row r="78" spans="1:10" s="125" customFormat="1" ht="5.25" customHeight="1" x14ac:dyDescent="0.2">
      <c r="A78" s="84"/>
      <c r="B78" s="94"/>
      <c r="C78" s="85"/>
      <c r="D78" s="86"/>
      <c r="E78" s="86"/>
      <c r="F78" s="87"/>
      <c r="G78" s="80"/>
      <c r="H78" s="87"/>
      <c r="I78" s="88"/>
      <c r="J78" s="88"/>
    </row>
    <row r="79" spans="1:10" ht="15" customHeight="1" x14ac:dyDescent="0.2">
      <c r="A79" s="130" t="s">
        <v>35</v>
      </c>
      <c r="B79" s="130"/>
      <c r="C79" s="130"/>
      <c r="D79" s="127"/>
      <c r="E79" s="127"/>
      <c r="F79" s="131"/>
      <c r="G79" s="129"/>
      <c r="H79" s="127"/>
      <c r="I79" s="127"/>
      <c r="J79" s="127"/>
    </row>
    <row r="80" spans="1:10" s="125" customFormat="1" ht="5.25" customHeight="1" x14ac:dyDescent="0.2">
      <c r="A80" s="84"/>
      <c r="B80" s="94"/>
      <c r="C80" s="85"/>
      <c r="D80" s="86"/>
      <c r="E80" s="86"/>
      <c r="F80" s="87"/>
      <c r="G80" s="80"/>
      <c r="H80" s="87"/>
      <c r="I80" s="88"/>
      <c r="J80" s="88"/>
    </row>
    <row r="81" spans="1:10" ht="24" customHeight="1" x14ac:dyDescent="0.2">
      <c r="A81" s="537" t="s">
        <v>103</v>
      </c>
      <c r="B81" s="538"/>
      <c r="C81" s="110" t="s">
        <v>96</v>
      </c>
      <c r="D81" s="78"/>
      <c r="E81" s="78"/>
      <c r="F81" s="79"/>
      <c r="G81" s="80"/>
      <c r="H81" s="111"/>
      <c r="I81" s="111"/>
      <c r="J81" s="111"/>
    </row>
    <row r="82" spans="1:10" ht="24" x14ac:dyDescent="0.2">
      <c r="A82" s="539"/>
      <c r="B82" s="540"/>
      <c r="C82" s="110" t="s">
        <v>97</v>
      </c>
      <c r="D82" s="78"/>
      <c r="E82" s="78"/>
      <c r="F82" s="79"/>
      <c r="G82" s="80"/>
      <c r="H82" s="79">
        <v>0</v>
      </c>
      <c r="I82" s="79">
        <v>1</v>
      </c>
      <c r="J82" s="79"/>
    </row>
    <row r="83" spans="1:10" ht="24" customHeight="1" x14ac:dyDescent="0.2">
      <c r="A83" s="541"/>
      <c r="B83" s="542"/>
      <c r="C83" s="110" t="s">
        <v>98</v>
      </c>
      <c r="D83" s="78"/>
      <c r="E83" s="78"/>
      <c r="F83" s="79"/>
      <c r="G83" s="80"/>
      <c r="H83" s="79">
        <v>0</v>
      </c>
      <c r="I83" s="79">
        <v>90</v>
      </c>
      <c r="J83" s="79"/>
    </row>
    <row r="84" spans="1:10" s="132" customFormat="1" ht="5.25" customHeight="1" x14ac:dyDescent="0.2">
      <c r="A84" s="112"/>
      <c r="B84" s="112"/>
      <c r="C84" s="113"/>
      <c r="D84" s="113"/>
      <c r="E84" s="113"/>
      <c r="F84" s="114"/>
      <c r="G84" s="80"/>
      <c r="H84" s="114"/>
      <c r="I84" s="80"/>
      <c r="J84" s="80"/>
    </row>
    <row r="85" spans="1:10" ht="27.75" customHeight="1" x14ac:dyDescent="0.2">
      <c r="A85" s="512" t="s">
        <v>91</v>
      </c>
      <c r="B85" s="512"/>
      <c r="C85" s="98" t="s">
        <v>92</v>
      </c>
      <c r="D85" s="78"/>
      <c r="E85" s="78"/>
      <c r="F85" s="79"/>
      <c r="G85" s="80"/>
      <c r="H85" s="103"/>
      <c r="I85" s="103"/>
      <c r="J85" s="103"/>
    </row>
    <row r="86" spans="1:10" s="125" customFormat="1" ht="5.25" customHeight="1" x14ac:dyDescent="0.2">
      <c r="A86" s="84"/>
      <c r="B86" s="94"/>
      <c r="C86" s="85"/>
      <c r="D86" s="86"/>
      <c r="E86" s="86"/>
      <c r="F86" s="87"/>
      <c r="G86" s="80"/>
      <c r="H86" s="87"/>
      <c r="I86" s="88"/>
      <c r="J86" s="88"/>
    </row>
    <row r="87" spans="1:10" x14ac:dyDescent="0.2">
      <c r="A87" s="543" t="s">
        <v>94</v>
      </c>
      <c r="B87" s="544"/>
      <c r="C87" s="110" t="s">
        <v>95</v>
      </c>
      <c r="D87" s="78"/>
      <c r="E87" s="78"/>
      <c r="F87" s="79"/>
      <c r="G87" s="80"/>
      <c r="H87" s="79"/>
      <c r="I87" s="79"/>
      <c r="J87" s="79"/>
    </row>
    <row r="88" spans="1:10" s="125" customFormat="1" ht="5.25" customHeight="1" x14ac:dyDescent="0.2">
      <c r="A88" s="84"/>
      <c r="B88" s="94"/>
      <c r="C88" s="85"/>
      <c r="D88" s="86"/>
      <c r="E88" s="86"/>
      <c r="F88" s="87"/>
      <c r="G88" s="80"/>
      <c r="H88" s="87"/>
      <c r="I88" s="88"/>
      <c r="J88" s="88"/>
    </row>
    <row r="89" spans="1:10" ht="15" customHeight="1" x14ac:dyDescent="0.2">
      <c r="A89" s="130" t="s">
        <v>104</v>
      </c>
      <c r="B89" s="130"/>
      <c r="C89" s="130"/>
      <c r="D89" s="127"/>
      <c r="E89" s="127"/>
      <c r="F89" s="131"/>
      <c r="G89" s="129"/>
      <c r="H89" s="127"/>
      <c r="I89" s="127"/>
      <c r="J89" s="127"/>
    </row>
    <row r="90" spans="1:10" s="125" customFormat="1" ht="5.25" customHeight="1" x14ac:dyDescent="0.2">
      <c r="A90" s="84"/>
      <c r="B90" s="94"/>
      <c r="C90" s="85"/>
      <c r="D90" s="86"/>
      <c r="E90" s="86"/>
      <c r="F90" s="87"/>
      <c r="G90" s="80"/>
      <c r="H90" s="87"/>
      <c r="I90" s="88"/>
      <c r="J90" s="88"/>
    </row>
    <row r="91" spans="1:10" ht="36.75" customHeight="1" x14ac:dyDescent="0.2">
      <c r="A91" s="545" t="s">
        <v>36</v>
      </c>
      <c r="B91" s="545" t="s">
        <v>14</v>
      </c>
      <c r="C91" s="115" t="s">
        <v>37</v>
      </c>
      <c r="D91" s="78"/>
      <c r="E91" s="78"/>
      <c r="F91" s="79"/>
      <c r="G91" s="80"/>
      <c r="H91" s="116"/>
      <c r="I91" s="116"/>
      <c r="J91" s="116"/>
    </row>
    <row r="92" spans="1:10" ht="29.25" customHeight="1" x14ac:dyDescent="0.2">
      <c r="A92" s="545"/>
      <c r="B92" s="545"/>
      <c r="C92" s="115" t="s">
        <v>38</v>
      </c>
      <c r="D92" s="78"/>
      <c r="E92" s="78"/>
      <c r="F92" s="79"/>
      <c r="G92" s="80"/>
      <c r="H92" s="116"/>
      <c r="I92" s="116"/>
      <c r="J92" s="116"/>
    </row>
    <row r="93" spans="1:10" x14ac:dyDescent="0.2">
      <c r="A93" s="545"/>
      <c r="B93" s="545" t="s">
        <v>108</v>
      </c>
      <c r="C93" s="115" t="s">
        <v>62</v>
      </c>
      <c r="D93" s="78"/>
      <c r="E93" s="78"/>
      <c r="F93" s="79"/>
      <c r="G93" s="80"/>
      <c r="H93" s="117"/>
      <c r="I93" s="117"/>
      <c r="J93" s="117"/>
    </row>
    <row r="94" spans="1:10" x14ac:dyDescent="0.2">
      <c r="A94" s="545"/>
      <c r="B94" s="545"/>
      <c r="C94" s="115" t="s">
        <v>61</v>
      </c>
      <c r="D94" s="78"/>
      <c r="E94" s="78"/>
      <c r="F94" s="79"/>
      <c r="G94" s="80"/>
      <c r="H94" s="117"/>
      <c r="I94" s="117"/>
      <c r="J94" s="117"/>
    </row>
    <row r="95" spans="1:10" x14ac:dyDescent="0.2">
      <c r="A95" s="545"/>
      <c r="B95" s="545"/>
      <c r="C95" s="115" t="s">
        <v>63</v>
      </c>
      <c r="D95" s="78"/>
      <c r="E95" s="78"/>
      <c r="F95" s="79"/>
      <c r="G95" s="80"/>
      <c r="H95" s="117"/>
      <c r="I95" s="117"/>
      <c r="J95" s="117"/>
    </row>
    <row r="96" spans="1:10" x14ac:dyDescent="0.2">
      <c r="A96" s="545"/>
      <c r="B96" s="545" t="s">
        <v>15</v>
      </c>
      <c r="C96" s="115" t="s">
        <v>39</v>
      </c>
      <c r="D96" s="78"/>
      <c r="E96" s="78"/>
      <c r="F96" s="79"/>
      <c r="G96" s="80"/>
      <c r="H96" s="79"/>
      <c r="I96" s="79"/>
      <c r="J96" s="79"/>
    </row>
    <row r="97" spans="1:10" x14ac:dyDescent="0.2">
      <c r="A97" s="545"/>
      <c r="B97" s="545"/>
      <c r="C97" s="115" t="s">
        <v>40</v>
      </c>
      <c r="D97" s="78"/>
      <c r="E97" s="78"/>
      <c r="F97" s="79"/>
      <c r="G97" s="80"/>
      <c r="H97" s="79"/>
      <c r="I97" s="79"/>
      <c r="J97" s="79"/>
    </row>
    <row r="98" spans="1:10" x14ac:dyDescent="0.2">
      <c r="A98" s="545"/>
      <c r="B98" s="545" t="s">
        <v>41</v>
      </c>
      <c r="C98" s="115" t="s">
        <v>64</v>
      </c>
      <c r="D98" s="78"/>
      <c r="E98" s="78"/>
      <c r="F98" s="79"/>
      <c r="G98" s="80"/>
      <c r="H98" s="103">
        <f>70*30</f>
        <v>2100</v>
      </c>
      <c r="I98" s="103">
        <f>70*31</f>
        <v>2170</v>
      </c>
      <c r="J98" s="103"/>
    </row>
    <row r="99" spans="1:10" x14ac:dyDescent="0.2">
      <c r="A99" s="545"/>
      <c r="B99" s="545"/>
      <c r="C99" s="115" t="s">
        <v>65</v>
      </c>
      <c r="D99" s="78"/>
      <c r="E99" s="78"/>
      <c r="F99" s="79"/>
      <c r="G99" s="80"/>
      <c r="H99" s="103"/>
      <c r="I99" s="103"/>
      <c r="J99" s="103"/>
    </row>
    <row r="100" spans="1:10" x14ac:dyDescent="0.2">
      <c r="A100" s="545"/>
      <c r="B100" s="545"/>
      <c r="C100" s="115" t="s">
        <v>66</v>
      </c>
      <c r="D100" s="78"/>
      <c r="E100" s="78"/>
      <c r="F100" s="79"/>
      <c r="G100" s="80"/>
      <c r="H100" s="103"/>
      <c r="I100" s="103"/>
      <c r="J100" s="103"/>
    </row>
    <row r="101" spans="1:10" x14ac:dyDescent="0.2">
      <c r="A101" s="545"/>
      <c r="B101" s="545"/>
      <c r="C101" s="115" t="s">
        <v>67</v>
      </c>
      <c r="D101" s="78"/>
      <c r="E101" s="78"/>
      <c r="F101" s="79"/>
      <c r="G101" s="80"/>
      <c r="H101" s="118">
        <f>(H98-782)/H98</f>
        <v>0.62761904761904763</v>
      </c>
      <c r="I101" s="118">
        <f>(I98-752)/I98</f>
        <v>0.65345622119815672</v>
      </c>
      <c r="J101" s="118"/>
    </row>
    <row r="102" spans="1:10" s="132" customFormat="1" ht="5.25" customHeight="1" x14ac:dyDescent="0.2">
      <c r="A102" s="112"/>
      <c r="B102" s="112"/>
      <c r="C102" s="113"/>
      <c r="D102" s="113"/>
      <c r="E102" s="113"/>
      <c r="F102" s="114"/>
      <c r="G102" s="80"/>
      <c r="H102" s="114"/>
      <c r="I102" s="80"/>
      <c r="J102" s="80"/>
    </row>
    <row r="103" spans="1:10" ht="48" customHeight="1" x14ac:dyDescent="0.2">
      <c r="A103" s="546" t="s">
        <v>101</v>
      </c>
      <c r="B103" s="546"/>
      <c r="C103" s="110" t="s">
        <v>102</v>
      </c>
      <c r="D103" s="78"/>
      <c r="E103" s="78"/>
      <c r="F103" s="79"/>
      <c r="G103" s="80"/>
      <c r="H103" s="79"/>
      <c r="I103" s="79"/>
      <c r="J103" s="79"/>
    </row>
    <row r="104" spans="1:10" ht="48" customHeight="1" x14ac:dyDescent="0.2">
      <c r="A104" s="546"/>
      <c r="B104" s="546"/>
      <c r="C104" s="110" t="s">
        <v>99</v>
      </c>
      <c r="D104" s="78"/>
      <c r="E104" s="78"/>
      <c r="F104" s="79"/>
      <c r="G104" s="80"/>
      <c r="H104" s="79"/>
      <c r="I104" s="79"/>
      <c r="J104" s="79"/>
    </row>
    <row r="105" spans="1:10" ht="24" customHeight="1" x14ac:dyDescent="0.2">
      <c r="A105" s="546"/>
      <c r="B105" s="546"/>
      <c r="C105" s="110" t="s">
        <v>100</v>
      </c>
      <c r="D105" s="78"/>
      <c r="E105" s="78"/>
      <c r="F105" s="79"/>
      <c r="G105" s="80"/>
      <c r="H105" s="79"/>
      <c r="I105" s="79"/>
      <c r="J105" s="79"/>
    </row>
    <row r="106" spans="1:10" s="132" customFormat="1" ht="5.25" customHeight="1" x14ac:dyDescent="0.2">
      <c r="A106" s="112"/>
      <c r="B106" s="112"/>
      <c r="C106" s="113"/>
      <c r="D106" s="113"/>
      <c r="E106" s="113"/>
      <c r="F106" s="114"/>
      <c r="G106" s="80"/>
      <c r="H106" s="114"/>
      <c r="I106" s="80"/>
      <c r="J106" s="80"/>
    </row>
    <row r="107" spans="1:10" ht="22.5" customHeight="1" x14ac:dyDescent="0.2">
      <c r="A107" s="543" t="s">
        <v>106</v>
      </c>
      <c r="B107" s="544"/>
      <c r="C107" s="110" t="s">
        <v>105</v>
      </c>
      <c r="D107" s="78"/>
      <c r="E107" s="78"/>
      <c r="F107" s="79"/>
      <c r="G107" s="80"/>
      <c r="H107" s="79"/>
      <c r="I107" s="79"/>
      <c r="J107" s="79"/>
    </row>
    <row r="108" spans="1:10" s="132" customFormat="1" ht="5.25" customHeight="1" x14ac:dyDescent="0.2">
      <c r="A108" s="112"/>
      <c r="B108" s="112"/>
      <c r="C108" s="113"/>
      <c r="D108" s="113"/>
      <c r="E108" s="113"/>
      <c r="F108" s="114"/>
      <c r="G108" s="80"/>
      <c r="H108" s="114"/>
      <c r="I108" s="80"/>
      <c r="J108" s="80"/>
    </row>
    <row r="109" spans="1:10" ht="15" customHeight="1" x14ac:dyDescent="0.2">
      <c r="A109" s="133" t="s">
        <v>9</v>
      </c>
      <c r="B109" s="130"/>
      <c r="C109" s="134"/>
      <c r="D109" s="135"/>
      <c r="E109" s="127"/>
      <c r="F109" s="128"/>
      <c r="G109" s="129"/>
      <c r="H109" s="127"/>
      <c r="I109" s="127"/>
      <c r="J109" s="127"/>
    </row>
    <row r="110" spans="1:10" s="132" customFormat="1" ht="5.25" customHeight="1" x14ac:dyDescent="0.2">
      <c r="A110" s="112"/>
      <c r="B110" s="112"/>
      <c r="C110" s="113"/>
      <c r="D110" s="113"/>
      <c r="E110" s="113"/>
      <c r="F110" s="114"/>
      <c r="G110" s="80"/>
      <c r="H110" s="114"/>
      <c r="I110" s="80"/>
      <c r="J110" s="80"/>
    </row>
    <row r="111" spans="1:10" x14ac:dyDescent="0.2">
      <c r="A111" s="547" t="s">
        <v>10</v>
      </c>
      <c r="B111" s="547"/>
      <c r="C111" s="119" t="s">
        <v>68</v>
      </c>
      <c r="D111" s="78"/>
      <c r="E111" s="78"/>
      <c r="F111" s="78"/>
      <c r="G111" s="120"/>
      <c r="H111" s="79"/>
      <c r="I111" s="79"/>
      <c r="J111" s="79"/>
    </row>
    <row r="112" spans="1:10" x14ac:dyDescent="0.2">
      <c r="A112" s="547" t="s">
        <v>42</v>
      </c>
      <c r="B112" s="547"/>
      <c r="C112" s="119" t="s">
        <v>69</v>
      </c>
      <c r="D112" s="78"/>
      <c r="E112" s="78"/>
      <c r="F112" s="78"/>
      <c r="G112" s="120"/>
      <c r="H112" s="79"/>
      <c r="I112" s="79"/>
      <c r="J112" s="79"/>
    </row>
    <row r="113" spans="1:10" ht="48" x14ac:dyDescent="0.2">
      <c r="A113" s="548" t="s">
        <v>43</v>
      </c>
      <c r="B113" s="549"/>
      <c r="C113" s="119" t="s">
        <v>90</v>
      </c>
      <c r="D113" s="78"/>
      <c r="E113" s="78"/>
      <c r="F113" s="78"/>
      <c r="G113" s="120"/>
      <c r="H113" s="79"/>
      <c r="I113" s="79"/>
      <c r="J113" s="79"/>
    </row>
    <row r="114" spans="1:10" x14ac:dyDescent="0.2">
      <c r="A114" s="550"/>
      <c r="B114" s="551"/>
      <c r="C114" s="119" t="s">
        <v>70</v>
      </c>
      <c r="D114" s="78"/>
      <c r="E114" s="78"/>
      <c r="F114" s="78"/>
      <c r="G114" s="120"/>
      <c r="H114" s="79"/>
      <c r="I114" s="79"/>
      <c r="J114" s="79"/>
    </row>
    <row r="115" spans="1:10" x14ac:dyDescent="0.2">
      <c r="A115" s="552"/>
      <c r="B115" s="553"/>
      <c r="C115" s="119" t="s">
        <v>71</v>
      </c>
      <c r="D115" s="78"/>
      <c r="E115" s="78"/>
      <c r="F115" s="78"/>
      <c r="G115" s="120"/>
      <c r="H115" s="79"/>
      <c r="I115" s="79"/>
      <c r="J115" s="79"/>
    </row>
    <row r="116" spans="1:10" x14ac:dyDescent="0.2">
      <c r="A116" s="121"/>
      <c r="B116" s="121"/>
      <c r="C116" s="121"/>
      <c r="D116" s="121"/>
      <c r="E116" s="121"/>
      <c r="F116" s="121"/>
      <c r="G116" s="80"/>
      <c r="H116" s="121"/>
      <c r="I116" s="121"/>
      <c r="J116" s="121"/>
    </row>
    <row r="117" spans="1:10" x14ac:dyDescent="0.2">
      <c r="A117" s="121"/>
      <c r="B117" s="121"/>
      <c r="C117" s="121"/>
      <c r="D117" s="121"/>
      <c r="E117" s="121"/>
      <c r="F117" s="121"/>
      <c r="G117" s="80"/>
      <c r="H117" s="121"/>
      <c r="I117" s="121"/>
      <c r="J117" s="121"/>
    </row>
    <row r="118" spans="1:10" x14ac:dyDescent="0.2">
      <c r="A118" s="122"/>
      <c r="B118" s="122"/>
      <c r="C118" s="122"/>
      <c r="D118" s="122"/>
      <c r="E118" s="122"/>
      <c r="F118" s="122"/>
      <c r="G118" s="123"/>
      <c r="H118" s="122"/>
      <c r="I118" s="122"/>
      <c r="J118" s="122"/>
    </row>
    <row r="119" spans="1:10" x14ac:dyDescent="0.2">
      <c r="A119" s="122"/>
      <c r="B119" s="122"/>
      <c r="C119" s="122"/>
      <c r="D119" s="122"/>
      <c r="E119" s="122"/>
      <c r="F119" s="122"/>
      <c r="G119" s="123"/>
      <c r="H119" s="122"/>
      <c r="I119" s="122"/>
      <c r="J119" s="122"/>
    </row>
    <row r="120" spans="1:10" x14ac:dyDescent="0.2">
      <c r="A120" s="122"/>
      <c r="B120" s="122"/>
      <c r="C120" s="122"/>
      <c r="D120" s="122"/>
      <c r="E120" s="122"/>
      <c r="F120" s="122"/>
      <c r="G120" s="123"/>
      <c r="H120" s="122"/>
      <c r="I120" s="122"/>
      <c r="J120" s="122"/>
    </row>
    <row r="121" spans="1:10" x14ac:dyDescent="0.2">
      <c r="A121" s="122"/>
      <c r="B121" s="122"/>
      <c r="C121" s="122"/>
      <c r="D121" s="122"/>
      <c r="E121" s="122"/>
      <c r="F121" s="122"/>
      <c r="G121" s="123"/>
      <c r="H121" s="122"/>
      <c r="I121" s="122"/>
      <c r="J121" s="122"/>
    </row>
    <row r="122" spans="1:10" x14ac:dyDescent="0.2">
      <c r="A122" s="122"/>
      <c r="B122" s="122"/>
      <c r="C122" s="122"/>
      <c r="D122" s="122"/>
      <c r="E122" s="122"/>
      <c r="F122" s="122"/>
      <c r="G122" s="123"/>
      <c r="H122" s="122"/>
      <c r="I122" s="122"/>
      <c r="J122" s="122"/>
    </row>
    <row r="123" spans="1:10" x14ac:dyDescent="0.2">
      <c r="A123" s="122"/>
      <c r="B123" s="122"/>
      <c r="C123" s="122"/>
      <c r="D123" s="122"/>
      <c r="E123" s="122"/>
      <c r="F123" s="122"/>
      <c r="G123" s="123"/>
      <c r="H123" s="122"/>
      <c r="I123" s="122"/>
      <c r="J123" s="122"/>
    </row>
    <row r="124" spans="1:10" x14ac:dyDescent="0.2">
      <c r="A124" s="122"/>
      <c r="B124" s="122"/>
      <c r="C124" s="122"/>
      <c r="D124" s="122"/>
      <c r="E124" s="122"/>
      <c r="F124" s="122"/>
      <c r="G124" s="123"/>
      <c r="H124" s="122"/>
      <c r="I124" s="122"/>
      <c r="J124" s="122"/>
    </row>
    <row r="125" spans="1:10" x14ac:dyDescent="0.2">
      <c r="A125" s="122"/>
      <c r="B125" s="122"/>
      <c r="C125" s="122"/>
      <c r="D125" s="122"/>
      <c r="E125" s="122"/>
      <c r="F125" s="122"/>
      <c r="G125" s="123"/>
      <c r="H125" s="122"/>
      <c r="I125" s="122"/>
      <c r="J125" s="122"/>
    </row>
    <row r="126" spans="1:10" x14ac:dyDescent="0.2">
      <c r="A126" s="122"/>
      <c r="B126" s="122"/>
      <c r="C126" s="122"/>
      <c r="D126" s="122"/>
      <c r="E126" s="122"/>
      <c r="F126" s="122"/>
      <c r="G126" s="123"/>
      <c r="H126" s="122"/>
      <c r="I126" s="122"/>
      <c r="J126" s="122"/>
    </row>
    <row r="127" spans="1:10" x14ac:dyDescent="0.2">
      <c r="A127" s="122"/>
      <c r="B127" s="122"/>
      <c r="C127" s="122"/>
      <c r="D127" s="122"/>
      <c r="E127" s="122"/>
      <c r="F127" s="122"/>
      <c r="G127" s="123"/>
      <c r="H127" s="122"/>
      <c r="I127" s="122"/>
      <c r="J127" s="122"/>
    </row>
    <row r="128" spans="1:10" x14ac:dyDescent="0.2">
      <c r="A128" s="122"/>
      <c r="B128" s="122"/>
      <c r="C128" s="122"/>
      <c r="D128" s="122"/>
      <c r="E128" s="122"/>
      <c r="F128" s="122"/>
      <c r="G128" s="123"/>
      <c r="H128" s="122"/>
      <c r="I128" s="122"/>
      <c r="J128" s="122"/>
    </row>
    <row r="129" spans="1:10" x14ac:dyDescent="0.2">
      <c r="A129" s="122"/>
      <c r="B129" s="122"/>
      <c r="C129" s="122"/>
      <c r="D129" s="122"/>
      <c r="E129" s="122"/>
      <c r="F129" s="122"/>
      <c r="G129" s="123"/>
      <c r="H129" s="122"/>
      <c r="I129" s="122"/>
      <c r="J129" s="122"/>
    </row>
    <row r="130" spans="1:10" x14ac:dyDescent="0.2">
      <c r="A130" s="122"/>
      <c r="B130" s="122"/>
      <c r="C130" s="122"/>
      <c r="D130" s="122"/>
      <c r="E130" s="122"/>
      <c r="F130" s="122"/>
      <c r="G130" s="123"/>
      <c r="H130" s="122"/>
      <c r="I130" s="122"/>
      <c r="J130" s="122"/>
    </row>
    <row r="131" spans="1:10" x14ac:dyDescent="0.2">
      <c r="A131" s="122"/>
      <c r="B131" s="122"/>
      <c r="C131" s="122"/>
      <c r="D131" s="122"/>
      <c r="E131" s="122"/>
      <c r="F131" s="122"/>
      <c r="G131" s="123"/>
      <c r="H131" s="122"/>
      <c r="I131" s="122"/>
      <c r="J131" s="122"/>
    </row>
    <row r="132" spans="1:10" x14ac:dyDescent="0.2">
      <c r="A132" s="122"/>
      <c r="B132" s="122"/>
      <c r="C132" s="122"/>
      <c r="D132" s="122"/>
      <c r="E132" s="122"/>
      <c r="F132" s="122"/>
      <c r="G132" s="123"/>
      <c r="H132" s="122"/>
      <c r="I132" s="122"/>
      <c r="J132" s="122"/>
    </row>
    <row r="133" spans="1:10" x14ac:dyDescent="0.2">
      <c r="A133" s="122"/>
      <c r="B133" s="122"/>
      <c r="C133" s="122"/>
      <c r="D133" s="122"/>
      <c r="E133" s="122"/>
      <c r="F133" s="122"/>
      <c r="G133" s="123"/>
      <c r="H133" s="122"/>
      <c r="I133" s="122"/>
      <c r="J133" s="122"/>
    </row>
    <row r="134" spans="1:10" x14ac:dyDescent="0.2">
      <c r="A134" s="122"/>
      <c r="B134" s="122"/>
      <c r="C134" s="122"/>
      <c r="D134" s="122"/>
      <c r="E134" s="122"/>
      <c r="F134" s="122"/>
      <c r="G134" s="123"/>
      <c r="H134" s="122"/>
      <c r="I134" s="122"/>
      <c r="J134" s="122"/>
    </row>
    <row r="135" spans="1:10" x14ac:dyDescent="0.2">
      <c r="A135" s="122"/>
      <c r="B135" s="122"/>
      <c r="C135" s="122"/>
      <c r="D135" s="122"/>
      <c r="E135" s="122"/>
      <c r="F135" s="122"/>
      <c r="G135" s="123"/>
      <c r="H135" s="122"/>
      <c r="I135" s="122"/>
      <c r="J135" s="122"/>
    </row>
    <row r="136" spans="1:10" x14ac:dyDescent="0.2">
      <c r="A136" s="122"/>
      <c r="B136" s="122"/>
      <c r="C136" s="122"/>
      <c r="D136" s="122"/>
      <c r="E136" s="122"/>
      <c r="F136" s="122"/>
      <c r="G136" s="123"/>
      <c r="H136" s="122"/>
      <c r="I136" s="122"/>
      <c r="J136" s="122"/>
    </row>
    <row r="137" spans="1:10" x14ac:dyDescent="0.2">
      <c r="A137" s="122"/>
      <c r="B137" s="122"/>
      <c r="C137" s="122"/>
      <c r="D137" s="122"/>
      <c r="E137" s="122"/>
      <c r="F137" s="122"/>
      <c r="G137" s="123"/>
      <c r="H137" s="122"/>
      <c r="I137" s="122"/>
      <c r="J137" s="122"/>
    </row>
    <row r="138" spans="1:10" x14ac:dyDescent="0.2">
      <c r="A138" s="122"/>
      <c r="B138" s="122"/>
      <c r="C138" s="122"/>
      <c r="D138" s="122"/>
      <c r="E138" s="122"/>
      <c r="F138" s="122"/>
      <c r="G138" s="123"/>
      <c r="H138" s="122"/>
      <c r="I138" s="122"/>
      <c r="J138" s="122"/>
    </row>
    <row r="139" spans="1:10" x14ac:dyDescent="0.2">
      <c r="A139" s="122"/>
      <c r="B139" s="122"/>
      <c r="C139" s="122"/>
      <c r="D139" s="122"/>
      <c r="E139" s="122"/>
      <c r="F139" s="122"/>
      <c r="G139" s="123"/>
      <c r="H139" s="122"/>
      <c r="I139" s="122"/>
      <c r="J139" s="122"/>
    </row>
    <row r="140" spans="1:10" x14ac:dyDescent="0.2">
      <c r="A140" s="122"/>
      <c r="B140" s="122"/>
      <c r="C140" s="122"/>
      <c r="D140" s="122"/>
      <c r="E140" s="122"/>
      <c r="F140" s="122"/>
      <c r="G140" s="123"/>
      <c r="H140" s="122"/>
      <c r="I140" s="122"/>
      <c r="J140" s="122"/>
    </row>
    <row r="141" spans="1:10" x14ac:dyDescent="0.2">
      <c r="A141" s="122"/>
      <c r="B141" s="122"/>
      <c r="C141" s="122"/>
      <c r="D141" s="122"/>
      <c r="E141" s="122"/>
      <c r="F141" s="122"/>
      <c r="G141" s="123"/>
      <c r="H141" s="122"/>
      <c r="I141" s="122"/>
      <c r="J141" s="122"/>
    </row>
    <row r="142" spans="1:10" x14ac:dyDescent="0.2">
      <c r="A142" s="122"/>
      <c r="B142" s="122"/>
      <c r="C142" s="122"/>
      <c r="D142" s="122"/>
      <c r="E142" s="122"/>
      <c r="F142" s="122"/>
      <c r="G142" s="123"/>
      <c r="H142" s="122"/>
      <c r="I142" s="122"/>
      <c r="J142" s="122"/>
    </row>
    <row r="143" spans="1:10" x14ac:dyDescent="0.2">
      <c r="A143" s="122"/>
      <c r="B143" s="122"/>
      <c r="C143" s="122"/>
      <c r="D143" s="122"/>
      <c r="E143" s="122"/>
      <c r="F143" s="122"/>
      <c r="G143" s="123"/>
      <c r="H143" s="122"/>
      <c r="I143" s="122"/>
      <c r="J143" s="122"/>
    </row>
    <row r="144" spans="1:10" x14ac:dyDescent="0.2">
      <c r="A144" s="122"/>
      <c r="B144" s="122"/>
      <c r="C144" s="122"/>
      <c r="D144" s="122"/>
      <c r="E144" s="122"/>
      <c r="F144" s="122"/>
      <c r="G144" s="123"/>
      <c r="H144" s="122"/>
      <c r="I144" s="122"/>
      <c r="J144" s="122"/>
    </row>
    <row r="145" spans="1:10" x14ac:dyDescent="0.2">
      <c r="A145" s="122"/>
      <c r="B145" s="122"/>
      <c r="C145" s="122"/>
      <c r="D145" s="122"/>
      <c r="E145" s="122"/>
      <c r="F145" s="122"/>
      <c r="G145" s="123"/>
      <c r="H145" s="122"/>
      <c r="I145" s="122"/>
      <c r="J145" s="122"/>
    </row>
    <row r="146" spans="1:10" x14ac:dyDescent="0.2">
      <c r="A146" s="122"/>
      <c r="B146" s="122"/>
      <c r="C146" s="122"/>
      <c r="D146" s="122"/>
      <c r="E146" s="122"/>
      <c r="F146" s="122"/>
      <c r="G146" s="123"/>
      <c r="H146" s="122"/>
      <c r="I146" s="122"/>
      <c r="J146" s="122"/>
    </row>
    <row r="147" spans="1:10" x14ac:dyDescent="0.2">
      <c r="A147" s="122"/>
      <c r="B147" s="122"/>
      <c r="C147" s="122"/>
      <c r="D147" s="122"/>
      <c r="E147" s="122"/>
      <c r="F147" s="122"/>
      <c r="G147" s="123"/>
      <c r="H147" s="122"/>
      <c r="I147" s="122"/>
      <c r="J147" s="122"/>
    </row>
    <row r="148" spans="1:10" x14ac:dyDescent="0.2">
      <c r="A148" s="122"/>
      <c r="B148" s="122"/>
      <c r="C148" s="122"/>
      <c r="D148" s="122"/>
      <c r="E148" s="122"/>
      <c r="F148" s="122"/>
      <c r="G148" s="123"/>
      <c r="H148" s="122"/>
      <c r="I148" s="122"/>
      <c r="J148" s="122"/>
    </row>
    <row r="149" spans="1:10" x14ac:dyDescent="0.2">
      <c r="A149" s="122"/>
      <c r="B149" s="122"/>
      <c r="C149" s="122"/>
      <c r="D149" s="122"/>
      <c r="E149" s="122"/>
      <c r="F149" s="122"/>
      <c r="G149" s="123"/>
      <c r="H149" s="122"/>
      <c r="I149" s="122"/>
      <c r="J149" s="122"/>
    </row>
    <row r="150" spans="1:10" x14ac:dyDescent="0.2">
      <c r="A150" s="122"/>
      <c r="B150" s="122"/>
      <c r="C150" s="122"/>
      <c r="D150" s="122"/>
      <c r="E150" s="122"/>
      <c r="F150" s="122"/>
      <c r="G150" s="123"/>
      <c r="H150" s="122"/>
      <c r="I150" s="122"/>
      <c r="J150" s="122"/>
    </row>
    <row r="151" spans="1:10" x14ac:dyDescent="0.2">
      <c r="A151" s="122"/>
      <c r="B151" s="122"/>
      <c r="C151" s="122"/>
      <c r="D151" s="122"/>
      <c r="E151" s="122"/>
      <c r="F151" s="122"/>
      <c r="G151" s="123"/>
      <c r="H151" s="122"/>
      <c r="I151" s="122"/>
      <c r="J151" s="122"/>
    </row>
    <row r="152" spans="1:10" x14ac:dyDescent="0.2">
      <c r="A152" s="122"/>
      <c r="B152" s="122"/>
      <c r="C152" s="122"/>
      <c r="D152" s="122"/>
      <c r="E152" s="122"/>
      <c r="F152" s="122"/>
      <c r="G152" s="123"/>
      <c r="H152" s="122"/>
      <c r="I152" s="122"/>
      <c r="J152" s="122"/>
    </row>
    <row r="153" spans="1:10" x14ac:dyDescent="0.2">
      <c r="A153" s="122"/>
      <c r="B153" s="122"/>
      <c r="C153" s="122"/>
      <c r="D153" s="122"/>
      <c r="E153" s="122"/>
      <c r="F153" s="122"/>
      <c r="G153" s="123"/>
      <c r="H153" s="122"/>
      <c r="I153" s="122"/>
      <c r="J153" s="122"/>
    </row>
    <row r="154" spans="1:10" x14ac:dyDescent="0.2">
      <c r="A154" s="122"/>
      <c r="B154" s="122"/>
      <c r="C154" s="122"/>
      <c r="D154" s="122"/>
      <c r="E154" s="122"/>
      <c r="F154" s="122"/>
      <c r="G154" s="123"/>
      <c r="H154" s="122"/>
      <c r="I154" s="122"/>
      <c r="J154" s="122"/>
    </row>
    <row r="155" spans="1:10" x14ac:dyDescent="0.2">
      <c r="A155" s="122"/>
      <c r="B155" s="122"/>
      <c r="C155" s="122"/>
      <c r="D155" s="122"/>
      <c r="E155" s="122"/>
      <c r="F155" s="122"/>
      <c r="G155" s="123"/>
      <c r="H155" s="122"/>
      <c r="I155" s="122"/>
      <c r="J155" s="122"/>
    </row>
    <row r="156" spans="1:10" x14ac:dyDescent="0.2">
      <c r="A156" s="122"/>
      <c r="B156" s="122"/>
      <c r="C156" s="122"/>
      <c r="D156" s="122"/>
      <c r="E156" s="122"/>
      <c r="F156" s="122"/>
      <c r="G156" s="123"/>
      <c r="H156" s="122"/>
      <c r="I156" s="122"/>
      <c r="J156" s="122"/>
    </row>
    <row r="157" spans="1:10" x14ac:dyDescent="0.2">
      <c r="A157" s="122"/>
      <c r="B157" s="122"/>
      <c r="C157" s="122"/>
      <c r="D157" s="122"/>
      <c r="E157" s="122"/>
      <c r="F157" s="122"/>
      <c r="G157" s="123"/>
      <c r="H157" s="122"/>
      <c r="I157" s="122"/>
      <c r="J157" s="122"/>
    </row>
  </sheetData>
  <mergeCells count="29">
    <mergeCell ref="A103:B105"/>
    <mergeCell ref="A107:B107"/>
    <mergeCell ref="A111:B111"/>
    <mergeCell ref="A112:B112"/>
    <mergeCell ref="A113:B115"/>
    <mergeCell ref="A87:B87"/>
    <mergeCell ref="A91:A101"/>
    <mergeCell ref="B91:B92"/>
    <mergeCell ref="B93:B95"/>
    <mergeCell ref="B96:B97"/>
    <mergeCell ref="B98:B101"/>
    <mergeCell ref="A85:B85"/>
    <mergeCell ref="A32:B38"/>
    <mergeCell ref="A41:A49"/>
    <mergeCell ref="B43:B49"/>
    <mergeCell ref="A51:A61"/>
    <mergeCell ref="B51:B52"/>
    <mergeCell ref="B54:B61"/>
    <mergeCell ref="A63:A74"/>
    <mergeCell ref="B63:B65"/>
    <mergeCell ref="B67:B74"/>
    <mergeCell ref="A76:B77"/>
    <mergeCell ref="A81:B83"/>
    <mergeCell ref="A27:B30"/>
    <mergeCell ref="A1:B1"/>
    <mergeCell ref="A3:A25"/>
    <mergeCell ref="B3:B7"/>
    <mergeCell ref="B9:B16"/>
    <mergeCell ref="B18:B2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5"/>
  <sheetViews>
    <sheetView showGridLines="0" workbookViewId="0">
      <pane xSplit="3" ySplit="2" topLeftCell="G18" activePane="bottomRight" state="frozen"/>
      <selection pane="topRight" activeCell="D1" sqref="D1"/>
      <selection pane="bottomLeft" activeCell="A3" sqref="A3"/>
      <selection pane="bottomRight" activeCell="J34" sqref="J34"/>
    </sheetView>
  </sheetViews>
  <sheetFormatPr defaultRowHeight="15" x14ac:dyDescent="0.25"/>
  <cols>
    <col min="1" max="1" width="18.42578125" style="11" customWidth="1"/>
    <col min="2" max="2" width="25.140625" style="11" customWidth="1"/>
    <col min="3" max="3" width="41.7109375" style="11" customWidth="1"/>
    <col min="4" max="4" width="11" style="11" hidden="1" customWidth="1"/>
    <col min="5" max="5" width="11.5703125" style="11" hidden="1" customWidth="1"/>
    <col min="6" max="6" width="9.5703125" style="11" hidden="1" customWidth="1"/>
    <col min="7" max="7" width="0.85546875" style="44" customWidth="1"/>
    <col min="8" max="8" width="11.42578125" style="11" customWidth="1"/>
    <col min="9" max="10" width="11.85546875" style="11" customWidth="1"/>
    <col min="11" max="16384" width="9.140625" style="11"/>
  </cols>
  <sheetData>
    <row r="1" spans="1:10" x14ac:dyDescent="0.25">
      <c r="A1" s="556" t="s">
        <v>1</v>
      </c>
      <c r="B1" s="556"/>
      <c r="C1" s="72" t="s">
        <v>2</v>
      </c>
      <c r="D1" s="72" t="s">
        <v>3</v>
      </c>
      <c r="E1" s="72" t="s">
        <v>8</v>
      </c>
      <c r="F1" s="64" t="s">
        <v>6</v>
      </c>
      <c r="G1" s="58"/>
      <c r="H1" s="10" t="s">
        <v>11</v>
      </c>
      <c r="I1" s="10" t="s">
        <v>12</v>
      </c>
      <c r="J1" s="10" t="s">
        <v>276</v>
      </c>
    </row>
    <row r="2" spans="1:10" ht="15" customHeight="1" x14ac:dyDescent="0.25">
      <c r="A2" s="25" t="s">
        <v>29</v>
      </c>
      <c r="B2" s="25"/>
      <c r="C2" s="25"/>
      <c r="D2" s="12"/>
      <c r="E2" s="12"/>
      <c r="F2" s="65"/>
      <c r="G2" s="59"/>
      <c r="H2" s="12"/>
      <c r="I2" s="12"/>
      <c r="J2" s="12"/>
    </row>
    <row r="3" spans="1:10" ht="18.75" customHeight="1" x14ac:dyDescent="0.25">
      <c r="A3" s="557" t="s">
        <v>24</v>
      </c>
      <c r="B3" s="560" t="s">
        <v>109</v>
      </c>
      <c r="C3" s="29" t="s">
        <v>13</v>
      </c>
      <c r="D3" s="13"/>
      <c r="E3" s="13"/>
      <c r="F3" s="14"/>
      <c r="G3" s="53"/>
      <c r="H3" s="14"/>
      <c r="I3" s="14"/>
      <c r="J3" s="14"/>
    </row>
    <row r="4" spans="1:10" ht="21.75" customHeight="1" x14ac:dyDescent="0.25">
      <c r="A4" s="557"/>
      <c r="B4" s="560"/>
      <c r="C4" s="29" t="s">
        <v>73</v>
      </c>
      <c r="D4" s="15"/>
      <c r="E4" s="13"/>
      <c r="F4" s="14"/>
      <c r="G4" s="53"/>
      <c r="H4" s="14"/>
      <c r="I4" s="14"/>
      <c r="J4" s="14"/>
    </row>
    <row r="5" spans="1:10" ht="19.5" customHeight="1" x14ac:dyDescent="0.25">
      <c r="A5" s="557"/>
      <c r="B5" s="560"/>
      <c r="C5" s="29" t="s">
        <v>107</v>
      </c>
      <c r="D5" s="15"/>
      <c r="E5" s="13"/>
      <c r="F5" s="14"/>
      <c r="G5" s="53"/>
      <c r="H5" s="14"/>
      <c r="I5" s="14"/>
      <c r="J5" s="14"/>
    </row>
    <row r="6" spans="1:10" ht="22.5" customHeight="1" x14ac:dyDescent="0.25">
      <c r="A6" s="557"/>
      <c r="B6" s="560"/>
      <c r="C6" s="29" t="s">
        <v>72</v>
      </c>
      <c r="D6" s="15"/>
      <c r="E6" s="13"/>
      <c r="F6" s="14"/>
      <c r="G6" s="53"/>
      <c r="H6" s="14"/>
      <c r="I6" s="14"/>
      <c r="J6" s="14"/>
    </row>
    <row r="7" spans="1:10" ht="24.75" customHeight="1" x14ac:dyDescent="0.25">
      <c r="A7" s="557"/>
      <c r="B7" s="561"/>
      <c r="C7" s="42" t="s">
        <v>74</v>
      </c>
      <c r="D7" s="15"/>
      <c r="E7" s="15"/>
      <c r="F7" s="14"/>
      <c r="G7" s="53"/>
      <c r="H7" s="32"/>
      <c r="I7" s="32"/>
      <c r="J7" s="32"/>
    </row>
    <row r="8" spans="1:10" ht="4.5" customHeight="1" x14ac:dyDescent="0.25">
      <c r="A8" s="558"/>
      <c r="B8" s="37"/>
      <c r="C8" s="38"/>
      <c r="D8" s="39"/>
      <c r="E8" s="39"/>
      <c r="F8" s="40"/>
      <c r="G8" s="53"/>
      <c r="H8" s="40"/>
      <c r="I8" s="41"/>
      <c r="J8" s="41"/>
    </row>
    <row r="9" spans="1:10" x14ac:dyDescent="0.25">
      <c r="A9" s="557"/>
      <c r="B9" s="559" t="s">
        <v>76</v>
      </c>
      <c r="C9" s="33" t="s">
        <v>14</v>
      </c>
      <c r="D9" s="34"/>
      <c r="E9" s="35"/>
      <c r="F9" s="14"/>
      <c r="G9" s="53"/>
      <c r="H9" s="36">
        <v>0</v>
      </c>
      <c r="I9" s="36">
        <v>0</v>
      </c>
      <c r="J9" s="36">
        <v>0</v>
      </c>
    </row>
    <row r="10" spans="1:10" x14ac:dyDescent="0.25">
      <c r="A10" s="557"/>
      <c r="B10" s="562"/>
      <c r="C10" s="29" t="s">
        <v>110</v>
      </c>
      <c r="D10" s="15"/>
      <c r="E10" s="13"/>
      <c r="F10" s="14"/>
      <c r="G10" s="53"/>
      <c r="H10" s="14">
        <v>16.649999999999999</v>
      </c>
      <c r="I10" s="14">
        <v>25.44</v>
      </c>
      <c r="J10" s="14">
        <v>33.44</v>
      </c>
    </row>
    <row r="11" spans="1:10" x14ac:dyDescent="0.25">
      <c r="A11" s="557"/>
      <c r="B11" s="562"/>
      <c r="C11" s="29" t="s">
        <v>111</v>
      </c>
      <c r="D11" s="15"/>
      <c r="E11" s="13"/>
      <c r="F11" s="14"/>
      <c r="G11" s="53"/>
      <c r="H11" s="14">
        <v>78.290000000000006</v>
      </c>
      <c r="I11" s="14">
        <v>127.32</v>
      </c>
      <c r="J11" s="14">
        <v>97.28</v>
      </c>
    </row>
    <row r="12" spans="1:10" x14ac:dyDescent="0.25">
      <c r="A12" s="557"/>
      <c r="B12" s="562"/>
      <c r="C12" s="29" t="s">
        <v>114</v>
      </c>
      <c r="D12" s="15"/>
      <c r="E12" s="13"/>
      <c r="F12" s="14"/>
      <c r="G12" s="53"/>
      <c r="H12" s="14"/>
      <c r="I12" s="14"/>
      <c r="J12" s="14"/>
    </row>
    <row r="13" spans="1:10" x14ac:dyDescent="0.25">
      <c r="A13" s="557"/>
      <c r="B13" s="562"/>
      <c r="C13" s="29" t="s">
        <v>16</v>
      </c>
      <c r="D13" s="15"/>
      <c r="E13" s="13"/>
      <c r="F13" s="14"/>
      <c r="G13" s="53"/>
      <c r="H13" s="14"/>
      <c r="I13" s="14"/>
      <c r="J13" s="14"/>
    </row>
    <row r="14" spans="1:10" x14ac:dyDescent="0.25">
      <c r="A14" s="557"/>
      <c r="B14" s="562"/>
      <c r="C14" s="29" t="s">
        <v>17</v>
      </c>
      <c r="D14" s="15"/>
      <c r="E14" s="13"/>
      <c r="F14" s="14"/>
      <c r="G14" s="53"/>
      <c r="H14" s="14"/>
      <c r="I14" s="14"/>
      <c r="J14" s="14"/>
    </row>
    <row r="15" spans="1:10" x14ac:dyDescent="0.25">
      <c r="A15" s="557"/>
      <c r="B15" s="563"/>
      <c r="C15" s="29" t="s">
        <v>18</v>
      </c>
      <c r="D15" s="15"/>
      <c r="E15" s="13"/>
      <c r="F15" s="14"/>
      <c r="G15" s="53"/>
      <c r="H15" s="14">
        <v>37.020000000000003</v>
      </c>
      <c r="I15" s="14">
        <v>56.34</v>
      </c>
      <c r="J15" s="14">
        <v>56.83</v>
      </c>
    </row>
    <row r="16" spans="1:10" ht="4.5" customHeight="1" x14ac:dyDescent="0.25">
      <c r="A16" s="557"/>
      <c r="B16" s="37"/>
      <c r="C16" s="38"/>
      <c r="D16" s="39"/>
      <c r="E16" s="39"/>
      <c r="F16" s="40"/>
      <c r="G16" s="53"/>
      <c r="H16" s="40"/>
      <c r="I16" s="41"/>
      <c r="J16" s="41"/>
    </row>
    <row r="17" spans="1:10" x14ac:dyDescent="0.25">
      <c r="A17" s="557"/>
      <c r="B17" s="562" t="s">
        <v>77</v>
      </c>
      <c r="C17" s="29" t="s">
        <v>75</v>
      </c>
      <c r="D17" s="15"/>
      <c r="E17" s="13"/>
      <c r="F17" s="14"/>
      <c r="G17" s="53"/>
      <c r="H17" s="14"/>
      <c r="I17" s="14"/>
      <c r="J17" s="14"/>
    </row>
    <row r="18" spans="1:10" x14ac:dyDescent="0.25">
      <c r="A18" s="557"/>
      <c r="B18" s="562"/>
      <c r="C18" s="29" t="s">
        <v>110</v>
      </c>
      <c r="D18" s="15"/>
      <c r="E18" s="13"/>
      <c r="F18" s="14"/>
      <c r="G18" s="53"/>
      <c r="H18" s="14"/>
      <c r="I18" s="14"/>
      <c r="J18" s="14"/>
    </row>
    <row r="19" spans="1:10" x14ac:dyDescent="0.25">
      <c r="A19" s="557"/>
      <c r="B19" s="562"/>
      <c r="C19" s="29" t="s">
        <v>111</v>
      </c>
      <c r="D19" s="15"/>
      <c r="E19" s="13"/>
      <c r="F19" s="14"/>
      <c r="G19" s="53"/>
      <c r="H19" s="14"/>
      <c r="I19" s="14"/>
      <c r="J19" s="14"/>
    </row>
    <row r="20" spans="1:10" x14ac:dyDescent="0.25">
      <c r="A20" s="557"/>
      <c r="B20" s="562"/>
      <c r="C20" s="29" t="s">
        <v>114</v>
      </c>
      <c r="D20" s="15"/>
      <c r="E20" s="13"/>
      <c r="F20" s="14"/>
      <c r="G20" s="53"/>
      <c r="H20" s="14"/>
      <c r="I20" s="14"/>
      <c r="J20" s="14"/>
    </row>
    <row r="21" spans="1:10" x14ac:dyDescent="0.25">
      <c r="A21" s="557"/>
      <c r="B21" s="562"/>
      <c r="C21" s="29" t="s">
        <v>16</v>
      </c>
      <c r="D21" s="15"/>
      <c r="E21" s="13"/>
      <c r="F21" s="14"/>
      <c r="G21" s="53"/>
      <c r="H21" s="14"/>
      <c r="I21" s="14"/>
      <c r="J21" s="14"/>
    </row>
    <row r="22" spans="1:10" x14ac:dyDescent="0.25">
      <c r="A22" s="557"/>
      <c r="B22" s="562"/>
      <c r="C22" s="29" t="s">
        <v>17</v>
      </c>
      <c r="D22" s="15"/>
      <c r="E22" s="13"/>
      <c r="F22" s="14"/>
      <c r="G22" s="53"/>
      <c r="H22" s="14"/>
      <c r="I22" s="14"/>
      <c r="J22" s="14"/>
    </row>
    <row r="23" spans="1:10" x14ac:dyDescent="0.25">
      <c r="A23" s="559"/>
      <c r="B23" s="562"/>
      <c r="C23" s="42" t="s">
        <v>18</v>
      </c>
      <c r="D23" s="15"/>
      <c r="E23" s="15"/>
      <c r="F23" s="14"/>
      <c r="G23" s="53"/>
      <c r="H23" s="32">
        <v>37.020000000000003</v>
      </c>
      <c r="I23" s="32">
        <v>93.36</v>
      </c>
      <c r="J23" s="32">
        <v>150.21</v>
      </c>
    </row>
    <row r="24" spans="1:10" s="44" customFormat="1" ht="5.25" customHeight="1" x14ac:dyDescent="0.25">
      <c r="A24" s="37"/>
      <c r="B24" s="45"/>
      <c r="C24" s="38"/>
      <c r="D24" s="39"/>
      <c r="E24" s="39"/>
      <c r="F24" s="40"/>
      <c r="G24" s="53"/>
      <c r="H24" s="40"/>
      <c r="I24" s="41"/>
      <c r="J24" s="41"/>
    </row>
    <row r="25" spans="1:10" x14ac:dyDescent="0.25">
      <c r="A25" s="554" t="s">
        <v>25</v>
      </c>
      <c r="B25" s="554"/>
      <c r="C25" s="43" t="s">
        <v>21</v>
      </c>
      <c r="D25" s="34"/>
      <c r="E25" s="35"/>
      <c r="F25" s="14"/>
      <c r="G25" s="53"/>
      <c r="H25" s="36"/>
      <c r="I25" s="36"/>
      <c r="J25" s="36"/>
    </row>
    <row r="26" spans="1:10" x14ac:dyDescent="0.25">
      <c r="A26" s="555"/>
      <c r="B26" s="555"/>
      <c r="C26" s="22" t="s">
        <v>19</v>
      </c>
      <c r="D26" s="15"/>
      <c r="E26" s="13"/>
      <c r="F26" s="14"/>
      <c r="G26" s="53"/>
      <c r="H26" s="14">
        <v>83.59</v>
      </c>
      <c r="I26" s="14">
        <v>136.61000000000001</v>
      </c>
      <c r="J26" s="14">
        <v>106.33</v>
      </c>
    </row>
    <row r="27" spans="1:10" x14ac:dyDescent="0.25">
      <c r="A27" s="555"/>
      <c r="B27" s="555"/>
      <c r="C27" s="22" t="s">
        <v>20</v>
      </c>
      <c r="D27" s="15"/>
      <c r="E27" s="13"/>
      <c r="F27" s="14"/>
      <c r="G27" s="53"/>
      <c r="H27" s="14">
        <v>7.67</v>
      </c>
      <c r="I27" s="14">
        <v>10.55</v>
      </c>
      <c r="J27" s="14">
        <v>9.58</v>
      </c>
    </row>
    <row r="28" spans="1:10" x14ac:dyDescent="0.25">
      <c r="A28" s="555"/>
      <c r="B28" s="555"/>
      <c r="C28" s="22" t="s">
        <v>277</v>
      </c>
      <c r="D28" s="15"/>
      <c r="E28" s="13"/>
      <c r="F28" s="14"/>
      <c r="G28" s="53"/>
      <c r="H28" s="14">
        <f>1.11+10.21</f>
        <v>11.32</v>
      </c>
      <c r="I28" s="14">
        <f>2.39+10.31</f>
        <v>12.700000000000001</v>
      </c>
      <c r="J28" s="14">
        <f>3.81+11.6</f>
        <v>15.41</v>
      </c>
    </row>
    <row r="29" spans="1:10" s="44" customFormat="1" ht="5.25" customHeight="1" x14ac:dyDescent="0.25">
      <c r="A29" s="37"/>
      <c r="B29" s="45"/>
      <c r="C29" s="38"/>
      <c r="D29" s="39"/>
      <c r="E29" s="39"/>
      <c r="F29" s="40"/>
      <c r="G29" s="53"/>
      <c r="H29" s="40"/>
      <c r="I29" s="41"/>
      <c r="J29" s="41"/>
    </row>
    <row r="30" spans="1:10" ht="15" customHeight="1" x14ac:dyDescent="0.25">
      <c r="A30" s="564" t="s">
        <v>28</v>
      </c>
      <c r="B30" s="561"/>
      <c r="C30" s="21" t="s">
        <v>53</v>
      </c>
      <c r="D30" s="15"/>
      <c r="E30" s="13"/>
      <c r="F30" s="14"/>
      <c r="G30" s="53"/>
      <c r="H30" s="14"/>
      <c r="I30" s="14"/>
      <c r="J30" s="14"/>
    </row>
    <row r="31" spans="1:10" x14ac:dyDescent="0.25">
      <c r="A31" s="565"/>
      <c r="B31" s="566"/>
      <c r="C31" s="21" t="s">
        <v>22</v>
      </c>
      <c r="D31" s="15"/>
      <c r="E31" s="13"/>
      <c r="F31" s="14"/>
      <c r="G31" s="53"/>
      <c r="H31" s="14">
        <v>23.65</v>
      </c>
      <c r="I31" s="14">
        <v>58.32</v>
      </c>
      <c r="J31" s="14">
        <v>50.05</v>
      </c>
    </row>
    <row r="32" spans="1:10" x14ac:dyDescent="0.25">
      <c r="A32" s="565"/>
      <c r="B32" s="566"/>
      <c r="C32" s="21" t="s">
        <v>23</v>
      </c>
      <c r="D32" s="15"/>
      <c r="E32" s="13"/>
      <c r="F32" s="14"/>
      <c r="G32" s="53"/>
      <c r="H32" s="14">
        <v>53.41</v>
      </c>
      <c r="I32" s="14">
        <v>78.84</v>
      </c>
      <c r="J32" s="14">
        <v>55.69</v>
      </c>
    </row>
    <row r="33" spans="1:10" x14ac:dyDescent="0.25">
      <c r="A33" s="565"/>
      <c r="B33" s="566"/>
      <c r="C33" s="21" t="s">
        <v>26</v>
      </c>
      <c r="D33" s="15"/>
      <c r="E33" s="13"/>
      <c r="F33" s="14"/>
      <c r="G33" s="53"/>
      <c r="H33" s="14"/>
      <c r="I33" s="14"/>
      <c r="J33" s="14"/>
    </row>
    <row r="34" spans="1:10" x14ac:dyDescent="0.25">
      <c r="A34" s="565"/>
      <c r="B34" s="566"/>
      <c r="C34" s="21" t="s">
        <v>54</v>
      </c>
      <c r="D34" s="15"/>
      <c r="E34" s="13"/>
      <c r="F34" s="14"/>
      <c r="G34" s="53"/>
      <c r="H34" s="14">
        <v>1.38</v>
      </c>
      <c r="I34" s="14">
        <v>1.66</v>
      </c>
      <c r="J34" s="14"/>
    </row>
    <row r="35" spans="1:10" x14ac:dyDescent="0.25">
      <c r="A35" s="565"/>
      <c r="B35" s="566"/>
      <c r="C35" s="21" t="s">
        <v>55</v>
      </c>
      <c r="D35" s="15"/>
      <c r="E35" s="13"/>
      <c r="F35" s="14"/>
      <c r="G35" s="53"/>
      <c r="H35" s="14">
        <v>1.61</v>
      </c>
      <c r="I35" s="14">
        <v>2.2000000000000002</v>
      </c>
      <c r="J35" s="14"/>
    </row>
    <row r="36" spans="1:10" x14ac:dyDescent="0.25">
      <c r="A36" s="565"/>
      <c r="B36" s="566"/>
      <c r="C36" s="21" t="s">
        <v>27</v>
      </c>
      <c r="D36" s="15"/>
      <c r="E36" s="13"/>
      <c r="F36" s="14"/>
      <c r="G36" s="53"/>
      <c r="H36" s="14"/>
      <c r="I36" s="14"/>
      <c r="J36" s="14"/>
    </row>
    <row r="37" spans="1:10" s="44" customFormat="1" ht="5.25" customHeight="1" x14ac:dyDescent="0.25">
      <c r="A37" s="37"/>
      <c r="B37" s="45"/>
      <c r="C37" s="38"/>
      <c r="D37" s="39"/>
      <c r="E37" s="39"/>
      <c r="F37" s="40"/>
      <c r="G37" s="53"/>
      <c r="H37" s="40"/>
      <c r="I37" s="41"/>
      <c r="J37" s="41"/>
    </row>
    <row r="38" spans="1:10" ht="15" customHeight="1" x14ac:dyDescent="0.25">
      <c r="A38" s="24" t="s">
        <v>30</v>
      </c>
      <c r="B38" s="24"/>
      <c r="C38" s="24"/>
      <c r="D38" s="12"/>
      <c r="E38" s="12"/>
      <c r="F38" s="66"/>
      <c r="G38" s="59"/>
      <c r="H38" s="12"/>
      <c r="I38" s="12"/>
      <c r="J38" s="12"/>
    </row>
    <row r="39" spans="1:10" x14ac:dyDescent="0.25">
      <c r="A39" s="567" t="s">
        <v>78</v>
      </c>
      <c r="B39" s="46" t="s">
        <v>79</v>
      </c>
      <c r="C39" s="23" t="s">
        <v>31</v>
      </c>
      <c r="D39" s="16"/>
      <c r="E39" s="13"/>
      <c r="F39" s="14"/>
      <c r="G39" s="53"/>
      <c r="H39" s="14">
        <v>19.82</v>
      </c>
      <c r="I39" s="14">
        <v>39.07</v>
      </c>
      <c r="J39" s="14">
        <v>15.4</v>
      </c>
    </row>
    <row r="40" spans="1:10" ht="4.5" customHeight="1" x14ac:dyDescent="0.25">
      <c r="A40" s="568"/>
      <c r="B40" s="37"/>
      <c r="C40" s="38"/>
      <c r="D40" s="39"/>
      <c r="E40" s="39"/>
      <c r="F40" s="40"/>
      <c r="G40" s="53"/>
      <c r="H40" s="40"/>
      <c r="I40" s="41"/>
      <c r="J40" s="41"/>
    </row>
    <row r="41" spans="1:10" x14ac:dyDescent="0.25">
      <c r="A41" s="568"/>
      <c r="B41" s="570" t="s">
        <v>80</v>
      </c>
      <c r="C41" s="33" t="s">
        <v>14</v>
      </c>
      <c r="D41" s="16"/>
      <c r="E41" s="13"/>
      <c r="F41" s="14"/>
      <c r="G41" s="53"/>
      <c r="H41" s="14"/>
      <c r="I41" s="14"/>
      <c r="J41" s="14"/>
    </row>
    <row r="42" spans="1:10" x14ac:dyDescent="0.25">
      <c r="A42" s="568"/>
      <c r="B42" s="571"/>
      <c r="C42" s="29" t="s">
        <v>110</v>
      </c>
      <c r="D42" s="16"/>
      <c r="E42" s="13"/>
      <c r="F42" s="14"/>
      <c r="G42" s="53"/>
      <c r="H42" s="71">
        <v>16.12</v>
      </c>
      <c r="I42" s="71">
        <v>37</v>
      </c>
      <c r="J42" s="14"/>
    </row>
    <row r="43" spans="1:10" x14ac:dyDescent="0.25">
      <c r="A43" s="568"/>
      <c r="B43" s="571"/>
      <c r="C43" s="29" t="s">
        <v>111</v>
      </c>
      <c r="D43" s="16"/>
      <c r="E43" s="13"/>
      <c r="F43" s="14"/>
      <c r="G43" s="53"/>
      <c r="H43" s="71">
        <v>0.91</v>
      </c>
      <c r="I43" s="71">
        <v>1.88</v>
      </c>
      <c r="J43" s="14"/>
    </row>
    <row r="44" spans="1:10" x14ac:dyDescent="0.25">
      <c r="A44" s="568"/>
      <c r="B44" s="571"/>
      <c r="C44" s="29" t="s">
        <v>114</v>
      </c>
      <c r="D44" s="16"/>
      <c r="E44" s="13"/>
      <c r="F44" s="14"/>
      <c r="G44" s="53"/>
      <c r="H44" s="14"/>
      <c r="I44" s="14"/>
      <c r="J44" s="14"/>
    </row>
    <row r="45" spans="1:10" x14ac:dyDescent="0.25">
      <c r="A45" s="568"/>
      <c r="B45" s="571"/>
      <c r="C45" s="29" t="s">
        <v>16</v>
      </c>
      <c r="D45" s="16"/>
      <c r="E45" s="13"/>
      <c r="F45" s="14"/>
      <c r="G45" s="53"/>
      <c r="H45" s="14"/>
      <c r="I45" s="14"/>
      <c r="J45" s="14"/>
    </row>
    <row r="46" spans="1:10" x14ac:dyDescent="0.25">
      <c r="A46" s="568"/>
      <c r="B46" s="571"/>
      <c r="C46" s="29" t="s">
        <v>17</v>
      </c>
      <c r="D46" s="16"/>
      <c r="E46" s="13"/>
      <c r="F46" s="14"/>
      <c r="G46" s="53"/>
      <c r="H46" s="14"/>
      <c r="I46" s="14"/>
      <c r="J46" s="14"/>
    </row>
    <row r="47" spans="1:10" x14ac:dyDescent="0.25">
      <c r="A47" s="569"/>
      <c r="B47" s="572"/>
      <c r="C47" s="29" t="s">
        <v>18</v>
      </c>
      <c r="D47" s="16"/>
      <c r="E47" s="13"/>
      <c r="F47" s="14"/>
      <c r="G47" s="53"/>
      <c r="H47" s="14">
        <v>16.04</v>
      </c>
      <c r="I47" s="14">
        <v>21.9</v>
      </c>
      <c r="J47" s="14">
        <v>19.72</v>
      </c>
    </row>
    <row r="48" spans="1:10" s="44" customFormat="1" ht="5.25" customHeight="1" x14ac:dyDescent="0.25">
      <c r="A48" s="37"/>
      <c r="B48" s="45"/>
      <c r="C48" s="38"/>
      <c r="D48" s="39"/>
      <c r="E48" s="39"/>
      <c r="F48" s="40"/>
      <c r="G48" s="53"/>
      <c r="H48" s="40"/>
      <c r="I48" s="41"/>
      <c r="J48" s="41"/>
    </row>
    <row r="49" spans="1:10" x14ac:dyDescent="0.25">
      <c r="A49" s="564" t="s">
        <v>81</v>
      </c>
      <c r="B49" s="559" t="s">
        <v>82</v>
      </c>
      <c r="C49" s="47" t="s">
        <v>56</v>
      </c>
      <c r="D49" s="16"/>
      <c r="E49" s="13"/>
      <c r="F49" s="14"/>
      <c r="G49" s="53"/>
      <c r="H49" s="14">
        <v>20.059999999999999</v>
      </c>
      <c r="I49" s="14">
        <v>21.25</v>
      </c>
      <c r="J49" s="14">
        <v>21.22</v>
      </c>
    </row>
    <row r="50" spans="1:10" ht="24" x14ac:dyDescent="0.25">
      <c r="A50" s="565"/>
      <c r="B50" s="563"/>
      <c r="C50" s="47" t="s">
        <v>57</v>
      </c>
      <c r="D50" s="16"/>
      <c r="E50" s="13"/>
      <c r="F50" s="14"/>
      <c r="G50" s="53"/>
      <c r="H50" s="14">
        <v>163</v>
      </c>
      <c r="I50" s="14">
        <v>162</v>
      </c>
      <c r="J50" s="14"/>
    </row>
    <row r="51" spans="1:10" ht="4.5" customHeight="1" x14ac:dyDescent="0.25">
      <c r="A51" s="565"/>
      <c r="B51" s="37"/>
      <c r="C51" s="38"/>
      <c r="D51" s="39"/>
      <c r="E51" s="39"/>
      <c r="F51" s="40"/>
      <c r="G51" s="53"/>
      <c r="H51" s="40"/>
      <c r="I51" s="41"/>
      <c r="J51" s="41"/>
    </row>
    <row r="52" spans="1:10" x14ac:dyDescent="0.25">
      <c r="A52" s="565"/>
      <c r="B52" s="559" t="s">
        <v>83</v>
      </c>
      <c r="C52" s="47" t="s">
        <v>84</v>
      </c>
      <c r="D52" s="16"/>
      <c r="E52" s="13"/>
      <c r="F52" s="14"/>
      <c r="G52" s="53"/>
      <c r="H52" s="14"/>
      <c r="I52" s="14"/>
      <c r="J52" s="14"/>
    </row>
    <row r="53" spans="1:10" x14ac:dyDescent="0.25">
      <c r="A53" s="565"/>
      <c r="B53" s="562"/>
      <c r="C53" s="33" t="s">
        <v>14</v>
      </c>
      <c r="D53" s="16"/>
      <c r="E53" s="13"/>
      <c r="F53" s="14"/>
      <c r="G53" s="53"/>
      <c r="H53" s="14"/>
      <c r="I53" s="14"/>
      <c r="J53" s="14"/>
    </row>
    <row r="54" spans="1:10" x14ac:dyDescent="0.25">
      <c r="A54" s="565"/>
      <c r="B54" s="562"/>
      <c r="C54" s="29" t="s">
        <v>110</v>
      </c>
      <c r="D54" s="16"/>
      <c r="E54" s="13"/>
      <c r="F54" s="14"/>
      <c r="G54" s="53"/>
      <c r="H54" s="14">
        <v>159</v>
      </c>
      <c r="I54" s="14">
        <v>158</v>
      </c>
      <c r="J54" s="14"/>
    </row>
    <row r="55" spans="1:10" x14ac:dyDescent="0.25">
      <c r="A55" s="565"/>
      <c r="B55" s="562"/>
      <c r="C55" s="29" t="s">
        <v>111</v>
      </c>
      <c r="D55" s="16"/>
      <c r="E55" s="13"/>
      <c r="F55" s="14"/>
      <c r="G55" s="53"/>
      <c r="H55" s="14">
        <v>4</v>
      </c>
      <c r="I55" s="14">
        <v>4</v>
      </c>
      <c r="J55" s="14"/>
    </row>
    <row r="56" spans="1:10" x14ac:dyDescent="0.25">
      <c r="A56" s="565"/>
      <c r="B56" s="562"/>
      <c r="C56" s="29" t="s">
        <v>114</v>
      </c>
      <c r="D56" s="16"/>
      <c r="E56" s="13"/>
      <c r="F56" s="14"/>
      <c r="G56" s="53"/>
      <c r="H56" s="14"/>
      <c r="I56" s="14"/>
      <c r="J56" s="14"/>
    </row>
    <row r="57" spans="1:10" x14ac:dyDescent="0.25">
      <c r="A57" s="565"/>
      <c r="B57" s="562"/>
      <c r="C57" s="29" t="s">
        <v>16</v>
      </c>
      <c r="D57" s="16"/>
      <c r="E57" s="13"/>
      <c r="F57" s="14"/>
      <c r="G57" s="53"/>
      <c r="H57" s="14"/>
      <c r="I57" s="14"/>
      <c r="J57" s="14"/>
    </row>
    <row r="58" spans="1:10" x14ac:dyDescent="0.25">
      <c r="A58" s="565"/>
      <c r="B58" s="562"/>
      <c r="C58" s="29" t="s">
        <v>17</v>
      </c>
      <c r="D58" s="16"/>
      <c r="E58" s="13"/>
      <c r="F58" s="14"/>
      <c r="G58" s="53"/>
      <c r="H58" s="14"/>
      <c r="I58" s="14"/>
      <c r="J58" s="14"/>
    </row>
    <row r="59" spans="1:10" x14ac:dyDescent="0.25">
      <c r="A59" s="573"/>
      <c r="B59" s="563"/>
      <c r="C59" s="29" t="s">
        <v>18</v>
      </c>
      <c r="D59" s="16"/>
      <c r="E59" s="13"/>
      <c r="F59" s="14"/>
      <c r="G59" s="53"/>
      <c r="H59" s="14">
        <v>1.71</v>
      </c>
      <c r="I59" s="14">
        <v>2.29</v>
      </c>
      <c r="J59" s="14">
        <v>2.99</v>
      </c>
    </row>
    <row r="60" spans="1:10" s="44" customFormat="1" ht="5.25" customHeight="1" x14ac:dyDescent="0.25">
      <c r="A60" s="37"/>
      <c r="B60" s="45"/>
      <c r="C60" s="38"/>
      <c r="D60" s="39"/>
      <c r="E60" s="39"/>
      <c r="F60" s="40"/>
      <c r="G60" s="53"/>
      <c r="H60" s="40"/>
      <c r="I60" s="41"/>
      <c r="J60" s="41"/>
    </row>
    <row r="61" spans="1:10" ht="15" customHeight="1" x14ac:dyDescent="0.25">
      <c r="A61" s="574" t="s">
        <v>60</v>
      </c>
      <c r="B61" s="576" t="s">
        <v>86</v>
      </c>
      <c r="C61" s="48" t="s">
        <v>58</v>
      </c>
      <c r="D61" s="16"/>
      <c r="E61" s="13"/>
      <c r="F61" s="14"/>
      <c r="G61" s="53"/>
      <c r="H61" s="14"/>
      <c r="I61" s="14"/>
      <c r="J61" s="14"/>
    </row>
    <row r="62" spans="1:10" x14ac:dyDescent="0.25">
      <c r="A62" s="575"/>
      <c r="B62" s="577"/>
      <c r="C62" s="48" t="s">
        <v>59</v>
      </c>
      <c r="D62" s="16"/>
      <c r="E62" s="13"/>
      <c r="F62" s="14"/>
      <c r="G62" s="53"/>
      <c r="H62" s="14"/>
      <c r="I62" s="14"/>
      <c r="J62" s="14"/>
    </row>
    <row r="63" spans="1:10" ht="24" x14ac:dyDescent="0.25">
      <c r="A63" s="575"/>
      <c r="B63" s="554"/>
      <c r="C63" s="48" t="s">
        <v>85</v>
      </c>
      <c r="D63" s="16"/>
      <c r="E63" s="13"/>
      <c r="F63" s="14"/>
      <c r="G63" s="53"/>
      <c r="H63" s="14"/>
      <c r="I63" s="14"/>
      <c r="J63" s="14"/>
    </row>
    <row r="64" spans="1:10" ht="4.5" customHeight="1" x14ac:dyDescent="0.25">
      <c r="A64" s="575"/>
      <c r="B64" s="31"/>
      <c r="C64" s="38"/>
      <c r="D64" s="39"/>
      <c r="E64" s="39"/>
      <c r="F64" s="40"/>
      <c r="G64" s="53"/>
      <c r="H64" s="40"/>
      <c r="I64" s="41"/>
      <c r="J64" s="41"/>
    </row>
    <row r="65" spans="1:10" x14ac:dyDescent="0.25">
      <c r="A65" s="575"/>
      <c r="B65" s="576" t="s">
        <v>87</v>
      </c>
      <c r="C65" s="48" t="s">
        <v>112</v>
      </c>
      <c r="D65" s="16"/>
      <c r="E65" s="13"/>
      <c r="F65" s="14"/>
      <c r="G65" s="53"/>
      <c r="H65" s="14">
        <v>0.5</v>
      </c>
      <c r="I65" s="14">
        <v>5.5</v>
      </c>
      <c r="J65" s="14"/>
    </row>
    <row r="66" spans="1:10" ht="24" x14ac:dyDescent="0.25">
      <c r="A66" s="575"/>
      <c r="B66" s="577"/>
      <c r="C66" s="48" t="s">
        <v>113</v>
      </c>
      <c r="D66" s="16"/>
      <c r="E66" s="13"/>
      <c r="F66" s="14"/>
      <c r="G66" s="53"/>
      <c r="H66" s="14"/>
      <c r="I66" s="14"/>
      <c r="J66" s="14"/>
    </row>
    <row r="67" spans="1:10" ht="4.5" customHeight="1" x14ac:dyDescent="0.25">
      <c r="A67" s="575"/>
      <c r="B67" s="577"/>
      <c r="C67" s="38"/>
      <c r="D67" s="39"/>
      <c r="E67" s="39"/>
      <c r="F67" s="40"/>
      <c r="G67" s="53"/>
      <c r="H67" s="40"/>
      <c r="I67" s="41"/>
      <c r="J67" s="41"/>
    </row>
    <row r="68" spans="1:10" ht="24" x14ac:dyDescent="0.25">
      <c r="A68" s="575"/>
      <c r="B68" s="577"/>
      <c r="C68" s="48" t="s">
        <v>115</v>
      </c>
      <c r="D68" s="16"/>
      <c r="E68" s="13"/>
      <c r="F68" s="14"/>
      <c r="G68" s="53"/>
      <c r="H68" s="14"/>
      <c r="I68" s="14"/>
      <c r="J68" s="14"/>
    </row>
    <row r="69" spans="1:10" ht="24" x14ac:dyDescent="0.25">
      <c r="A69" s="575"/>
      <c r="B69" s="577"/>
      <c r="C69" s="48" t="s">
        <v>116</v>
      </c>
      <c r="D69" s="16"/>
      <c r="E69" s="13"/>
      <c r="F69" s="14"/>
      <c r="G69" s="53"/>
      <c r="H69" s="14"/>
      <c r="I69" s="14"/>
      <c r="J69" s="14"/>
    </row>
    <row r="70" spans="1:10" ht="4.5" customHeight="1" x14ac:dyDescent="0.25">
      <c r="A70" s="575"/>
      <c r="B70" s="577"/>
      <c r="C70" s="38"/>
      <c r="D70" s="39"/>
      <c r="E70" s="39"/>
      <c r="F70" s="40"/>
      <c r="G70" s="53"/>
      <c r="H70" s="40"/>
      <c r="I70" s="41"/>
      <c r="J70" s="41"/>
    </row>
    <row r="71" spans="1:10" x14ac:dyDescent="0.25">
      <c r="A71" s="575"/>
      <c r="B71" s="577"/>
      <c r="C71" s="48" t="s">
        <v>88</v>
      </c>
      <c r="D71" s="16"/>
      <c r="E71" s="13"/>
      <c r="F71" s="14"/>
      <c r="G71" s="53"/>
      <c r="H71" s="14"/>
      <c r="I71" s="14"/>
      <c r="J71" s="14"/>
    </row>
    <row r="72" spans="1:10" ht="24" x14ac:dyDescent="0.25">
      <c r="A72" s="575"/>
      <c r="B72" s="554"/>
      <c r="C72" s="48" t="s">
        <v>89</v>
      </c>
      <c r="D72" s="16"/>
      <c r="E72" s="13"/>
      <c r="F72" s="14"/>
      <c r="G72" s="53"/>
      <c r="H72" s="69">
        <v>8.1999999999999993</v>
      </c>
      <c r="I72" s="69">
        <v>21</v>
      </c>
      <c r="J72" s="69">
        <v>4.18</v>
      </c>
    </row>
    <row r="73" spans="1:10" s="44" customFormat="1" ht="5.25" customHeight="1" x14ac:dyDescent="0.25">
      <c r="A73" s="37"/>
      <c r="B73" s="45"/>
      <c r="C73" s="38"/>
      <c r="D73" s="39"/>
      <c r="E73" s="39"/>
      <c r="F73" s="40"/>
      <c r="G73" s="53"/>
      <c r="H73" s="40"/>
      <c r="I73" s="41"/>
      <c r="J73" s="41"/>
    </row>
    <row r="74" spans="1:10" ht="24" x14ac:dyDescent="0.25">
      <c r="A74" s="578" t="s">
        <v>32</v>
      </c>
      <c r="B74" s="579"/>
      <c r="C74" s="30" t="s">
        <v>33</v>
      </c>
      <c r="D74" s="16"/>
      <c r="E74" s="16"/>
      <c r="F74" s="16"/>
      <c r="G74" s="60"/>
      <c r="H74" s="16"/>
      <c r="I74" s="16"/>
      <c r="J74" s="16"/>
    </row>
    <row r="75" spans="1:10" x14ac:dyDescent="0.25">
      <c r="A75" s="580"/>
      <c r="B75" s="581"/>
      <c r="C75" s="30" t="s">
        <v>34</v>
      </c>
      <c r="D75" s="16"/>
      <c r="E75" s="16"/>
      <c r="F75" s="16"/>
      <c r="G75" s="60"/>
      <c r="H75" s="16"/>
      <c r="I75" s="16"/>
      <c r="J75" s="16"/>
    </row>
    <row r="76" spans="1:10" s="44" customFormat="1" ht="5.25" customHeight="1" x14ac:dyDescent="0.25">
      <c r="A76" s="37"/>
      <c r="B76" s="45"/>
      <c r="C76" s="38"/>
      <c r="D76" s="39"/>
      <c r="E76" s="39"/>
      <c r="F76" s="40"/>
      <c r="G76" s="53"/>
      <c r="H76" s="40"/>
      <c r="I76" s="41"/>
      <c r="J76" s="41"/>
    </row>
    <row r="77" spans="1:10" ht="15" customHeight="1" x14ac:dyDescent="0.25">
      <c r="A77" s="24" t="s">
        <v>35</v>
      </c>
      <c r="B77" s="24"/>
      <c r="C77" s="24"/>
      <c r="D77" s="12"/>
      <c r="E77" s="12"/>
      <c r="F77" s="66"/>
      <c r="G77" s="59"/>
      <c r="H77" s="12"/>
      <c r="I77" s="12"/>
      <c r="J77" s="12"/>
    </row>
    <row r="78" spans="1:10" s="44" customFormat="1" ht="5.25" customHeight="1" x14ac:dyDescent="0.25">
      <c r="A78" s="37"/>
      <c r="B78" s="45"/>
      <c r="C78" s="38"/>
      <c r="D78" s="39"/>
      <c r="E78" s="39"/>
      <c r="F78" s="40"/>
      <c r="G78" s="53"/>
      <c r="H78" s="40"/>
      <c r="I78" s="41"/>
      <c r="J78" s="41"/>
    </row>
    <row r="79" spans="1:10" ht="24" customHeight="1" x14ac:dyDescent="0.25">
      <c r="A79" s="582" t="s">
        <v>103</v>
      </c>
      <c r="B79" s="583"/>
      <c r="C79" s="52" t="s">
        <v>96</v>
      </c>
      <c r="D79" s="13"/>
      <c r="E79" s="13"/>
      <c r="F79" s="14"/>
      <c r="G79" s="53"/>
      <c r="H79" s="67"/>
      <c r="I79" s="67"/>
      <c r="J79" s="67"/>
    </row>
    <row r="80" spans="1:10" ht="24" x14ac:dyDescent="0.25">
      <c r="A80" s="584"/>
      <c r="B80" s="585"/>
      <c r="C80" s="52" t="s">
        <v>97</v>
      </c>
      <c r="D80" s="13"/>
      <c r="E80" s="13"/>
      <c r="F80" s="14"/>
      <c r="G80" s="53"/>
      <c r="H80" s="14">
        <v>0</v>
      </c>
      <c r="I80" s="14">
        <v>1</v>
      </c>
      <c r="J80" s="14"/>
    </row>
    <row r="81" spans="1:10" ht="24" customHeight="1" x14ac:dyDescent="0.25">
      <c r="A81" s="586"/>
      <c r="B81" s="587"/>
      <c r="C81" s="52" t="s">
        <v>98</v>
      </c>
      <c r="D81" s="13"/>
      <c r="E81" s="13"/>
      <c r="F81" s="14"/>
      <c r="G81" s="53"/>
      <c r="H81" s="14">
        <v>0</v>
      </c>
      <c r="I81" s="14">
        <v>90</v>
      </c>
      <c r="J81" s="14"/>
    </row>
    <row r="82" spans="1:10" s="57" customFormat="1" ht="5.25" customHeight="1" x14ac:dyDescent="0.25">
      <c r="A82" s="55"/>
      <c r="B82" s="55"/>
      <c r="C82" s="56"/>
      <c r="D82" s="56"/>
      <c r="E82" s="56"/>
      <c r="F82" s="54"/>
      <c r="G82" s="53"/>
      <c r="H82" s="54"/>
      <c r="I82" s="53"/>
      <c r="J82" s="53"/>
    </row>
    <row r="83" spans="1:10" x14ac:dyDescent="0.25">
      <c r="A83" s="557" t="s">
        <v>91</v>
      </c>
      <c r="B83" s="557"/>
      <c r="C83" s="21" t="s">
        <v>92</v>
      </c>
      <c r="D83" s="13"/>
      <c r="E83" s="13"/>
      <c r="F83" s="14"/>
      <c r="G83" s="53"/>
      <c r="H83" s="14"/>
      <c r="I83" s="14"/>
      <c r="J83" s="14"/>
    </row>
    <row r="84" spans="1:10" s="44" customFormat="1" ht="5.25" customHeight="1" x14ac:dyDescent="0.25">
      <c r="A84" s="37"/>
      <c r="B84" s="45"/>
      <c r="C84" s="38"/>
      <c r="D84" s="39"/>
      <c r="E84" s="39"/>
      <c r="F84" s="40"/>
      <c r="G84" s="53"/>
      <c r="H84" s="40"/>
      <c r="I84" s="41"/>
      <c r="J84" s="41"/>
    </row>
    <row r="85" spans="1:10" x14ac:dyDescent="0.25">
      <c r="A85" s="588" t="s">
        <v>94</v>
      </c>
      <c r="B85" s="589"/>
      <c r="C85" s="52" t="s">
        <v>95</v>
      </c>
      <c r="D85" s="13"/>
      <c r="E85" s="13"/>
      <c r="F85" s="14"/>
      <c r="G85" s="53"/>
      <c r="H85" s="14"/>
      <c r="I85" s="14"/>
      <c r="J85" s="14"/>
    </row>
    <row r="86" spans="1:10" s="44" customFormat="1" ht="5.25" customHeight="1" x14ac:dyDescent="0.25">
      <c r="A86" s="37"/>
      <c r="B86" s="45"/>
      <c r="C86" s="38"/>
      <c r="D86" s="39"/>
      <c r="E86" s="39"/>
      <c r="F86" s="40"/>
      <c r="G86" s="53"/>
      <c r="H86" s="40"/>
      <c r="I86" s="41"/>
      <c r="J86" s="41"/>
    </row>
    <row r="87" spans="1:10" ht="15" customHeight="1" x14ac:dyDescent="0.25">
      <c r="A87" s="24" t="s">
        <v>104</v>
      </c>
      <c r="B87" s="24"/>
      <c r="C87" s="24"/>
      <c r="D87" s="12"/>
      <c r="E87" s="12"/>
      <c r="F87" s="66"/>
      <c r="G87" s="59"/>
      <c r="H87" s="12"/>
      <c r="I87" s="12"/>
      <c r="J87" s="12"/>
    </row>
    <row r="88" spans="1:10" s="44" customFormat="1" ht="5.25" customHeight="1" x14ac:dyDescent="0.25">
      <c r="A88" s="37"/>
      <c r="B88" s="45"/>
      <c r="C88" s="38"/>
      <c r="D88" s="39"/>
      <c r="E88" s="39"/>
      <c r="F88" s="40"/>
      <c r="G88" s="53"/>
      <c r="H88" s="40"/>
      <c r="I88" s="41"/>
      <c r="J88" s="41"/>
    </row>
    <row r="89" spans="1:10" ht="36.75" customHeight="1" x14ac:dyDescent="0.25">
      <c r="A89" s="590" t="s">
        <v>36</v>
      </c>
      <c r="B89" s="590" t="s">
        <v>14</v>
      </c>
      <c r="C89" s="28" t="s">
        <v>37</v>
      </c>
      <c r="D89" s="13"/>
      <c r="E89" s="13"/>
      <c r="F89" s="14"/>
      <c r="G89" s="53"/>
      <c r="H89" s="14"/>
      <c r="I89" s="14"/>
      <c r="J89" s="14"/>
    </row>
    <row r="90" spans="1:10" ht="29.25" customHeight="1" x14ac:dyDescent="0.25">
      <c r="A90" s="590"/>
      <c r="B90" s="590"/>
      <c r="C90" s="28" t="s">
        <v>38</v>
      </c>
      <c r="D90" s="13"/>
      <c r="E90" s="13"/>
      <c r="F90" s="14"/>
      <c r="G90" s="53"/>
      <c r="H90" s="14"/>
      <c r="I90" s="14"/>
      <c r="J90" s="14"/>
    </row>
    <row r="91" spans="1:10" x14ac:dyDescent="0.25">
      <c r="A91" s="590"/>
      <c r="B91" s="590" t="s">
        <v>108</v>
      </c>
      <c r="C91" s="28" t="s">
        <v>62</v>
      </c>
      <c r="D91" s="13"/>
      <c r="E91" s="13"/>
      <c r="F91" s="14"/>
      <c r="G91" s="53"/>
      <c r="H91" s="68"/>
      <c r="I91" s="68"/>
      <c r="J91" s="68"/>
    </row>
    <row r="92" spans="1:10" x14ac:dyDescent="0.25">
      <c r="A92" s="590"/>
      <c r="B92" s="590"/>
      <c r="C92" s="28" t="s">
        <v>61</v>
      </c>
      <c r="D92" s="13"/>
      <c r="E92" s="13"/>
      <c r="F92" s="14"/>
      <c r="G92" s="53"/>
      <c r="H92" s="68"/>
      <c r="I92" s="68"/>
      <c r="J92" s="68"/>
    </row>
    <row r="93" spans="1:10" x14ac:dyDescent="0.25">
      <c r="A93" s="590"/>
      <c r="B93" s="590"/>
      <c r="C93" s="28" t="s">
        <v>63</v>
      </c>
      <c r="D93" s="13"/>
      <c r="E93" s="13"/>
      <c r="F93" s="14"/>
      <c r="G93" s="53"/>
      <c r="H93" s="68"/>
      <c r="I93" s="68"/>
      <c r="J93" s="68"/>
    </row>
    <row r="94" spans="1:10" x14ac:dyDescent="0.25">
      <c r="A94" s="590"/>
      <c r="B94" s="590" t="s">
        <v>15</v>
      </c>
      <c r="C94" s="28" t="s">
        <v>39</v>
      </c>
      <c r="D94" s="13"/>
      <c r="E94" s="13"/>
      <c r="F94" s="14"/>
      <c r="G94" s="53"/>
      <c r="H94" s="14"/>
      <c r="I94" s="14"/>
      <c r="J94" s="14"/>
    </row>
    <row r="95" spans="1:10" x14ac:dyDescent="0.25">
      <c r="A95" s="590"/>
      <c r="B95" s="590"/>
      <c r="C95" s="28" t="s">
        <v>40</v>
      </c>
      <c r="D95" s="13"/>
      <c r="E95" s="13"/>
      <c r="F95" s="14"/>
      <c r="G95" s="53"/>
      <c r="H95" s="14"/>
      <c r="I95" s="14"/>
      <c r="J95" s="14"/>
    </row>
    <row r="96" spans="1:10" x14ac:dyDescent="0.25">
      <c r="A96" s="590"/>
      <c r="B96" s="590" t="s">
        <v>41</v>
      </c>
      <c r="C96" s="28" t="s">
        <v>64</v>
      </c>
      <c r="D96" s="13"/>
      <c r="E96" s="13"/>
      <c r="F96" s="14"/>
      <c r="G96" s="53"/>
      <c r="H96" s="14"/>
      <c r="I96" s="14"/>
      <c r="J96" s="14"/>
    </row>
    <row r="97" spans="1:10" x14ac:dyDescent="0.25">
      <c r="A97" s="590"/>
      <c r="B97" s="590"/>
      <c r="C97" s="28" t="s">
        <v>65</v>
      </c>
      <c r="D97" s="13"/>
      <c r="E97" s="13"/>
      <c r="F97" s="14"/>
      <c r="G97" s="53"/>
      <c r="H97" s="14"/>
      <c r="I97" s="14"/>
      <c r="J97" s="14"/>
    </row>
    <row r="98" spans="1:10" x14ac:dyDescent="0.25">
      <c r="A98" s="590"/>
      <c r="B98" s="590"/>
      <c r="C98" s="28" t="s">
        <v>66</v>
      </c>
      <c r="D98" s="13"/>
      <c r="E98" s="13"/>
      <c r="F98" s="14"/>
      <c r="G98" s="53"/>
      <c r="H98" s="14"/>
      <c r="I98" s="14"/>
      <c r="J98" s="14"/>
    </row>
    <row r="99" spans="1:10" x14ac:dyDescent="0.25">
      <c r="A99" s="590"/>
      <c r="B99" s="590"/>
      <c r="C99" s="28" t="s">
        <v>67</v>
      </c>
      <c r="D99" s="13"/>
      <c r="E99" s="13"/>
      <c r="F99" s="14"/>
      <c r="G99" s="53"/>
      <c r="H99" s="14"/>
      <c r="I99" s="14"/>
      <c r="J99" s="14"/>
    </row>
    <row r="100" spans="1:10" s="57" customFormat="1" ht="5.25" customHeight="1" x14ac:dyDescent="0.25">
      <c r="A100" s="55"/>
      <c r="B100" s="55"/>
      <c r="C100" s="56"/>
      <c r="D100" s="56"/>
      <c r="E100" s="56"/>
      <c r="F100" s="54"/>
      <c r="G100" s="53"/>
      <c r="H100" s="54"/>
      <c r="I100" s="53"/>
      <c r="J100" s="53"/>
    </row>
    <row r="101" spans="1:10" ht="48" customHeight="1" x14ac:dyDescent="0.25">
      <c r="A101" s="591" t="s">
        <v>101</v>
      </c>
      <c r="B101" s="591"/>
      <c r="C101" s="52" t="s">
        <v>102</v>
      </c>
      <c r="D101" s="13"/>
      <c r="E101" s="13"/>
      <c r="F101" s="14"/>
      <c r="G101" s="53"/>
      <c r="H101" s="14"/>
      <c r="I101" s="14"/>
      <c r="J101" s="14"/>
    </row>
    <row r="102" spans="1:10" ht="48" customHeight="1" x14ac:dyDescent="0.25">
      <c r="A102" s="591"/>
      <c r="B102" s="591"/>
      <c r="C102" s="52" t="s">
        <v>99</v>
      </c>
      <c r="D102" s="13"/>
      <c r="E102" s="13"/>
      <c r="F102" s="14"/>
      <c r="G102" s="53"/>
      <c r="H102" s="14"/>
      <c r="I102" s="14"/>
      <c r="J102" s="14"/>
    </row>
    <row r="103" spans="1:10" ht="24" customHeight="1" x14ac:dyDescent="0.25">
      <c r="A103" s="591"/>
      <c r="B103" s="591"/>
      <c r="C103" s="52" t="s">
        <v>100</v>
      </c>
      <c r="D103" s="13"/>
      <c r="E103" s="13"/>
      <c r="F103" s="14"/>
      <c r="G103" s="53"/>
      <c r="H103" s="14"/>
      <c r="I103" s="14"/>
      <c r="J103" s="14"/>
    </row>
    <row r="104" spans="1:10" s="57" customFormat="1" ht="5.25" customHeight="1" x14ac:dyDescent="0.25">
      <c r="A104" s="55"/>
      <c r="B104" s="55"/>
      <c r="C104" s="56"/>
      <c r="D104" s="56"/>
      <c r="E104" s="56"/>
      <c r="F104" s="54"/>
      <c r="G104" s="53"/>
      <c r="H104" s="54"/>
      <c r="I104" s="53"/>
      <c r="J104" s="53"/>
    </row>
    <row r="105" spans="1:10" x14ac:dyDescent="0.25">
      <c r="A105" s="588" t="s">
        <v>106</v>
      </c>
      <c r="B105" s="589"/>
      <c r="C105" s="52" t="s">
        <v>105</v>
      </c>
      <c r="D105" s="13"/>
      <c r="E105" s="13"/>
      <c r="F105" s="14"/>
      <c r="G105" s="53"/>
      <c r="H105" s="14"/>
      <c r="I105" s="14"/>
      <c r="J105" s="14"/>
    </row>
    <row r="106" spans="1:10" s="57" customFormat="1" ht="5.25" customHeight="1" x14ac:dyDescent="0.25">
      <c r="A106" s="55"/>
      <c r="B106" s="55"/>
      <c r="C106" s="56"/>
      <c r="D106" s="56"/>
      <c r="E106" s="56"/>
      <c r="F106" s="54"/>
      <c r="G106" s="53"/>
      <c r="H106" s="54"/>
      <c r="I106" s="53"/>
      <c r="J106" s="53"/>
    </row>
    <row r="107" spans="1:10" ht="15" customHeight="1" x14ac:dyDescent="0.25">
      <c r="A107" s="26" t="s">
        <v>9</v>
      </c>
      <c r="B107" s="24"/>
      <c r="C107" s="27"/>
      <c r="D107" s="17"/>
      <c r="E107" s="12"/>
      <c r="F107" s="65"/>
      <c r="G107" s="59"/>
      <c r="H107" s="12"/>
      <c r="I107" s="12"/>
      <c r="J107" s="12"/>
    </row>
    <row r="108" spans="1:10" s="57" customFormat="1" ht="5.25" customHeight="1" x14ac:dyDescent="0.25">
      <c r="A108" s="55"/>
      <c r="B108" s="55"/>
      <c r="C108" s="56"/>
      <c r="D108" s="56"/>
      <c r="E108" s="56"/>
      <c r="F108" s="54"/>
      <c r="G108" s="53"/>
      <c r="H108" s="54"/>
      <c r="I108" s="53"/>
      <c r="J108" s="53"/>
    </row>
    <row r="109" spans="1:10" x14ac:dyDescent="0.25">
      <c r="A109" s="592" t="s">
        <v>10</v>
      </c>
      <c r="B109" s="592"/>
      <c r="C109" s="20" t="s">
        <v>68</v>
      </c>
      <c r="D109" s="13"/>
      <c r="E109" s="13"/>
      <c r="F109" s="13"/>
      <c r="G109" s="61"/>
      <c r="H109" s="14"/>
      <c r="I109" s="14"/>
      <c r="J109" s="14"/>
    </row>
    <row r="110" spans="1:10" x14ac:dyDescent="0.25">
      <c r="A110" s="592" t="s">
        <v>42</v>
      </c>
      <c r="B110" s="592"/>
      <c r="C110" s="20" t="s">
        <v>69</v>
      </c>
      <c r="D110" s="13"/>
      <c r="E110" s="13"/>
      <c r="F110" s="13"/>
      <c r="G110" s="61"/>
      <c r="H110" s="14"/>
      <c r="I110" s="14"/>
      <c r="J110" s="14"/>
    </row>
    <row r="111" spans="1:10" ht="48.75" x14ac:dyDescent="0.25">
      <c r="A111" s="469" t="s">
        <v>43</v>
      </c>
      <c r="B111" s="470"/>
      <c r="C111" s="20" t="s">
        <v>90</v>
      </c>
      <c r="D111" s="13"/>
      <c r="E111" s="13"/>
      <c r="F111" s="13"/>
      <c r="G111" s="61"/>
      <c r="H111" s="14"/>
      <c r="I111" s="14"/>
      <c r="J111" s="14"/>
    </row>
    <row r="112" spans="1:10" x14ac:dyDescent="0.25">
      <c r="A112" s="471"/>
      <c r="B112" s="472"/>
      <c r="C112" s="20" t="s">
        <v>70</v>
      </c>
      <c r="D112" s="13"/>
      <c r="E112" s="13"/>
      <c r="F112" s="13"/>
      <c r="G112" s="61"/>
      <c r="H112" s="14"/>
      <c r="I112" s="14"/>
      <c r="J112" s="14"/>
    </row>
    <row r="113" spans="1:10" x14ac:dyDescent="0.25">
      <c r="A113" s="473"/>
      <c r="B113" s="474"/>
      <c r="C113" s="20" t="s">
        <v>71</v>
      </c>
      <c r="D113" s="13"/>
      <c r="E113" s="13"/>
      <c r="F113" s="13"/>
      <c r="G113" s="61"/>
      <c r="H113" s="14"/>
      <c r="I113" s="14"/>
      <c r="J113" s="14"/>
    </row>
    <row r="114" spans="1:10" x14ac:dyDescent="0.25">
      <c r="A114" s="8"/>
      <c r="B114" s="8"/>
      <c r="C114" s="8"/>
      <c r="D114" s="8"/>
      <c r="E114" s="8"/>
      <c r="F114" s="8"/>
      <c r="G114" s="53"/>
      <c r="H114" s="8"/>
      <c r="I114" s="8"/>
      <c r="J114" s="8"/>
    </row>
    <row r="115" spans="1:10" x14ac:dyDescent="0.25">
      <c r="A115" s="8"/>
      <c r="B115" s="8"/>
      <c r="C115" s="8"/>
      <c r="D115" s="8"/>
      <c r="E115" s="8"/>
      <c r="F115" s="8"/>
      <c r="G115" s="53"/>
      <c r="H115" s="8"/>
      <c r="I115" s="8"/>
      <c r="J115" s="8"/>
    </row>
    <row r="116" spans="1:10" x14ac:dyDescent="0.25">
      <c r="A116" s="18"/>
      <c r="B116" s="18"/>
      <c r="C116" s="18"/>
      <c r="D116" s="18"/>
      <c r="E116" s="18"/>
      <c r="F116" s="18"/>
      <c r="G116" s="62"/>
      <c r="H116" s="18"/>
      <c r="I116" s="18"/>
      <c r="J116" s="18"/>
    </row>
    <row r="117" spans="1:10" x14ac:dyDescent="0.25">
      <c r="A117" s="18"/>
      <c r="B117" s="18"/>
      <c r="C117" s="18"/>
      <c r="D117" s="18"/>
      <c r="E117" s="18"/>
      <c r="F117" s="18"/>
      <c r="G117" s="62"/>
      <c r="H117" s="18"/>
      <c r="I117" s="18"/>
      <c r="J117" s="18"/>
    </row>
    <row r="118" spans="1:10" x14ac:dyDescent="0.25">
      <c r="A118" s="18"/>
      <c r="B118" s="18"/>
      <c r="C118" s="18"/>
      <c r="D118" s="18"/>
      <c r="E118" s="18"/>
      <c r="F118" s="18"/>
      <c r="G118" s="62"/>
      <c r="H118" s="18"/>
      <c r="I118" s="18"/>
      <c r="J118" s="18"/>
    </row>
    <row r="119" spans="1:10" x14ac:dyDescent="0.25">
      <c r="A119" s="18"/>
      <c r="B119" s="18"/>
      <c r="C119" s="18"/>
      <c r="D119" s="18"/>
      <c r="E119" s="18"/>
      <c r="F119" s="18"/>
      <c r="G119" s="62"/>
      <c r="H119" s="18"/>
      <c r="I119" s="18"/>
      <c r="J119" s="18"/>
    </row>
    <row r="120" spans="1:10" x14ac:dyDescent="0.25">
      <c r="A120" s="18"/>
      <c r="B120" s="18"/>
      <c r="C120" s="18"/>
      <c r="D120" s="18"/>
      <c r="E120" s="18"/>
      <c r="F120" s="18"/>
      <c r="G120" s="62"/>
      <c r="H120" s="18"/>
      <c r="I120" s="18"/>
      <c r="J120" s="18"/>
    </row>
    <row r="121" spans="1:10" x14ac:dyDescent="0.25">
      <c r="A121" s="18"/>
      <c r="B121" s="18"/>
      <c r="C121" s="18"/>
      <c r="D121" s="18"/>
      <c r="E121" s="18"/>
      <c r="F121" s="18"/>
      <c r="G121" s="62"/>
      <c r="H121" s="18"/>
      <c r="I121" s="18"/>
      <c r="J121" s="18"/>
    </row>
    <row r="122" spans="1:10" x14ac:dyDescent="0.25">
      <c r="A122" s="18"/>
      <c r="B122" s="18"/>
      <c r="C122" s="18"/>
      <c r="D122" s="18"/>
      <c r="E122" s="18"/>
      <c r="F122" s="18"/>
      <c r="G122" s="62"/>
      <c r="H122" s="18"/>
      <c r="I122" s="18"/>
      <c r="J122" s="18"/>
    </row>
    <row r="123" spans="1:10" x14ac:dyDescent="0.25">
      <c r="A123" s="18"/>
      <c r="B123" s="18"/>
      <c r="C123" s="18"/>
      <c r="D123" s="18"/>
      <c r="E123" s="18"/>
      <c r="F123" s="18"/>
      <c r="G123" s="62"/>
      <c r="H123" s="18"/>
      <c r="I123" s="18"/>
      <c r="J123" s="18"/>
    </row>
    <row r="124" spans="1:10" x14ac:dyDescent="0.25">
      <c r="A124" s="18"/>
      <c r="B124" s="18"/>
      <c r="C124" s="18"/>
      <c r="D124" s="18"/>
      <c r="E124" s="18"/>
      <c r="F124" s="18"/>
      <c r="G124" s="62"/>
      <c r="H124" s="18"/>
      <c r="I124" s="18"/>
      <c r="J124" s="18"/>
    </row>
    <row r="125" spans="1:10" x14ac:dyDescent="0.25">
      <c r="A125" s="18"/>
      <c r="B125" s="18"/>
      <c r="C125" s="18"/>
      <c r="D125" s="18"/>
      <c r="E125" s="18"/>
      <c r="F125" s="18"/>
      <c r="G125" s="62"/>
      <c r="H125" s="18"/>
      <c r="I125" s="18"/>
      <c r="J125" s="18"/>
    </row>
    <row r="126" spans="1:10" x14ac:dyDescent="0.25">
      <c r="A126" s="18"/>
      <c r="B126" s="18"/>
      <c r="C126" s="18"/>
      <c r="D126" s="18"/>
      <c r="E126" s="18"/>
      <c r="F126" s="18"/>
      <c r="G126" s="62"/>
      <c r="H126" s="18"/>
      <c r="I126" s="18"/>
      <c r="J126" s="18"/>
    </row>
    <row r="127" spans="1:10" x14ac:dyDescent="0.25">
      <c r="A127" s="18"/>
      <c r="B127" s="18"/>
      <c r="C127" s="18"/>
      <c r="D127" s="18"/>
      <c r="E127" s="18"/>
      <c r="F127" s="18"/>
      <c r="G127" s="62"/>
      <c r="H127" s="18"/>
      <c r="I127" s="18"/>
      <c r="J127" s="18"/>
    </row>
    <row r="128" spans="1:10" x14ac:dyDescent="0.25">
      <c r="A128" s="18"/>
      <c r="B128" s="18"/>
      <c r="C128" s="18"/>
      <c r="D128" s="18"/>
      <c r="E128" s="18"/>
      <c r="F128" s="18"/>
      <c r="G128" s="62"/>
      <c r="H128" s="18"/>
      <c r="I128" s="18"/>
      <c r="J128" s="18"/>
    </row>
    <row r="129" spans="1:10" x14ac:dyDescent="0.25">
      <c r="A129" s="18"/>
      <c r="B129" s="18"/>
      <c r="C129" s="18"/>
      <c r="D129" s="18"/>
      <c r="E129" s="18"/>
      <c r="F129" s="18"/>
      <c r="G129" s="62"/>
      <c r="H129" s="18"/>
      <c r="I129" s="18"/>
      <c r="J129" s="18"/>
    </row>
    <row r="130" spans="1:10" x14ac:dyDescent="0.25">
      <c r="A130" s="18"/>
      <c r="B130" s="18"/>
      <c r="C130" s="18"/>
      <c r="D130" s="18"/>
      <c r="E130" s="18"/>
      <c r="F130" s="18"/>
      <c r="G130" s="62"/>
      <c r="H130" s="18"/>
      <c r="I130" s="18"/>
      <c r="J130" s="18"/>
    </row>
    <row r="131" spans="1:10" x14ac:dyDescent="0.25">
      <c r="A131" s="18"/>
      <c r="B131" s="18"/>
      <c r="C131" s="18"/>
      <c r="D131" s="18"/>
      <c r="E131" s="18"/>
      <c r="F131" s="18"/>
      <c r="G131" s="62"/>
      <c r="H131" s="18"/>
      <c r="I131" s="18"/>
      <c r="J131" s="18"/>
    </row>
    <row r="132" spans="1:10" x14ac:dyDescent="0.25">
      <c r="A132" s="18"/>
      <c r="B132" s="18"/>
      <c r="C132" s="18"/>
      <c r="D132" s="18"/>
      <c r="E132" s="18"/>
      <c r="F132" s="18"/>
      <c r="G132" s="62"/>
      <c r="H132" s="18"/>
      <c r="I132" s="18"/>
      <c r="J132" s="18"/>
    </row>
    <row r="133" spans="1:10" x14ac:dyDescent="0.25">
      <c r="A133" s="18"/>
      <c r="B133" s="18"/>
      <c r="C133" s="18"/>
      <c r="D133" s="18"/>
      <c r="E133" s="18"/>
      <c r="F133" s="18"/>
      <c r="G133" s="62"/>
      <c r="H133" s="18"/>
      <c r="I133" s="18"/>
      <c r="J133" s="18"/>
    </row>
    <row r="134" spans="1:10" x14ac:dyDescent="0.25">
      <c r="A134" s="18"/>
      <c r="B134" s="18"/>
      <c r="C134" s="18"/>
      <c r="D134" s="18"/>
      <c r="E134" s="18"/>
      <c r="F134" s="18"/>
      <c r="G134" s="62"/>
      <c r="H134" s="18"/>
      <c r="I134" s="18"/>
      <c r="J134" s="18"/>
    </row>
    <row r="135" spans="1:10" x14ac:dyDescent="0.25">
      <c r="A135" s="18"/>
      <c r="B135" s="18"/>
      <c r="C135" s="18"/>
      <c r="D135" s="18"/>
      <c r="E135" s="18"/>
      <c r="F135" s="18"/>
      <c r="G135" s="62"/>
      <c r="H135" s="18"/>
      <c r="I135" s="18"/>
      <c r="J135" s="18"/>
    </row>
    <row r="136" spans="1:10" x14ac:dyDescent="0.25">
      <c r="A136" s="18"/>
      <c r="B136" s="18"/>
      <c r="C136" s="18"/>
      <c r="D136" s="18"/>
      <c r="E136" s="18"/>
      <c r="F136" s="18"/>
      <c r="G136" s="62"/>
      <c r="H136" s="18"/>
      <c r="I136" s="18"/>
      <c r="J136" s="18"/>
    </row>
    <row r="137" spans="1:10" x14ac:dyDescent="0.25">
      <c r="A137" s="18"/>
      <c r="B137" s="18"/>
      <c r="C137" s="18"/>
      <c r="D137" s="18"/>
      <c r="E137" s="18"/>
      <c r="F137" s="18"/>
      <c r="G137" s="62"/>
      <c r="H137" s="18"/>
      <c r="I137" s="18"/>
      <c r="J137" s="18"/>
    </row>
    <row r="138" spans="1:10" x14ac:dyDescent="0.25">
      <c r="A138" s="18"/>
      <c r="B138" s="18"/>
      <c r="C138" s="18"/>
      <c r="D138" s="18"/>
      <c r="E138" s="18"/>
      <c r="F138" s="18"/>
      <c r="G138" s="62"/>
      <c r="H138" s="18"/>
      <c r="I138" s="18"/>
      <c r="J138" s="18"/>
    </row>
    <row r="139" spans="1:10" x14ac:dyDescent="0.25">
      <c r="A139" s="18"/>
      <c r="B139" s="18"/>
      <c r="C139" s="18"/>
      <c r="D139" s="18"/>
      <c r="E139" s="18"/>
      <c r="F139" s="18"/>
      <c r="G139" s="62"/>
      <c r="H139" s="18"/>
      <c r="I139" s="18"/>
      <c r="J139" s="18"/>
    </row>
    <row r="140" spans="1:10" x14ac:dyDescent="0.25">
      <c r="A140" s="18"/>
      <c r="B140" s="18"/>
      <c r="C140" s="18"/>
      <c r="D140" s="18"/>
      <c r="E140" s="18"/>
      <c r="F140" s="18"/>
      <c r="G140" s="62"/>
      <c r="H140" s="18"/>
      <c r="I140" s="18"/>
      <c r="J140" s="18"/>
    </row>
    <row r="141" spans="1:10" x14ac:dyDescent="0.25">
      <c r="A141" s="18"/>
      <c r="B141" s="18"/>
      <c r="C141" s="18"/>
      <c r="D141" s="18"/>
      <c r="E141" s="18"/>
      <c r="F141" s="18"/>
      <c r="G141" s="62"/>
      <c r="H141" s="18"/>
      <c r="I141" s="18"/>
      <c r="J141" s="18"/>
    </row>
    <row r="142" spans="1:10" x14ac:dyDescent="0.25">
      <c r="A142" s="18"/>
      <c r="B142" s="18"/>
      <c r="C142" s="18"/>
      <c r="D142" s="18"/>
      <c r="E142" s="18"/>
      <c r="F142" s="18"/>
      <c r="G142" s="62"/>
      <c r="H142" s="18"/>
      <c r="I142" s="18"/>
      <c r="J142" s="18"/>
    </row>
    <row r="143" spans="1:10" x14ac:dyDescent="0.25">
      <c r="A143" s="18"/>
      <c r="B143" s="18"/>
      <c r="C143" s="18"/>
      <c r="D143" s="18"/>
      <c r="E143" s="18"/>
      <c r="F143" s="18"/>
      <c r="G143" s="62"/>
      <c r="H143" s="18"/>
      <c r="I143" s="18"/>
      <c r="J143" s="18"/>
    </row>
    <row r="144" spans="1:10" x14ac:dyDescent="0.25">
      <c r="A144" s="18"/>
      <c r="B144" s="18"/>
      <c r="C144" s="18"/>
      <c r="D144" s="18"/>
      <c r="E144" s="18"/>
      <c r="F144" s="18"/>
      <c r="G144" s="62"/>
      <c r="H144" s="18"/>
      <c r="I144" s="18"/>
      <c r="J144" s="18"/>
    </row>
    <row r="145" spans="1:10" x14ac:dyDescent="0.25">
      <c r="A145" s="18"/>
      <c r="B145" s="18"/>
      <c r="C145" s="18"/>
      <c r="D145" s="18"/>
      <c r="E145" s="18"/>
      <c r="F145" s="18"/>
      <c r="G145" s="62"/>
      <c r="H145" s="18"/>
      <c r="I145" s="18"/>
      <c r="J145" s="18"/>
    </row>
    <row r="146" spans="1:10" x14ac:dyDescent="0.25">
      <c r="A146" s="18"/>
      <c r="B146" s="18"/>
      <c r="C146" s="18"/>
      <c r="D146" s="18"/>
      <c r="E146" s="18"/>
      <c r="F146" s="18"/>
      <c r="G146" s="62"/>
      <c r="H146" s="18"/>
      <c r="I146" s="18"/>
      <c r="J146" s="18"/>
    </row>
    <row r="147" spans="1:10" x14ac:dyDescent="0.25">
      <c r="A147" s="18"/>
      <c r="B147" s="18"/>
      <c r="C147" s="18"/>
      <c r="D147" s="18"/>
      <c r="E147" s="18"/>
      <c r="F147" s="18"/>
      <c r="G147" s="62"/>
      <c r="H147" s="18"/>
      <c r="I147" s="18"/>
      <c r="J147" s="18"/>
    </row>
    <row r="148" spans="1:10" x14ac:dyDescent="0.25">
      <c r="A148" s="18"/>
      <c r="B148" s="18"/>
      <c r="C148" s="18"/>
      <c r="D148" s="18"/>
      <c r="E148" s="18"/>
      <c r="F148" s="18"/>
      <c r="G148" s="62"/>
      <c r="H148" s="18"/>
      <c r="I148" s="18"/>
      <c r="J148" s="18"/>
    </row>
    <row r="149" spans="1:10" x14ac:dyDescent="0.25">
      <c r="A149" s="18"/>
      <c r="B149" s="18"/>
      <c r="C149" s="18"/>
      <c r="D149" s="18"/>
      <c r="E149" s="18"/>
      <c r="F149" s="18"/>
      <c r="G149" s="62"/>
      <c r="H149" s="18"/>
      <c r="I149" s="18"/>
      <c r="J149" s="18"/>
    </row>
    <row r="150" spans="1:10" x14ac:dyDescent="0.25">
      <c r="A150" s="18"/>
      <c r="B150" s="18"/>
      <c r="C150" s="18"/>
      <c r="D150" s="18"/>
      <c r="E150" s="18"/>
      <c r="F150" s="18"/>
      <c r="G150" s="62"/>
      <c r="H150" s="18"/>
      <c r="I150" s="18"/>
      <c r="J150" s="18"/>
    </row>
    <row r="151" spans="1:10" x14ac:dyDescent="0.25">
      <c r="A151" s="18"/>
      <c r="B151" s="18"/>
      <c r="C151" s="18"/>
      <c r="D151" s="18"/>
      <c r="E151" s="18"/>
      <c r="F151" s="18"/>
      <c r="G151" s="62"/>
      <c r="H151" s="18"/>
      <c r="I151" s="18"/>
      <c r="J151" s="18"/>
    </row>
    <row r="152" spans="1:10" x14ac:dyDescent="0.25">
      <c r="A152" s="18"/>
      <c r="B152" s="18"/>
      <c r="C152" s="18"/>
      <c r="D152" s="18"/>
      <c r="E152" s="18"/>
      <c r="F152" s="18"/>
      <c r="G152" s="62"/>
      <c r="H152" s="18"/>
      <c r="I152" s="18"/>
      <c r="J152" s="18"/>
    </row>
    <row r="153" spans="1:10" x14ac:dyDescent="0.25">
      <c r="A153" s="18"/>
      <c r="B153" s="18"/>
      <c r="C153" s="18"/>
      <c r="D153" s="18"/>
      <c r="E153" s="18"/>
      <c r="F153" s="18"/>
      <c r="G153" s="62"/>
      <c r="H153" s="18"/>
      <c r="I153" s="18"/>
      <c r="J153" s="18"/>
    </row>
    <row r="154" spans="1:10" x14ac:dyDescent="0.25">
      <c r="A154" s="18"/>
      <c r="B154" s="18"/>
      <c r="C154" s="18"/>
      <c r="D154" s="18"/>
      <c r="E154" s="18"/>
      <c r="F154" s="18"/>
      <c r="G154" s="62"/>
      <c r="H154" s="18"/>
      <c r="I154" s="18"/>
      <c r="J154" s="18"/>
    </row>
    <row r="155" spans="1:10" x14ac:dyDescent="0.25">
      <c r="A155" s="18"/>
      <c r="B155" s="18"/>
      <c r="C155" s="18"/>
      <c r="D155" s="18"/>
      <c r="E155" s="18"/>
      <c r="F155" s="18"/>
      <c r="G155" s="62"/>
      <c r="H155" s="18"/>
      <c r="I155" s="18"/>
      <c r="J155" s="18"/>
    </row>
    <row r="156" spans="1:10" x14ac:dyDescent="0.25">
      <c r="A156" s="19"/>
      <c r="B156" s="19"/>
      <c r="C156" s="19"/>
      <c r="D156" s="19"/>
      <c r="E156" s="19"/>
      <c r="F156" s="19"/>
      <c r="G156" s="63"/>
      <c r="H156" s="19"/>
      <c r="I156" s="19"/>
      <c r="J156" s="19"/>
    </row>
    <row r="157" spans="1:10" x14ac:dyDescent="0.25">
      <c r="A157" s="19"/>
      <c r="B157" s="19"/>
      <c r="C157" s="19"/>
      <c r="D157" s="19"/>
      <c r="E157" s="19"/>
      <c r="F157" s="19"/>
      <c r="G157" s="63"/>
      <c r="H157" s="19"/>
      <c r="I157" s="19"/>
      <c r="J157" s="19"/>
    </row>
    <row r="158" spans="1:10" x14ac:dyDescent="0.25">
      <c r="A158" s="19"/>
      <c r="B158" s="19"/>
      <c r="C158" s="19"/>
      <c r="D158" s="19"/>
      <c r="E158" s="19"/>
      <c r="F158" s="19"/>
      <c r="G158" s="63"/>
      <c r="H158" s="19"/>
      <c r="I158" s="19"/>
      <c r="J158" s="19"/>
    </row>
    <row r="159" spans="1:10" x14ac:dyDescent="0.25">
      <c r="A159" s="19"/>
      <c r="B159" s="19"/>
      <c r="C159" s="19"/>
      <c r="D159" s="19"/>
      <c r="E159" s="19"/>
      <c r="F159" s="19"/>
      <c r="G159" s="63"/>
      <c r="H159" s="19"/>
      <c r="I159" s="19"/>
      <c r="J159" s="19"/>
    </row>
    <row r="160" spans="1:10" x14ac:dyDescent="0.25">
      <c r="A160" s="19"/>
      <c r="B160" s="19"/>
      <c r="C160" s="19"/>
      <c r="D160" s="19"/>
      <c r="E160" s="19"/>
      <c r="F160" s="19"/>
      <c r="G160" s="63"/>
      <c r="H160" s="19"/>
      <c r="I160" s="19"/>
      <c r="J160" s="19"/>
    </row>
    <row r="161" spans="1:10" x14ac:dyDescent="0.25">
      <c r="A161" s="19"/>
      <c r="B161" s="19"/>
      <c r="C161" s="19"/>
      <c r="D161" s="19"/>
      <c r="E161" s="19"/>
      <c r="F161" s="19"/>
      <c r="G161" s="63"/>
      <c r="H161" s="19"/>
      <c r="I161" s="19"/>
      <c r="J161" s="19"/>
    </row>
    <row r="162" spans="1:10" x14ac:dyDescent="0.25">
      <c r="A162" s="19"/>
      <c r="B162" s="19"/>
      <c r="C162" s="19"/>
      <c r="D162" s="19"/>
      <c r="E162" s="19"/>
      <c r="F162" s="19"/>
      <c r="G162" s="63"/>
      <c r="H162" s="19"/>
      <c r="I162" s="19"/>
      <c r="J162" s="19"/>
    </row>
    <row r="163" spans="1:10" x14ac:dyDescent="0.25">
      <c r="A163" s="19"/>
      <c r="B163" s="19"/>
      <c r="C163" s="19"/>
      <c r="D163" s="19"/>
      <c r="E163" s="19"/>
      <c r="F163" s="19"/>
      <c r="G163" s="63"/>
      <c r="H163" s="19"/>
      <c r="I163" s="19"/>
      <c r="J163" s="19"/>
    </row>
    <row r="164" spans="1:10" x14ac:dyDescent="0.25">
      <c r="A164" s="19"/>
      <c r="B164" s="19"/>
      <c r="C164" s="19"/>
      <c r="D164" s="19"/>
      <c r="E164" s="19"/>
      <c r="F164" s="19"/>
      <c r="G164" s="63"/>
      <c r="H164" s="19"/>
      <c r="I164" s="19"/>
      <c r="J164" s="19"/>
    </row>
    <row r="165" spans="1:10" x14ac:dyDescent="0.25">
      <c r="A165" s="19"/>
      <c r="B165" s="19"/>
      <c r="C165" s="19"/>
      <c r="D165" s="19"/>
      <c r="E165" s="19"/>
      <c r="F165" s="19"/>
      <c r="G165" s="63"/>
      <c r="H165" s="19"/>
      <c r="I165" s="19"/>
      <c r="J165" s="19"/>
    </row>
  </sheetData>
  <autoFilter ref="A1:I109">
    <filterColumn colId="0" showButton="0"/>
  </autoFilter>
  <mergeCells count="29">
    <mergeCell ref="A101:B103"/>
    <mergeCell ref="A105:B105"/>
    <mergeCell ref="A109:B109"/>
    <mergeCell ref="A110:B110"/>
    <mergeCell ref="A111:B113"/>
    <mergeCell ref="A85:B85"/>
    <mergeCell ref="A89:A99"/>
    <mergeCell ref="B89:B90"/>
    <mergeCell ref="B91:B93"/>
    <mergeCell ref="B94:B95"/>
    <mergeCell ref="B96:B99"/>
    <mergeCell ref="A83:B83"/>
    <mergeCell ref="A30:B36"/>
    <mergeCell ref="A39:A47"/>
    <mergeCell ref="B41:B47"/>
    <mergeCell ref="A49:A59"/>
    <mergeCell ref="B49:B50"/>
    <mergeCell ref="B52:B59"/>
    <mergeCell ref="A61:A72"/>
    <mergeCell ref="B61:B63"/>
    <mergeCell ref="B65:B72"/>
    <mergeCell ref="A74:B75"/>
    <mergeCell ref="A79:B81"/>
    <mergeCell ref="A25:B28"/>
    <mergeCell ref="A1:B1"/>
    <mergeCell ref="A3:A23"/>
    <mergeCell ref="B3:B7"/>
    <mergeCell ref="B9:B15"/>
    <mergeCell ref="B17:B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7"/>
  <sheetViews>
    <sheetView showGridLines="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K12" sqref="K12"/>
    </sheetView>
  </sheetViews>
  <sheetFormatPr defaultRowHeight="15" x14ac:dyDescent="0.25"/>
  <cols>
    <col min="1" max="1" width="18.42578125" style="11" customWidth="1"/>
    <col min="2" max="2" width="25.140625" style="11" customWidth="1"/>
    <col min="3" max="3" width="41.7109375" style="11" customWidth="1"/>
    <col min="4" max="4" width="11" style="11" hidden="1" customWidth="1"/>
    <col min="5" max="5" width="11.5703125" style="11" hidden="1" customWidth="1"/>
    <col min="6" max="6" width="9.5703125" style="11" hidden="1" customWidth="1"/>
    <col min="7" max="7" width="0.85546875" style="44" customWidth="1"/>
    <col min="8" max="8" width="11.42578125" style="11" customWidth="1"/>
    <col min="9" max="10" width="11.85546875" style="11" customWidth="1"/>
    <col min="11" max="16384" width="9.140625" style="11"/>
  </cols>
  <sheetData>
    <row r="1" spans="1:10" x14ac:dyDescent="0.25">
      <c r="A1" s="556" t="s">
        <v>1</v>
      </c>
      <c r="B1" s="556"/>
      <c r="C1" s="9" t="s">
        <v>2</v>
      </c>
      <c r="D1" s="9" t="s">
        <v>3</v>
      </c>
      <c r="E1" s="9" t="s">
        <v>8</v>
      </c>
      <c r="F1" s="64" t="s">
        <v>6</v>
      </c>
      <c r="G1" s="58"/>
      <c r="H1" s="10" t="s">
        <v>11</v>
      </c>
      <c r="I1" s="10" t="s">
        <v>12</v>
      </c>
      <c r="J1" s="10" t="s">
        <v>123</v>
      </c>
    </row>
    <row r="2" spans="1:10" ht="15" customHeight="1" x14ac:dyDescent="0.25">
      <c r="A2" s="25" t="s">
        <v>29</v>
      </c>
      <c r="B2" s="25"/>
      <c r="C2" s="25"/>
      <c r="D2" s="12"/>
      <c r="E2" s="12"/>
      <c r="F2" s="65"/>
      <c r="G2" s="59"/>
      <c r="H2" s="12"/>
      <c r="I2" s="12"/>
      <c r="J2" s="12"/>
    </row>
    <row r="3" spans="1:10" ht="18.75" customHeight="1" x14ac:dyDescent="0.25">
      <c r="A3" s="557" t="s">
        <v>24</v>
      </c>
      <c r="B3" s="560" t="s">
        <v>109</v>
      </c>
      <c r="C3" s="29" t="s">
        <v>13</v>
      </c>
      <c r="D3" s="13"/>
      <c r="E3" s="13"/>
      <c r="F3" s="14"/>
      <c r="G3" s="53"/>
      <c r="H3" s="14"/>
      <c r="I3" s="14"/>
      <c r="J3" s="14"/>
    </row>
    <row r="4" spans="1:10" ht="21.75" customHeight="1" x14ac:dyDescent="0.25">
      <c r="A4" s="557"/>
      <c r="B4" s="560"/>
      <c r="C4" s="29" t="s">
        <v>73</v>
      </c>
      <c r="D4" s="15"/>
      <c r="E4" s="13"/>
      <c r="F4" s="14"/>
      <c r="G4" s="53"/>
      <c r="H4" s="14"/>
      <c r="I4" s="14"/>
      <c r="J4" s="14"/>
    </row>
    <row r="5" spans="1:10" ht="19.5" customHeight="1" x14ac:dyDescent="0.25">
      <c r="A5" s="557"/>
      <c r="B5" s="560"/>
      <c r="C5" s="29" t="s">
        <v>107</v>
      </c>
      <c r="D5" s="15"/>
      <c r="E5" s="13"/>
      <c r="F5" s="14"/>
      <c r="G5" s="53"/>
      <c r="H5" s="14"/>
      <c r="I5" s="14"/>
      <c r="J5" s="14"/>
    </row>
    <row r="6" spans="1:10" ht="22.5" customHeight="1" x14ac:dyDescent="0.25">
      <c r="A6" s="557"/>
      <c r="B6" s="560"/>
      <c r="C6" s="29" t="s">
        <v>72</v>
      </c>
      <c r="D6" s="15"/>
      <c r="E6" s="13"/>
      <c r="F6" s="14"/>
      <c r="G6" s="53"/>
      <c r="H6" s="14"/>
      <c r="I6" s="14"/>
      <c r="J6" s="14"/>
    </row>
    <row r="7" spans="1:10" ht="24.75" customHeight="1" x14ac:dyDescent="0.25">
      <c r="A7" s="557"/>
      <c r="B7" s="561"/>
      <c r="C7" s="42" t="s">
        <v>74</v>
      </c>
      <c r="D7" s="15"/>
      <c r="E7" s="15"/>
      <c r="F7" s="14"/>
      <c r="G7" s="53"/>
      <c r="H7" s="32"/>
      <c r="I7" s="32"/>
      <c r="J7" s="32"/>
    </row>
    <row r="8" spans="1:10" ht="4.5" customHeight="1" x14ac:dyDescent="0.25">
      <c r="A8" s="558"/>
      <c r="B8" s="37"/>
      <c r="C8" s="38"/>
      <c r="D8" s="39"/>
      <c r="E8" s="39"/>
      <c r="F8" s="40"/>
      <c r="G8" s="53"/>
      <c r="H8" s="40"/>
      <c r="I8" s="41"/>
      <c r="J8" s="41"/>
    </row>
    <row r="9" spans="1:10" x14ac:dyDescent="0.25">
      <c r="A9" s="557"/>
      <c r="B9" s="559" t="s">
        <v>76</v>
      </c>
      <c r="C9" s="33" t="s">
        <v>14</v>
      </c>
      <c r="D9" s="34"/>
      <c r="E9" s="35"/>
      <c r="F9" s="14"/>
      <c r="G9" s="53"/>
      <c r="H9" s="36">
        <f>61.86+7.73+1.14+0.04</f>
        <v>70.77000000000001</v>
      </c>
      <c r="I9" s="36">
        <f>57.03+2.73+1.11+16.46</f>
        <v>77.33</v>
      </c>
      <c r="J9" s="36">
        <f>43.97+42.11+0.52</f>
        <v>86.6</v>
      </c>
    </row>
    <row r="10" spans="1:10" x14ac:dyDescent="0.25">
      <c r="A10" s="557"/>
      <c r="B10" s="562"/>
      <c r="C10" s="33" t="s">
        <v>118</v>
      </c>
      <c r="D10" s="34"/>
      <c r="E10" s="35"/>
      <c r="F10" s="14"/>
      <c r="G10" s="53"/>
      <c r="H10" s="36">
        <f>25.01+0.36</f>
        <v>25.37</v>
      </c>
      <c r="I10" s="36">
        <f>27.56+0.43+0.82</f>
        <v>28.81</v>
      </c>
      <c r="J10" s="36">
        <v>25.86</v>
      </c>
    </row>
    <row r="11" spans="1:10" x14ac:dyDescent="0.25">
      <c r="A11" s="557"/>
      <c r="B11" s="562"/>
      <c r="C11" s="29" t="s">
        <v>110</v>
      </c>
      <c r="D11" s="15"/>
      <c r="E11" s="13"/>
      <c r="F11" s="14"/>
      <c r="G11" s="53"/>
      <c r="H11" s="14"/>
      <c r="I11" s="14"/>
      <c r="J11" s="14"/>
    </row>
    <row r="12" spans="1:10" x14ac:dyDescent="0.25">
      <c r="A12" s="557"/>
      <c r="B12" s="562"/>
      <c r="C12" s="29" t="s">
        <v>111</v>
      </c>
      <c r="D12" s="15"/>
      <c r="E12" s="13"/>
      <c r="F12" s="14"/>
      <c r="G12" s="53"/>
      <c r="H12" s="14"/>
      <c r="I12" s="14"/>
      <c r="J12" s="14"/>
    </row>
    <row r="13" spans="1:10" x14ac:dyDescent="0.25">
      <c r="A13" s="557"/>
      <c r="B13" s="562"/>
      <c r="C13" s="29" t="s">
        <v>114</v>
      </c>
      <c r="D13" s="15"/>
      <c r="E13" s="13"/>
      <c r="F13" s="14"/>
      <c r="G13" s="53"/>
      <c r="H13" s="14"/>
      <c r="I13" s="14"/>
      <c r="J13" s="14"/>
    </row>
    <row r="14" spans="1:10" x14ac:dyDescent="0.25">
      <c r="A14" s="557"/>
      <c r="B14" s="562"/>
      <c r="C14" s="29" t="s">
        <v>16</v>
      </c>
      <c r="D14" s="15"/>
      <c r="E14" s="13"/>
      <c r="F14" s="14"/>
      <c r="G14" s="53"/>
      <c r="H14" s="14">
        <v>7.55</v>
      </c>
      <c r="I14" s="14">
        <v>10.119999999999999</v>
      </c>
      <c r="J14" s="14">
        <v>12.78</v>
      </c>
    </row>
    <row r="15" spans="1:10" x14ac:dyDescent="0.25">
      <c r="A15" s="557"/>
      <c r="B15" s="562"/>
      <c r="C15" s="29" t="s">
        <v>17</v>
      </c>
      <c r="D15" s="15"/>
      <c r="E15" s="13"/>
      <c r="F15" s="14"/>
      <c r="G15" s="53"/>
      <c r="H15" s="14">
        <v>21.25</v>
      </c>
      <c r="I15" s="14">
        <v>39.729999999999997</v>
      </c>
      <c r="J15" s="14">
        <v>1.5089999999999999</v>
      </c>
    </row>
    <row r="16" spans="1:10" x14ac:dyDescent="0.25">
      <c r="A16" s="557"/>
      <c r="B16" s="563"/>
      <c r="C16" s="29" t="s">
        <v>18</v>
      </c>
      <c r="D16" s="15"/>
      <c r="E16" s="13"/>
      <c r="F16" s="14"/>
      <c r="G16" s="53"/>
      <c r="H16" s="14"/>
      <c r="I16" s="14"/>
      <c r="J16" s="14"/>
    </row>
    <row r="17" spans="1:10" ht="4.5" customHeight="1" x14ac:dyDescent="0.25">
      <c r="A17" s="557"/>
      <c r="B17" s="37"/>
      <c r="C17" s="38"/>
      <c r="D17" s="39"/>
      <c r="E17" s="39"/>
      <c r="F17" s="40"/>
      <c r="G17" s="53"/>
      <c r="H17" s="40"/>
      <c r="I17" s="41"/>
      <c r="J17" s="41"/>
    </row>
    <row r="18" spans="1:10" x14ac:dyDescent="0.25">
      <c r="A18" s="557"/>
      <c r="B18" s="562" t="s">
        <v>77</v>
      </c>
      <c r="C18" s="29" t="s">
        <v>75</v>
      </c>
      <c r="D18" s="15"/>
      <c r="E18" s="13"/>
      <c r="F18" s="14"/>
      <c r="G18" s="53"/>
      <c r="H18" s="14">
        <f>H9</f>
        <v>70.77000000000001</v>
      </c>
      <c r="I18" s="14">
        <f>H18+I9</f>
        <v>148.10000000000002</v>
      </c>
      <c r="J18" s="14">
        <f>I18+J9</f>
        <v>234.70000000000002</v>
      </c>
    </row>
    <row r="19" spans="1:10" x14ac:dyDescent="0.25">
      <c r="A19" s="557"/>
      <c r="B19" s="562"/>
      <c r="C19" s="29" t="s">
        <v>118</v>
      </c>
      <c r="D19" s="15"/>
      <c r="E19" s="13"/>
      <c r="F19" s="14"/>
      <c r="G19" s="53"/>
      <c r="H19" s="14">
        <f>H10</f>
        <v>25.37</v>
      </c>
      <c r="I19" s="14">
        <f>H19+I10</f>
        <v>54.18</v>
      </c>
      <c r="J19" s="14">
        <f>I19+J10</f>
        <v>80.039999999999992</v>
      </c>
    </row>
    <row r="20" spans="1:10" x14ac:dyDescent="0.25">
      <c r="A20" s="557"/>
      <c r="B20" s="562"/>
      <c r="C20" s="29" t="s">
        <v>110</v>
      </c>
      <c r="D20" s="15"/>
      <c r="E20" s="13"/>
      <c r="F20" s="14"/>
      <c r="G20" s="53"/>
      <c r="H20" s="14"/>
      <c r="I20" s="14"/>
      <c r="J20" s="14"/>
    </row>
    <row r="21" spans="1:10" x14ac:dyDescent="0.25">
      <c r="A21" s="557"/>
      <c r="B21" s="562"/>
      <c r="C21" s="29" t="s">
        <v>111</v>
      </c>
      <c r="D21" s="15"/>
      <c r="E21" s="13"/>
      <c r="F21" s="14"/>
      <c r="G21" s="53"/>
      <c r="H21" s="14"/>
      <c r="I21" s="14"/>
      <c r="J21" s="14"/>
    </row>
    <row r="22" spans="1:10" x14ac:dyDescent="0.25">
      <c r="A22" s="557"/>
      <c r="B22" s="562"/>
      <c r="C22" s="29" t="s">
        <v>114</v>
      </c>
      <c r="D22" s="15"/>
      <c r="E22" s="13"/>
      <c r="F22" s="14"/>
      <c r="G22" s="53"/>
      <c r="H22" s="14"/>
      <c r="I22" s="14"/>
      <c r="J22" s="14"/>
    </row>
    <row r="23" spans="1:10" x14ac:dyDescent="0.25">
      <c r="A23" s="557"/>
      <c r="B23" s="562"/>
      <c r="C23" s="29" t="s">
        <v>16</v>
      </c>
      <c r="D23" s="15"/>
      <c r="E23" s="13"/>
      <c r="F23" s="14"/>
      <c r="G23" s="53"/>
      <c r="H23" s="14">
        <v>7.55</v>
      </c>
      <c r="I23" s="14">
        <v>17.670000000000002</v>
      </c>
      <c r="J23" s="14">
        <f>I23+12.78</f>
        <v>30.450000000000003</v>
      </c>
    </row>
    <row r="24" spans="1:10" x14ac:dyDescent="0.25">
      <c r="A24" s="557"/>
      <c r="B24" s="562"/>
      <c r="C24" s="29" t="s">
        <v>17</v>
      </c>
      <c r="D24" s="15"/>
      <c r="E24" s="13"/>
      <c r="F24" s="14"/>
      <c r="G24" s="53"/>
      <c r="H24" s="14">
        <v>21.25</v>
      </c>
      <c r="I24" s="14">
        <v>60.98</v>
      </c>
      <c r="J24" s="14">
        <v>62.48</v>
      </c>
    </row>
    <row r="25" spans="1:10" x14ac:dyDescent="0.25">
      <c r="A25" s="559"/>
      <c r="B25" s="562"/>
      <c r="C25" s="42" t="s">
        <v>18</v>
      </c>
      <c r="D25" s="15"/>
      <c r="E25" s="15"/>
      <c r="F25" s="14"/>
      <c r="G25" s="53"/>
      <c r="H25" s="32"/>
      <c r="I25" s="32"/>
      <c r="J25" s="32"/>
    </row>
    <row r="26" spans="1:10" s="44" customFormat="1" ht="5.25" customHeight="1" x14ac:dyDescent="0.25">
      <c r="A26" s="37"/>
      <c r="B26" s="45"/>
      <c r="C26" s="38"/>
      <c r="D26" s="39"/>
      <c r="E26" s="39"/>
      <c r="F26" s="40"/>
      <c r="G26" s="53"/>
      <c r="H26" s="40"/>
      <c r="I26" s="41"/>
      <c r="J26" s="41"/>
    </row>
    <row r="27" spans="1:10" x14ac:dyDescent="0.25">
      <c r="A27" s="554" t="s">
        <v>25</v>
      </c>
      <c r="B27" s="554"/>
      <c r="C27" s="43" t="s">
        <v>21</v>
      </c>
      <c r="D27" s="34"/>
      <c r="E27" s="35"/>
      <c r="F27" s="14"/>
      <c r="G27" s="53"/>
      <c r="H27" s="36"/>
      <c r="I27" s="36"/>
      <c r="J27" s="36"/>
    </row>
    <row r="28" spans="1:10" x14ac:dyDescent="0.25">
      <c r="A28" s="555"/>
      <c r="B28" s="555"/>
      <c r="C28" s="22" t="s">
        <v>19</v>
      </c>
      <c r="D28" s="15"/>
      <c r="E28" s="13"/>
      <c r="F28" s="14"/>
      <c r="G28" s="53"/>
      <c r="H28" s="14">
        <f>61.86+7.55+21.25+25.01+1.14+0.36+0.04</f>
        <v>117.21000000000001</v>
      </c>
      <c r="I28" s="14">
        <f>57.03+10.12+39.73+27.56+1.11+0.43+16.46+0.82</f>
        <v>153.26000000000002</v>
      </c>
      <c r="J28" s="14">
        <v>145.57</v>
      </c>
    </row>
    <row r="29" spans="1:10" x14ac:dyDescent="0.25">
      <c r="A29" s="555"/>
      <c r="B29" s="555"/>
      <c r="C29" s="22" t="s">
        <v>20</v>
      </c>
      <c r="D29" s="15"/>
      <c r="E29" s="13"/>
      <c r="F29" s="14"/>
      <c r="G29" s="53"/>
      <c r="H29" s="14">
        <v>7.73</v>
      </c>
      <c r="I29" s="14">
        <v>2.73</v>
      </c>
      <c r="J29" s="14">
        <v>9.0399999999999991</v>
      </c>
    </row>
    <row r="30" spans="1:10" x14ac:dyDescent="0.25">
      <c r="A30" s="555"/>
      <c r="B30" s="555"/>
      <c r="C30" s="22" t="s">
        <v>117</v>
      </c>
      <c r="D30" s="15"/>
      <c r="E30" s="13"/>
      <c r="F30" s="14"/>
      <c r="G30" s="53"/>
      <c r="H30" s="14"/>
      <c r="I30" s="14"/>
      <c r="J30" s="14"/>
    </row>
    <row r="31" spans="1:10" s="44" customFormat="1" ht="5.25" customHeight="1" x14ac:dyDescent="0.25">
      <c r="A31" s="37"/>
      <c r="B31" s="45"/>
      <c r="C31" s="38"/>
      <c r="D31" s="39"/>
      <c r="E31" s="39"/>
      <c r="F31" s="40"/>
      <c r="G31" s="53"/>
      <c r="H31" s="40"/>
      <c r="I31" s="41"/>
      <c r="J31" s="41"/>
    </row>
    <row r="32" spans="1:10" ht="15" customHeight="1" x14ac:dyDescent="0.25">
      <c r="A32" s="564" t="s">
        <v>28</v>
      </c>
      <c r="B32" s="561"/>
      <c r="C32" s="21" t="s">
        <v>53</v>
      </c>
      <c r="D32" s="15"/>
      <c r="E32" s="13"/>
      <c r="F32" s="14"/>
      <c r="G32" s="53"/>
      <c r="H32" s="14"/>
      <c r="I32" s="14"/>
      <c r="J32" s="14"/>
    </row>
    <row r="33" spans="1:10" x14ac:dyDescent="0.25">
      <c r="A33" s="565"/>
      <c r="B33" s="566"/>
      <c r="C33" s="21" t="s">
        <v>22</v>
      </c>
      <c r="D33" s="15"/>
      <c r="E33" s="13"/>
      <c r="F33" s="14"/>
      <c r="G33" s="53"/>
      <c r="H33" s="14"/>
      <c r="I33" s="14"/>
      <c r="J33" s="14"/>
    </row>
    <row r="34" spans="1:10" x14ac:dyDescent="0.25">
      <c r="A34" s="565"/>
      <c r="B34" s="566"/>
      <c r="C34" s="21" t="s">
        <v>23</v>
      </c>
      <c r="D34" s="15"/>
      <c r="E34" s="13"/>
      <c r="F34" s="14"/>
      <c r="G34" s="53"/>
      <c r="H34" s="14"/>
      <c r="I34" s="14"/>
      <c r="J34" s="14"/>
    </row>
    <row r="35" spans="1:10" x14ac:dyDescent="0.25">
      <c r="A35" s="565"/>
      <c r="B35" s="566"/>
      <c r="C35" s="21" t="s">
        <v>26</v>
      </c>
      <c r="D35" s="15"/>
      <c r="E35" s="13"/>
      <c r="F35" s="14"/>
      <c r="G35" s="53"/>
      <c r="H35" s="14"/>
      <c r="I35" s="14"/>
      <c r="J35" s="14"/>
    </row>
    <row r="36" spans="1:10" x14ac:dyDescent="0.25">
      <c r="A36" s="565"/>
      <c r="B36" s="566"/>
      <c r="C36" s="21" t="s">
        <v>54</v>
      </c>
      <c r="D36" s="15"/>
      <c r="E36" s="13"/>
      <c r="F36" s="14"/>
      <c r="G36" s="53"/>
      <c r="H36" s="14">
        <v>1.26</v>
      </c>
      <c r="I36" s="14">
        <v>1.66</v>
      </c>
      <c r="J36" s="71"/>
    </row>
    <row r="37" spans="1:10" x14ac:dyDescent="0.25">
      <c r="A37" s="565"/>
      <c r="B37" s="566"/>
      <c r="C37" s="21" t="s">
        <v>55</v>
      </c>
      <c r="D37" s="15"/>
      <c r="E37" s="13"/>
      <c r="F37" s="14"/>
      <c r="G37" s="53"/>
      <c r="H37" s="14">
        <v>1.61</v>
      </c>
      <c r="I37" s="14">
        <v>2.2000000000000002</v>
      </c>
      <c r="J37" s="71"/>
    </row>
    <row r="38" spans="1:10" x14ac:dyDescent="0.25">
      <c r="A38" s="565"/>
      <c r="B38" s="566"/>
      <c r="C38" s="21" t="s">
        <v>27</v>
      </c>
      <c r="D38" s="15"/>
      <c r="E38" s="13"/>
      <c r="F38" s="14"/>
      <c r="G38" s="53"/>
      <c r="H38" s="14"/>
      <c r="I38" s="14"/>
      <c r="J38" s="14"/>
    </row>
    <row r="39" spans="1:10" s="44" customFormat="1" ht="5.25" customHeight="1" x14ac:dyDescent="0.25">
      <c r="A39" s="37"/>
      <c r="B39" s="45"/>
      <c r="C39" s="38"/>
      <c r="D39" s="39"/>
      <c r="E39" s="39"/>
      <c r="F39" s="40"/>
      <c r="G39" s="53"/>
      <c r="H39" s="40"/>
      <c r="I39" s="41"/>
      <c r="J39" s="41"/>
    </row>
    <row r="40" spans="1:10" ht="15" customHeight="1" x14ac:dyDescent="0.25">
      <c r="A40" s="24" t="s">
        <v>30</v>
      </c>
      <c r="B40" s="24"/>
      <c r="C40" s="24"/>
      <c r="D40" s="12"/>
      <c r="E40" s="12"/>
      <c r="F40" s="66"/>
      <c r="G40" s="59"/>
      <c r="H40" s="12"/>
      <c r="I40" s="12"/>
      <c r="J40" s="12"/>
    </row>
    <row r="41" spans="1:10" x14ac:dyDescent="0.25">
      <c r="A41" s="567" t="s">
        <v>78</v>
      </c>
      <c r="B41" s="46" t="s">
        <v>79</v>
      </c>
      <c r="C41" s="23" t="s">
        <v>31</v>
      </c>
      <c r="D41" s="16"/>
      <c r="E41" s="13"/>
      <c r="F41" s="14"/>
      <c r="G41" s="53"/>
      <c r="H41" s="14"/>
      <c r="I41" s="14"/>
      <c r="J41" s="14"/>
    </row>
    <row r="42" spans="1:10" ht="4.5" customHeight="1" x14ac:dyDescent="0.25">
      <c r="A42" s="568"/>
      <c r="B42" s="37"/>
      <c r="C42" s="38"/>
      <c r="D42" s="39"/>
      <c r="E42" s="39"/>
      <c r="F42" s="40"/>
      <c r="G42" s="53"/>
      <c r="H42" s="40"/>
      <c r="I42" s="41"/>
      <c r="J42" s="41"/>
    </row>
    <row r="43" spans="1:10" x14ac:dyDescent="0.25">
      <c r="A43" s="568"/>
      <c r="B43" s="570" t="s">
        <v>80</v>
      </c>
      <c r="C43" s="33" t="s">
        <v>14</v>
      </c>
      <c r="D43" s="16"/>
      <c r="E43" s="13"/>
      <c r="F43" s="14"/>
      <c r="G43" s="53"/>
      <c r="H43" s="14">
        <f>-26.46-12.14+28.09+0.09-19.86-0.38-6.6</f>
        <v>-37.26</v>
      </c>
      <c r="I43" s="14">
        <f>-14.84-33.08-13.48-0.79-36.15-1.23+14.02</f>
        <v>-85.550000000000011</v>
      </c>
      <c r="J43" s="14">
        <v>-63.82</v>
      </c>
    </row>
    <row r="44" spans="1:10" x14ac:dyDescent="0.25">
      <c r="A44" s="568"/>
      <c r="B44" s="571"/>
      <c r="C44" s="29" t="s">
        <v>110</v>
      </c>
      <c r="D44" s="16"/>
      <c r="E44" s="13"/>
      <c r="F44" s="14"/>
      <c r="G44" s="53"/>
      <c r="H44" s="14"/>
      <c r="I44" s="14"/>
      <c r="J44" s="14"/>
    </row>
    <row r="45" spans="1:10" x14ac:dyDescent="0.25">
      <c r="A45" s="568"/>
      <c r="B45" s="571"/>
      <c r="C45" s="29" t="s">
        <v>111</v>
      </c>
      <c r="D45" s="16"/>
      <c r="E45" s="13"/>
      <c r="F45" s="14"/>
      <c r="G45" s="53"/>
      <c r="H45" s="14"/>
      <c r="I45" s="14"/>
      <c r="J45" s="14"/>
    </row>
    <row r="46" spans="1:10" x14ac:dyDescent="0.25">
      <c r="A46" s="568"/>
      <c r="B46" s="571"/>
      <c r="C46" s="29" t="s">
        <v>114</v>
      </c>
      <c r="D46" s="16"/>
      <c r="E46" s="13"/>
      <c r="F46" s="14"/>
      <c r="G46" s="53"/>
      <c r="H46" s="14"/>
      <c r="I46" s="14"/>
      <c r="J46" s="14"/>
    </row>
    <row r="47" spans="1:10" x14ac:dyDescent="0.25">
      <c r="A47" s="568"/>
      <c r="B47" s="571"/>
      <c r="C47" s="29" t="s">
        <v>16</v>
      </c>
      <c r="D47" s="16"/>
      <c r="E47" s="13"/>
      <c r="F47" s="14"/>
      <c r="G47" s="53"/>
      <c r="H47" s="14">
        <f>7.55-7.64</f>
        <v>-8.9999999999999858E-2</v>
      </c>
      <c r="I47" s="14">
        <f>10.12-9.33</f>
        <v>0.78999999999999915</v>
      </c>
      <c r="J47" s="14">
        <v>5.73</v>
      </c>
    </row>
    <row r="48" spans="1:10" x14ac:dyDescent="0.25">
      <c r="A48" s="568"/>
      <c r="B48" s="571"/>
      <c r="C48" s="29" t="s">
        <v>17</v>
      </c>
      <c r="D48" s="16"/>
      <c r="E48" s="13"/>
      <c r="F48" s="14"/>
      <c r="G48" s="53"/>
      <c r="H48" s="14">
        <f>21.25-1.39</f>
        <v>19.86</v>
      </c>
      <c r="I48" s="14">
        <f>39.73-3.58</f>
        <v>36.15</v>
      </c>
      <c r="J48" s="71">
        <v>-0.05</v>
      </c>
    </row>
    <row r="49" spans="1:10" x14ac:dyDescent="0.25">
      <c r="A49" s="569"/>
      <c r="B49" s="572"/>
      <c r="C49" s="29" t="s">
        <v>18</v>
      </c>
      <c r="D49" s="16"/>
      <c r="E49" s="13"/>
      <c r="F49" s="14"/>
      <c r="G49" s="53"/>
      <c r="H49" s="14"/>
      <c r="I49" s="14"/>
      <c r="J49" s="14"/>
    </row>
    <row r="50" spans="1:10" s="44" customFormat="1" ht="5.25" customHeight="1" x14ac:dyDescent="0.25">
      <c r="A50" s="37"/>
      <c r="B50" s="45"/>
      <c r="C50" s="38"/>
      <c r="D50" s="39"/>
      <c r="E50" s="39"/>
      <c r="F50" s="40"/>
      <c r="G50" s="53"/>
      <c r="H50" s="40"/>
      <c r="I50" s="41"/>
      <c r="J50" s="41"/>
    </row>
    <row r="51" spans="1:10" x14ac:dyDescent="0.25">
      <c r="A51" s="564" t="s">
        <v>81</v>
      </c>
      <c r="B51" s="559" t="s">
        <v>82</v>
      </c>
      <c r="C51" s="47" t="s">
        <v>56</v>
      </c>
      <c r="D51" s="16"/>
      <c r="E51" s="13"/>
      <c r="F51" s="14"/>
      <c r="G51" s="53"/>
      <c r="H51" s="14">
        <f>45.24+12.18+15.47</f>
        <v>72.89</v>
      </c>
      <c r="I51" s="14">
        <f>10.3+47.79+15.46</f>
        <v>73.550000000000011</v>
      </c>
      <c r="J51" s="14">
        <v>73.52</v>
      </c>
    </row>
    <row r="52" spans="1:10" ht="24" x14ac:dyDescent="0.25">
      <c r="A52" s="565"/>
      <c r="B52" s="563"/>
      <c r="C52" s="47" t="s">
        <v>57</v>
      </c>
      <c r="D52" s="16"/>
      <c r="E52" s="13"/>
      <c r="F52" s="14"/>
      <c r="G52" s="53"/>
      <c r="H52" s="14">
        <f>358+25</f>
        <v>383</v>
      </c>
      <c r="I52" s="14">
        <f>358+25</f>
        <v>383</v>
      </c>
      <c r="J52" s="14">
        <v>383</v>
      </c>
    </row>
    <row r="53" spans="1:10" ht="4.5" customHeight="1" x14ac:dyDescent="0.25">
      <c r="A53" s="565"/>
      <c r="B53" s="37"/>
      <c r="C53" s="38"/>
      <c r="D53" s="39"/>
      <c r="E53" s="39"/>
      <c r="F53" s="40"/>
      <c r="G53" s="53"/>
      <c r="H53" s="40"/>
      <c r="I53" s="41"/>
      <c r="J53" s="41"/>
    </row>
    <row r="54" spans="1:10" x14ac:dyDescent="0.25">
      <c r="A54" s="565"/>
      <c r="B54" s="559" t="s">
        <v>83</v>
      </c>
      <c r="C54" s="47" t="s">
        <v>84</v>
      </c>
      <c r="D54" s="16"/>
      <c r="E54" s="13"/>
      <c r="F54" s="14"/>
      <c r="G54" s="53"/>
      <c r="H54" s="14"/>
      <c r="I54" s="14"/>
      <c r="J54" s="14"/>
    </row>
    <row r="55" spans="1:10" x14ac:dyDescent="0.25">
      <c r="A55" s="565"/>
      <c r="B55" s="562"/>
      <c r="C55" s="33" t="s">
        <v>14</v>
      </c>
      <c r="D55" s="16"/>
      <c r="E55" s="13"/>
      <c r="F55" s="14"/>
      <c r="G55" s="53"/>
      <c r="H55" s="14">
        <f>58.51+1.89+6.64</f>
        <v>67.039999999999992</v>
      </c>
      <c r="I55" s="14">
        <f>198.28-73.55-3.15-2.69+2.77+3.26</f>
        <v>124.92</v>
      </c>
      <c r="J55" s="71"/>
    </row>
    <row r="56" spans="1:10" x14ac:dyDescent="0.25">
      <c r="A56" s="565"/>
      <c r="B56" s="562"/>
      <c r="C56" s="29" t="s">
        <v>110</v>
      </c>
      <c r="D56" s="16"/>
      <c r="E56" s="13"/>
      <c r="F56" s="14"/>
      <c r="G56" s="53"/>
      <c r="H56" s="14"/>
      <c r="I56" s="14"/>
      <c r="J56" s="14"/>
    </row>
    <row r="57" spans="1:10" x14ac:dyDescent="0.25">
      <c r="A57" s="565"/>
      <c r="B57" s="562"/>
      <c r="C57" s="29" t="s">
        <v>111</v>
      </c>
      <c r="D57" s="16"/>
      <c r="E57" s="13"/>
      <c r="F57" s="14"/>
      <c r="G57" s="53"/>
      <c r="H57" s="14"/>
      <c r="I57" s="14"/>
      <c r="J57" s="14"/>
    </row>
    <row r="58" spans="1:10" x14ac:dyDescent="0.25">
      <c r="A58" s="565"/>
      <c r="B58" s="562"/>
      <c r="C58" s="29" t="s">
        <v>114</v>
      </c>
      <c r="D58" s="16"/>
      <c r="E58" s="13"/>
      <c r="F58" s="14"/>
      <c r="G58" s="53"/>
      <c r="H58" s="14"/>
      <c r="I58" s="14"/>
      <c r="J58" s="14"/>
    </row>
    <row r="59" spans="1:10" x14ac:dyDescent="0.25">
      <c r="A59" s="565"/>
      <c r="B59" s="562"/>
      <c r="C59" s="29" t="s">
        <v>16</v>
      </c>
      <c r="D59" s="16"/>
      <c r="E59" s="13"/>
      <c r="F59" s="14"/>
      <c r="G59" s="53"/>
      <c r="H59" s="14">
        <f>7.64-5.75</f>
        <v>1.8899999999999997</v>
      </c>
      <c r="I59" s="14">
        <f>9.33-6.18</f>
        <v>3.1500000000000004</v>
      </c>
      <c r="J59" s="14">
        <v>1.48</v>
      </c>
    </row>
    <row r="60" spans="1:10" x14ac:dyDescent="0.25">
      <c r="A60" s="565"/>
      <c r="B60" s="562"/>
      <c r="C60" s="29" t="s">
        <v>17</v>
      </c>
      <c r="D60" s="16"/>
      <c r="E60" s="13"/>
      <c r="F60" s="14"/>
      <c r="G60" s="53"/>
      <c r="H60" s="14">
        <f>1.39-0.77</f>
        <v>0.61999999999999988</v>
      </c>
      <c r="I60" s="14">
        <f>3.58-0.89</f>
        <v>2.69</v>
      </c>
      <c r="J60" s="14">
        <v>0.75</v>
      </c>
    </row>
    <row r="61" spans="1:10" x14ac:dyDescent="0.25">
      <c r="A61" s="573"/>
      <c r="B61" s="563"/>
      <c r="C61" s="29" t="s">
        <v>18</v>
      </c>
      <c r="D61" s="16"/>
      <c r="E61" s="13"/>
      <c r="F61" s="14"/>
      <c r="G61" s="53"/>
      <c r="H61" s="14"/>
      <c r="I61" s="14"/>
      <c r="J61" s="14"/>
    </row>
    <row r="62" spans="1:10" s="44" customFormat="1" ht="5.25" customHeight="1" x14ac:dyDescent="0.25">
      <c r="A62" s="37"/>
      <c r="B62" s="45"/>
      <c r="C62" s="38"/>
      <c r="D62" s="39"/>
      <c r="E62" s="39"/>
      <c r="F62" s="40"/>
      <c r="G62" s="53"/>
      <c r="H62" s="40"/>
      <c r="I62" s="41"/>
      <c r="J62" s="41"/>
    </row>
    <row r="63" spans="1:10" ht="15" customHeight="1" x14ac:dyDescent="0.25">
      <c r="A63" s="574" t="s">
        <v>60</v>
      </c>
      <c r="B63" s="576" t="s">
        <v>86</v>
      </c>
      <c r="C63" s="48" t="s">
        <v>58</v>
      </c>
      <c r="D63" s="16"/>
      <c r="E63" s="13"/>
      <c r="F63" s="14"/>
      <c r="G63" s="53"/>
      <c r="H63" s="14">
        <f>H55+H51</f>
        <v>139.93</v>
      </c>
      <c r="I63" s="14">
        <f>I55+I51</f>
        <v>198.47000000000003</v>
      </c>
      <c r="J63" s="14">
        <f>J55+J51</f>
        <v>73.52</v>
      </c>
    </row>
    <row r="64" spans="1:10" x14ac:dyDescent="0.25">
      <c r="A64" s="575"/>
      <c r="B64" s="577"/>
      <c r="C64" s="48" t="s">
        <v>59</v>
      </c>
      <c r="D64" s="16"/>
      <c r="E64" s="13"/>
      <c r="F64" s="14"/>
      <c r="G64" s="53"/>
      <c r="H64" s="14">
        <f>H63</f>
        <v>139.93</v>
      </c>
      <c r="I64" s="14">
        <f>I63+H64</f>
        <v>338.40000000000003</v>
      </c>
      <c r="J64" s="14">
        <f>J63+I64</f>
        <v>411.92</v>
      </c>
    </row>
    <row r="65" spans="1:10" ht="24" x14ac:dyDescent="0.25">
      <c r="A65" s="575"/>
      <c r="B65" s="554"/>
      <c r="C65" s="48" t="s">
        <v>85</v>
      </c>
      <c r="D65" s="16"/>
      <c r="E65" s="13"/>
      <c r="F65" s="14"/>
      <c r="G65" s="53"/>
      <c r="H65" s="14" t="e">
        <f>H64/H4</f>
        <v>#DIV/0!</v>
      </c>
      <c r="I65" s="14" t="e">
        <f>I64/I4</f>
        <v>#DIV/0!</v>
      </c>
      <c r="J65" s="14" t="e">
        <f>J64/J4</f>
        <v>#DIV/0!</v>
      </c>
    </row>
    <row r="66" spans="1:10" ht="4.5" customHeight="1" x14ac:dyDescent="0.25">
      <c r="A66" s="575"/>
      <c r="B66" s="31"/>
      <c r="C66" s="38"/>
      <c r="D66" s="39"/>
      <c r="E66" s="39"/>
      <c r="F66" s="40"/>
      <c r="G66" s="53"/>
      <c r="H66" s="40"/>
      <c r="I66" s="41"/>
      <c r="J66" s="41"/>
    </row>
    <row r="67" spans="1:10" x14ac:dyDescent="0.25">
      <c r="A67" s="575"/>
      <c r="B67" s="576" t="s">
        <v>87</v>
      </c>
      <c r="C67" s="48" t="s">
        <v>112</v>
      </c>
      <c r="D67" s="16"/>
      <c r="E67" s="13"/>
      <c r="F67" s="14"/>
      <c r="G67" s="53"/>
      <c r="H67" s="14"/>
      <c r="I67" s="14"/>
      <c r="J67" s="14"/>
    </row>
    <row r="68" spans="1:10" ht="24" x14ac:dyDescent="0.25">
      <c r="A68" s="575"/>
      <c r="B68" s="577"/>
      <c r="C68" s="48" t="s">
        <v>113</v>
      </c>
      <c r="D68" s="16"/>
      <c r="E68" s="13"/>
      <c r="F68" s="14"/>
      <c r="G68" s="53"/>
      <c r="H68" s="14"/>
      <c r="I68" s="14"/>
      <c r="J68" s="14"/>
    </row>
    <row r="69" spans="1:10" ht="4.5" customHeight="1" x14ac:dyDescent="0.25">
      <c r="A69" s="575"/>
      <c r="B69" s="577"/>
      <c r="C69" s="38"/>
      <c r="D69" s="39"/>
      <c r="E69" s="39"/>
      <c r="F69" s="40"/>
      <c r="G69" s="53"/>
      <c r="H69" s="40"/>
      <c r="I69" s="41"/>
      <c r="J69" s="41"/>
    </row>
    <row r="70" spans="1:10" ht="24" x14ac:dyDescent="0.25">
      <c r="A70" s="575"/>
      <c r="B70" s="577"/>
      <c r="C70" s="48" t="s">
        <v>115</v>
      </c>
      <c r="D70" s="16"/>
      <c r="E70" s="13"/>
      <c r="F70" s="14"/>
      <c r="G70" s="53"/>
      <c r="H70" s="14"/>
      <c r="I70" s="14"/>
      <c r="J70" s="14"/>
    </row>
    <row r="71" spans="1:10" ht="24" x14ac:dyDescent="0.25">
      <c r="A71" s="575"/>
      <c r="B71" s="577"/>
      <c r="C71" s="48" t="s">
        <v>116</v>
      </c>
      <c r="D71" s="16"/>
      <c r="E71" s="13"/>
      <c r="F71" s="14"/>
      <c r="G71" s="53"/>
      <c r="H71" s="14"/>
      <c r="I71" s="14"/>
      <c r="J71" s="14"/>
    </row>
    <row r="72" spans="1:10" ht="4.5" customHeight="1" x14ac:dyDescent="0.25">
      <c r="A72" s="575"/>
      <c r="B72" s="577"/>
      <c r="C72" s="38"/>
      <c r="D72" s="39"/>
      <c r="E72" s="39"/>
      <c r="F72" s="40"/>
      <c r="G72" s="53"/>
      <c r="H72" s="40"/>
      <c r="I72" s="41"/>
      <c r="J72" s="41"/>
    </row>
    <row r="73" spans="1:10" x14ac:dyDescent="0.25">
      <c r="A73" s="575"/>
      <c r="B73" s="577"/>
      <c r="C73" s="48" t="s">
        <v>88</v>
      </c>
      <c r="D73" s="16"/>
      <c r="E73" s="13"/>
      <c r="F73" s="14"/>
      <c r="G73" s="53"/>
      <c r="H73" s="14"/>
      <c r="I73" s="14"/>
      <c r="J73" s="14"/>
    </row>
    <row r="74" spans="1:10" ht="24" x14ac:dyDescent="0.25">
      <c r="A74" s="575"/>
      <c r="B74" s="554"/>
      <c r="C74" s="48" t="s">
        <v>89</v>
      </c>
      <c r="D74" s="16"/>
      <c r="E74" s="13"/>
      <c r="F74" s="14"/>
      <c r="G74" s="53"/>
      <c r="H74" s="69"/>
      <c r="I74" s="69"/>
      <c r="J74" s="69"/>
    </row>
    <row r="75" spans="1:10" s="44" customFormat="1" ht="5.25" customHeight="1" x14ac:dyDescent="0.25">
      <c r="A75" s="37"/>
      <c r="B75" s="45"/>
      <c r="C75" s="38"/>
      <c r="D75" s="39"/>
      <c r="E75" s="39"/>
      <c r="F75" s="40"/>
      <c r="G75" s="53"/>
      <c r="H75" s="40"/>
      <c r="I75" s="41"/>
      <c r="J75" s="41"/>
    </row>
    <row r="76" spans="1:10" ht="24" x14ac:dyDescent="0.25">
      <c r="A76" s="578" t="s">
        <v>32</v>
      </c>
      <c r="B76" s="579"/>
      <c r="C76" s="30" t="s">
        <v>33</v>
      </c>
      <c r="D76" s="16"/>
      <c r="E76" s="16"/>
      <c r="F76" s="16"/>
      <c r="G76" s="60"/>
      <c r="H76" s="70">
        <f>(+H9+H10+H14+H15)/H52</f>
        <v>0.32621409921671024</v>
      </c>
      <c r="I76" s="70">
        <f>(+I9+I10+I14+I15)/I52</f>
        <v>0.40728459530026112</v>
      </c>
      <c r="J76" s="70">
        <f>(+J9+J10+J14+J15)/J52</f>
        <v>0.3309373368146214</v>
      </c>
    </row>
    <row r="77" spans="1:10" x14ac:dyDescent="0.25">
      <c r="A77" s="580"/>
      <c r="B77" s="581"/>
      <c r="C77" s="30" t="s">
        <v>34</v>
      </c>
      <c r="D77" s="16"/>
      <c r="E77" s="16"/>
      <c r="F77" s="16"/>
      <c r="G77" s="60"/>
      <c r="H77" s="70">
        <f>+(H10+H14+H15)/H51</f>
        <v>0.7431746467279462</v>
      </c>
      <c r="I77" s="70">
        <f>+(I10+I14+I15)/I51</f>
        <v>1.0694765465669611</v>
      </c>
      <c r="J77" s="70">
        <f>+(J10+J14+J15)/J51</f>
        <v>0.54609630032644185</v>
      </c>
    </row>
    <row r="78" spans="1:10" s="44" customFormat="1" ht="5.25" customHeight="1" x14ac:dyDescent="0.25">
      <c r="A78" s="37"/>
      <c r="B78" s="45"/>
      <c r="C78" s="38"/>
      <c r="D78" s="39"/>
      <c r="E78" s="39"/>
      <c r="F78" s="40"/>
      <c r="G78" s="53"/>
      <c r="H78" s="40"/>
      <c r="I78" s="41"/>
      <c r="J78" s="41"/>
    </row>
    <row r="79" spans="1:10" ht="15" customHeight="1" x14ac:dyDescent="0.25">
      <c r="A79" s="24" t="s">
        <v>35</v>
      </c>
      <c r="B79" s="24"/>
      <c r="C79" s="24"/>
      <c r="D79" s="12"/>
      <c r="E79" s="12"/>
      <c r="F79" s="66"/>
      <c r="G79" s="59"/>
      <c r="H79" s="12"/>
      <c r="I79" s="12"/>
      <c r="J79" s="12"/>
    </row>
    <row r="80" spans="1:10" s="44" customFormat="1" ht="5.25" customHeight="1" x14ac:dyDescent="0.25">
      <c r="A80" s="37"/>
      <c r="B80" s="45"/>
      <c r="C80" s="38"/>
      <c r="D80" s="39"/>
      <c r="E80" s="39"/>
      <c r="F80" s="40"/>
      <c r="G80" s="53"/>
      <c r="H80" s="40"/>
      <c r="I80" s="41"/>
      <c r="J80" s="41"/>
    </row>
    <row r="81" spans="1:10" ht="24" customHeight="1" x14ac:dyDescent="0.25">
      <c r="A81" s="582" t="s">
        <v>103</v>
      </c>
      <c r="B81" s="583"/>
      <c r="C81" s="52" t="s">
        <v>96</v>
      </c>
      <c r="D81" s="13"/>
      <c r="E81" s="13"/>
      <c r="F81" s="14"/>
      <c r="G81" s="53"/>
      <c r="H81" s="67"/>
      <c r="I81" s="67"/>
      <c r="J81" s="67"/>
    </row>
    <row r="82" spans="1:10" ht="24" x14ac:dyDescent="0.25">
      <c r="A82" s="584"/>
      <c r="B82" s="585"/>
      <c r="C82" s="52" t="s">
        <v>97</v>
      </c>
      <c r="D82" s="13"/>
      <c r="E82" s="13"/>
      <c r="F82" s="14"/>
      <c r="G82" s="53"/>
      <c r="H82" s="14"/>
      <c r="I82" s="14"/>
      <c r="J82" s="14"/>
    </row>
    <row r="83" spans="1:10" ht="24" customHeight="1" x14ac:dyDescent="0.25">
      <c r="A83" s="586"/>
      <c r="B83" s="587"/>
      <c r="C83" s="52" t="s">
        <v>98</v>
      </c>
      <c r="D83" s="13"/>
      <c r="E83" s="13"/>
      <c r="F83" s="14"/>
      <c r="G83" s="53"/>
      <c r="H83" s="14"/>
      <c r="I83" s="14"/>
      <c r="J83" s="14"/>
    </row>
    <row r="84" spans="1:10" s="57" customFormat="1" ht="5.25" customHeight="1" x14ac:dyDescent="0.25">
      <c r="A84" s="55"/>
      <c r="B84" s="55"/>
      <c r="C84" s="56"/>
      <c r="D84" s="56"/>
      <c r="E84" s="56"/>
      <c r="F84" s="54"/>
      <c r="G84" s="53"/>
      <c r="H84" s="54"/>
      <c r="I84" s="53"/>
      <c r="J84" s="53"/>
    </row>
    <row r="85" spans="1:10" ht="27.75" customHeight="1" x14ac:dyDescent="0.25">
      <c r="A85" s="557" t="s">
        <v>91</v>
      </c>
      <c r="B85" s="557"/>
      <c r="C85" s="21" t="s">
        <v>92</v>
      </c>
      <c r="D85" s="13"/>
      <c r="E85" s="13"/>
      <c r="F85" s="14"/>
      <c r="G85" s="53"/>
      <c r="H85" s="69">
        <v>1308</v>
      </c>
      <c r="I85" s="69">
        <v>1565</v>
      </c>
      <c r="J85" s="69"/>
    </row>
    <row r="86" spans="1:10" s="44" customFormat="1" ht="5.25" customHeight="1" x14ac:dyDescent="0.25">
      <c r="A86" s="37"/>
      <c r="B86" s="45"/>
      <c r="C86" s="38"/>
      <c r="D86" s="39"/>
      <c r="E86" s="39"/>
      <c r="F86" s="40"/>
      <c r="G86" s="53"/>
      <c r="H86" s="40"/>
      <c r="I86" s="41"/>
      <c r="J86" s="41"/>
    </row>
    <row r="87" spans="1:10" x14ac:dyDescent="0.25">
      <c r="A87" s="588" t="s">
        <v>94</v>
      </c>
      <c r="B87" s="589"/>
      <c r="C87" s="52" t="s">
        <v>95</v>
      </c>
      <c r="D87" s="13"/>
      <c r="E87" s="13"/>
      <c r="F87" s="14"/>
      <c r="G87" s="53"/>
      <c r="H87" s="14"/>
      <c r="I87" s="14"/>
      <c r="J87" s="14"/>
    </row>
    <row r="88" spans="1:10" s="44" customFormat="1" ht="5.25" customHeight="1" x14ac:dyDescent="0.25">
      <c r="A88" s="37"/>
      <c r="B88" s="45"/>
      <c r="C88" s="38"/>
      <c r="D88" s="39"/>
      <c r="E88" s="39"/>
      <c r="F88" s="40"/>
      <c r="G88" s="53"/>
      <c r="H88" s="40"/>
      <c r="I88" s="41"/>
      <c r="J88" s="41"/>
    </row>
    <row r="89" spans="1:10" ht="15" customHeight="1" x14ac:dyDescent="0.25">
      <c r="A89" s="24" t="s">
        <v>104</v>
      </c>
      <c r="B89" s="24"/>
      <c r="C89" s="24"/>
      <c r="D89" s="12"/>
      <c r="E89" s="12"/>
      <c r="F89" s="66"/>
      <c r="G89" s="59"/>
      <c r="H89" s="12"/>
      <c r="I89" s="12"/>
      <c r="J89" s="12"/>
    </row>
    <row r="90" spans="1:10" s="44" customFormat="1" ht="5.25" customHeight="1" x14ac:dyDescent="0.25">
      <c r="A90" s="37"/>
      <c r="B90" s="45"/>
      <c r="C90" s="38"/>
      <c r="D90" s="39"/>
      <c r="E90" s="39"/>
      <c r="F90" s="40"/>
      <c r="G90" s="53"/>
      <c r="H90" s="40"/>
      <c r="I90" s="41"/>
      <c r="J90" s="41"/>
    </row>
    <row r="91" spans="1:10" ht="36.75" customHeight="1" x14ac:dyDescent="0.25">
      <c r="A91" s="590" t="s">
        <v>36</v>
      </c>
      <c r="B91" s="590" t="s">
        <v>14</v>
      </c>
      <c r="C91" s="28" t="s">
        <v>37</v>
      </c>
      <c r="D91" s="13"/>
      <c r="E91" s="13"/>
      <c r="F91" s="14"/>
      <c r="G91" s="53"/>
      <c r="H91" s="71"/>
      <c r="I91" s="71"/>
      <c r="J91" s="71"/>
    </row>
    <row r="92" spans="1:10" ht="29.25" customHeight="1" x14ac:dyDescent="0.25">
      <c r="A92" s="590"/>
      <c r="B92" s="590"/>
      <c r="C92" s="28" t="s">
        <v>38</v>
      </c>
      <c r="D92" s="13"/>
      <c r="E92" s="13"/>
      <c r="F92" s="14"/>
      <c r="G92" s="53"/>
      <c r="H92" s="71"/>
      <c r="I92" s="71"/>
      <c r="J92" s="71"/>
    </row>
    <row r="93" spans="1:10" x14ac:dyDescent="0.25">
      <c r="A93" s="590"/>
      <c r="B93" s="590" t="s">
        <v>108</v>
      </c>
      <c r="C93" s="28" t="s">
        <v>62</v>
      </c>
      <c r="D93" s="13"/>
      <c r="E93" s="13"/>
      <c r="F93" s="14"/>
      <c r="G93" s="53"/>
      <c r="H93" s="68"/>
      <c r="I93" s="68"/>
      <c r="J93" s="68"/>
    </row>
    <row r="94" spans="1:10" x14ac:dyDescent="0.25">
      <c r="A94" s="590"/>
      <c r="B94" s="590"/>
      <c r="C94" s="28" t="s">
        <v>61</v>
      </c>
      <c r="D94" s="13"/>
      <c r="E94" s="13"/>
      <c r="F94" s="14"/>
      <c r="G94" s="53"/>
      <c r="H94" s="68"/>
      <c r="I94" s="68"/>
      <c r="J94" s="68"/>
    </row>
    <row r="95" spans="1:10" x14ac:dyDescent="0.25">
      <c r="A95" s="590"/>
      <c r="B95" s="590"/>
      <c r="C95" s="28" t="s">
        <v>63</v>
      </c>
      <c r="D95" s="13"/>
      <c r="E95" s="13"/>
      <c r="F95" s="14"/>
      <c r="G95" s="53"/>
      <c r="H95" s="68"/>
      <c r="I95" s="68"/>
      <c r="J95" s="68"/>
    </row>
    <row r="96" spans="1:10" x14ac:dyDescent="0.25">
      <c r="A96" s="590"/>
      <c r="B96" s="590" t="s">
        <v>15</v>
      </c>
      <c r="C96" s="28" t="s">
        <v>39</v>
      </c>
      <c r="D96" s="13"/>
      <c r="E96" s="13"/>
      <c r="F96" s="14"/>
      <c r="G96" s="53"/>
      <c r="H96" s="14"/>
      <c r="I96" s="14"/>
      <c r="J96" s="14"/>
    </row>
    <row r="97" spans="1:10" x14ac:dyDescent="0.25">
      <c r="A97" s="590"/>
      <c r="B97" s="590"/>
      <c r="C97" s="28" t="s">
        <v>40</v>
      </c>
      <c r="D97" s="13"/>
      <c r="E97" s="13"/>
      <c r="F97" s="14"/>
      <c r="G97" s="53"/>
      <c r="H97" s="14"/>
      <c r="I97" s="14"/>
      <c r="J97" s="14"/>
    </row>
    <row r="98" spans="1:10" x14ac:dyDescent="0.25">
      <c r="A98" s="590"/>
      <c r="B98" s="590" t="s">
        <v>41</v>
      </c>
      <c r="C98" s="28" t="s">
        <v>64</v>
      </c>
      <c r="D98" s="13"/>
      <c r="E98" s="13"/>
      <c r="F98" s="14"/>
      <c r="G98" s="53"/>
      <c r="H98" s="71">
        <f>70*30</f>
        <v>2100</v>
      </c>
      <c r="I98" s="71">
        <f>70*31</f>
        <v>2170</v>
      </c>
      <c r="J98" s="71"/>
    </row>
    <row r="99" spans="1:10" x14ac:dyDescent="0.25">
      <c r="A99" s="590"/>
      <c r="B99" s="590"/>
      <c r="C99" s="28" t="s">
        <v>65</v>
      </c>
      <c r="D99" s="13"/>
      <c r="E99" s="13"/>
      <c r="F99" s="14"/>
      <c r="G99" s="53"/>
      <c r="H99" s="71"/>
      <c r="I99" s="71"/>
      <c r="J99" s="71"/>
    </row>
    <row r="100" spans="1:10" x14ac:dyDescent="0.25">
      <c r="A100" s="590"/>
      <c r="B100" s="590"/>
      <c r="C100" s="28" t="s">
        <v>66</v>
      </c>
      <c r="D100" s="13"/>
      <c r="E100" s="13"/>
      <c r="F100" s="14"/>
      <c r="G100" s="53"/>
      <c r="H100" s="71"/>
      <c r="I100" s="71"/>
      <c r="J100" s="71"/>
    </row>
    <row r="101" spans="1:10" x14ac:dyDescent="0.25">
      <c r="A101" s="590"/>
      <c r="B101" s="590"/>
      <c r="C101" s="28" t="s">
        <v>67</v>
      </c>
      <c r="D101" s="13"/>
      <c r="E101" s="13"/>
      <c r="F101" s="14"/>
      <c r="G101" s="53"/>
      <c r="H101" s="71"/>
      <c r="I101" s="71"/>
      <c r="J101" s="71"/>
    </row>
    <row r="102" spans="1:10" s="57" customFormat="1" ht="5.25" customHeight="1" x14ac:dyDescent="0.25">
      <c r="A102" s="55"/>
      <c r="B102" s="55"/>
      <c r="C102" s="56"/>
      <c r="D102" s="56"/>
      <c r="E102" s="56"/>
      <c r="F102" s="54"/>
      <c r="G102" s="53"/>
      <c r="H102" s="54"/>
      <c r="I102" s="53"/>
      <c r="J102" s="53"/>
    </row>
    <row r="103" spans="1:10" ht="48" customHeight="1" x14ac:dyDescent="0.25">
      <c r="A103" s="591" t="s">
        <v>101</v>
      </c>
      <c r="B103" s="591"/>
      <c r="C103" s="52" t="s">
        <v>102</v>
      </c>
      <c r="D103" s="13"/>
      <c r="E103" s="13"/>
      <c r="F103" s="14"/>
      <c r="G103" s="53"/>
      <c r="H103" s="14"/>
      <c r="I103" s="14"/>
      <c r="J103" s="14"/>
    </row>
    <row r="104" spans="1:10" ht="48" customHeight="1" x14ac:dyDescent="0.25">
      <c r="A104" s="591"/>
      <c r="B104" s="591"/>
      <c r="C104" s="52" t="s">
        <v>99</v>
      </c>
      <c r="D104" s="13"/>
      <c r="E104" s="13"/>
      <c r="F104" s="14"/>
      <c r="G104" s="53"/>
      <c r="H104" s="14"/>
      <c r="I104" s="14"/>
      <c r="J104" s="14"/>
    </row>
    <row r="105" spans="1:10" ht="24" customHeight="1" x14ac:dyDescent="0.25">
      <c r="A105" s="591"/>
      <c r="B105" s="591"/>
      <c r="C105" s="52" t="s">
        <v>100</v>
      </c>
      <c r="D105" s="13"/>
      <c r="E105" s="13"/>
      <c r="F105" s="14"/>
      <c r="G105" s="53"/>
      <c r="H105" s="14"/>
      <c r="I105" s="14"/>
      <c r="J105" s="14"/>
    </row>
    <row r="106" spans="1:10" s="57" customFormat="1" ht="5.25" customHeight="1" x14ac:dyDescent="0.25">
      <c r="A106" s="55"/>
      <c r="B106" s="55"/>
      <c r="C106" s="56"/>
      <c r="D106" s="56"/>
      <c r="E106" s="56"/>
      <c r="F106" s="54"/>
      <c r="G106" s="53"/>
      <c r="H106" s="54"/>
      <c r="I106" s="53"/>
      <c r="J106" s="53"/>
    </row>
    <row r="107" spans="1:10" ht="22.5" customHeight="1" x14ac:dyDescent="0.25">
      <c r="A107" s="588" t="s">
        <v>106</v>
      </c>
      <c r="B107" s="589"/>
      <c r="C107" s="52" t="s">
        <v>105</v>
      </c>
      <c r="D107" s="13"/>
      <c r="E107" s="13"/>
      <c r="F107" s="14"/>
      <c r="G107" s="53"/>
      <c r="H107" s="14"/>
      <c r="I107" s="14"/>
      <c r="J107" s="14"/>
    </row>
    <row r="108" spans="1:10" s="57" customFormat="1" ht="5.25" customHeight="1" x14ac:dyDescent="0.25">
      <c r="A108" s="55"/>
      <c r="B108" s="55"/>
      <c r="C108" s="56"/>
      <c r="D108" s="56"/>
      <c r="E108" s="56"/>
      <c r="F108" s="54"/>
      <c r="G108" s="53"/>
      <c r="H108" s="54"/>
      <c r="I108" s="53"/>
      <c r="J108" s="53"/>
    </row>
    <row r="109" spans="1:10" ht="15" customHeight="1" x14ac:dyDescent="0.25">
      <c r="A109" s="26" t="s">
        <v>9</v>
      </c>
      <c r="B109" s="24"/>
      <c r="C109" s="27"/>
      <c r="D109" s="17"/>
      <c r="E109" s="12"/>
      <c r="F109" s="65"/>
      <c r="G109" s="59"/>
      <c r="H109" s="12"/>
      <c r="I109" s="12"/>
      <c r="J109" s="12"/>
    </row>
    <row r="110" spans="1:10" s="57" customFormat="1" ht="5.25" customHeight="1" x14ac:dyDescent="0.25">
      <c r="A110" s="55"/>
      <c r="B110" s="55"/>
      <c r="C110" s="56"/>
      <c r="D110" s="56"/>
      <c r="E110" s="56"/>
      <c r="F110" s="54"/>
      <c r="G110" s="53"/>
      <c r="H110" s="54"/>
      <c r="I110" s="53"/>
      <c r="J110" s="53"/>
    </row>
    <row r="111" spans="1:10" x14ac:dyDescent="0.25">
      <c r="A111" s="592" t="s">
        <v>10</v>
      </c>
      <c r="B111" s="592"/>
      <c r="C111" s="20" t="s">
        <v>68</v>
      </c>
      <c r="D111" s="13"/>
      <c r="E111" s="13"/>
      <c r="F111" s="13"/>
      <c r="G111" s="61"/>
      <c r="H111" s="14"/>
      <c r="I111" s="14"/>
      <c r="J111" s="14"/>
    </row>
    <row r="112" spans="1:10" x14ac:dyDescent="0.25">
      <c r="A112" s="592" t="s">
        <v>42</v>
      </c>
      <c r="B112" s="592"/>
      <c r="C112" s="20" t="s">
        <v>69</v>
      </c>
      <c r="D112" s="13"/>
      <c r="E112" s="13"/>
      <c r="F112" s="13"/>
      <c r="G112" s="61"/>
      <c r="H112" s="14"/>
      <c r="I112" s="14"/>
      <c r="J112" s="14"/>
    </row>
    <row r="113" spans="1:10" ht="48.75" x14ac:dyDescent="0.25">
      <c r="A113" s="469" t="s">
        <v>43</v>
      </c>
      <c r="B113" s="470"/>
      <c r="C113" s="20" t="s">
        <v>90</v>
      </c>
      <c r="D113" s="13"/>
      <c r="E113" s="13"/>
      <c r="F113" s="13"/>
      <c r="G113" s="61"/>
      <c r="H113" s="14"/>
      <c r="I113" s="14"/>
      <c r="J113" s="14"/>
    </row>
    <row r="114" spans="1:10" x14ac:dyDescent="0.25">
      <c r="A114" s="471"/>
      <c r="B114" s="472"/>
      <c r="C114" s="20" t="s">
        <v>70</v>
      </c>
      <c r="D114" s="13"/>
      <c r="E114" s="13"/>
      <c r="F114" s="13"/>
      <c r="G114" s="61"/>
      <c r="H114" s="14"/>
      <c r="I114" s="14"/>
      <c r="J114" s="14"/>
    </row>
    <row r="115" spans="1:10" x14ac:dyDescent="0.25">
      <c r="A115" s="473"/>
      <c r="B115" s="474"/>
      <c r="C115" s="20" t="s">
        <v>71</v>
      </c>
      <c r="D115" s="13"/>
      <c r="E115" s="13"/>
      <c r="F115" s="13"/>
      <c r="G115" s="61"/>
      <c r="H115" s="14"/>
      <c r="I115" s="14"/>
      <c r="J115" s="14"/>
    </row>
    <row r="116" spans="1:10" x14ac:dyDescent="0.25">
      <c r="A116" s="8"/>
      <c r="B116" s="8"/>
      <c r="C116" s="8"/>
      <c r="D116" s="8"/>
      <c r="E116" s="8"/>
      <c r="F116" s="8"/>
      <c r="G116" s="53"/>
      <c r="H116" s="8"/>
      <c r="I116" s="8"/>
      <c r="J116" s="8"/>
    </row>
    <row r="117" spans="1:10" x14ac:dyDescent="0.25">
      <c r="A117" s="8"/>
      <c r="B117" s="8"/>
      <c r="C117" s="8"/>
      <c r="D117" s="8"/>
      <c r="E117" s="8"/>
      <c r="F117" s="8"/>
      <c r="G117" s="53"/>
      <c r="H117" s="8"/>
      <c r="I117" s="8"/>
      <c r="J117" s="8"/>
    </row>
    <row r="118" spans="1:10" x14ac:dyDescent="0.25">
      <c r="A118" s="18"/>
      <c r="B118" s="18"/>
      <c r="C118" s="18"/>
      <c r="D118" s="18"/>
      <c r="E118" s="18"/>
      <c r="F118" s="18"/>
      <c r="G118" s="62"/>
      <c r="H118" s="18"/>
      <c r="I118" s="18"/>
      <c r="J118" s="18"/>
    </row>
    <row r="119" spans="1:10" x14ac:dyDescent="0.25">
      <c r="A119" s="18"/>
      <c r="B119" s="18"/>
      <c r="C119" s="18"/>
      <c r="D119" s="18"/>
      <c r="E119" s="18"/>
      <c r="F119" s="18"/>
      <c r="G119" s="62"/>
      <c r="H119" s="18"/>
      <c r="I119" s="18"/>
      <c r="J119" s="18"/>
    </row>
    <row r="120" spans="1:10" x14ac:dyDescent="0.25">
      <c r="A120" s="18"/>
      <c r="B120" s="18"/>
      <c r="C120" s="18"/>
      <c r="D120" s="18"/>
      <c r="E120" s="18"/>
      <c r="F120" s="18"/>
      <c r="G120" s="62"/>
      <c r="H120" s="18"/>
      <c r="I120" s="18"/>
      <c r="J120" s="18"/>
    </row>
    <row r="121" spans="1:10" x14ac:dyDescent="0.25">
      <c r="A121" s="18"/>
      <c r="B121" s="18"/>
      <c r="C121" s="18"/>
      <c r="D121" s="18"/>
      <c r="E121" s="18"/>
      <c r="F121" s="18"/>
      <c r="G121" s="62"/>
      <c r="H121" s="18"/>
      <c r="I121" s="18"/>
      <c r="J121" s="18"/>
    </row>
    <row r="122" spans="1:10" x14ac:dyDescent="0.25">
      <c r="A122" s="18"/>
      <c r="B122" s="18"/>
      <c r="C122" s="18"/>
      <c r="D122" s="18"/>
      <c r="E122" s="18"/>
      <c r="F122" s="18"/>
      <c r="G122" s="62"/>
      <c r="H122" s="18"/>
      <c r="I122" s="18"/>
      <c r="J122" s="18"/>
    </row>
    <row r="123" spans="1:10" x14ac:dyDescent="0.25">
      <c r="A123" s="18"/>
      <c r="B123" s="18"/>
      <c r="C123" s="18"/>
      <c r="D123" s="18"/>
      <c r="E123" s="18"/>
      <c r="F123" s="18"/>
      <c r="G123" s="62"/>
      <c r="H123" s="18"/>
      <c r="I123" s="18"/>
      <c r="J123" s="18"/>
    </row>
    <row r="124" spans="1:10" x14ac:dyDescent="0.25">
      <c r="A124" s="18"/>
      <c r="B124" s="18"/>
      <c r="C124" s="18"/>
      <c r="D124" s="18"/>
      <c r="E124" s="18"/>
      <c r="F124" s="18"/>
      <c r="G124" s="62"/>
      <c r="H124" s="18"/>
      <c r="I124" s="18"/>
      <c r="J124" s="18"/>
    </row>
    <row r="125" spans="1:10" x14ac:dyDescent="0.25">
      <c r="A125" s="18"/>
      <c r="B125" s="18"/>
      <c r="C125" s="18"/>
      <c r="D125" s="18"/>
      <c r="E125" s="18"/>
      <c r="F125" s="18"/>
      <c r="G125" s="62"/>
      <c r="H125" s="18"/>
      <c r="I125" s="18"/>
      <c r="J125" s="18"/>
    </row>
    <row r="126" spans="1:10" x14ac:dyDescent="0.25">
      <c r="A126" s="18"/>
      <c r="B126" s="18"/>
      <c r="C126" s="18"/>
      <c r="D126" s="18"/>
      <c r="E126" s="18"/>
      <c r="F126" s="18"/>
      <c r="G126" s="62"/>
      <c r="H126" s="18"/>
      <c r="I126" s="18"/>
      <c r="J126" s="18"/>
    </row>
    <row r="127" spans="1:10" x14ac:dyDescent="0.25">
      <c r="A127" s="18"/>
      <c r="B127" s="18"/>
      <c r="C127" s="18"/>
      <c r="D127" s="18"/>
      <c r="E127" s="18"/>
      <c r="F127" s="18"/>
      <c r="G127" s="62"/>
      <c r="H127" s="18"/>
      <c r="I127" s="18"/>
      <c r="J127" s="18"/>
    </row>
    <row r="128" spans="1:10" x14ac:dyDescent="0.25">
      <c r="A128" s="18"/>
      <c r="B128" s="18"/>
      <c r="C128" s="18"/>
      <c r="D128" s="18"/>
      <c r="E128" s="18"/>
      <c r="F128" s="18"/>
      <c r="G128" s="62"/>
      <c r="H128" s="18"/>
      <c r="I128" s="18"/>
      <c r="J128" s="18"/>
    </row>
    <row r="129" spans="1:10" x14ac:dyDescent="0.25">
      <c r="A129" s="18"/>
      <c r="B129" s="18"/>
      <c r="C129" s="18"/>
      <c r="D129" s="18"/>
      <c r="E129" s="18"/>
      <c r="F129" s="18"/>
      <c r="G129" s="62"/>
      <c r="H129" s="18"/>
      <c r="I129" s="18"/>
      <c r="J129" s="18"/>
    </row>
    <row r="130" spans="1:10" x14ac:dyDescent="0.25">
      <c r="A130" s="18"/>
      <c r="B130" s="18"/>
      <c r="C130" s="18"/>
      <c r="D130" s="18"/>
      <c r="E130" s="18"/>
      <c r="F130" s="18"/>
      <c r="G130" s="62"/>
      <c r="H130" s="18"/>
      <c r="I130" s="18"/>
      <c r="J130" s="18"/>
    </row>
    <row r="131" spans="1:10" x14ac:dyDescent="0.25">
      <c r="A131" s="18"/>
      <c r="B131" s="18"/>
      <c r="C131" s="18"/>
      <c r="D131" s="18"/>
      <c r="E131" s="18"/>
      <c r="F131" s="18"/>
      <c r="G131" s="62"/>
      <c r="H131" s="18"/>
      <c r="I131" s="18"/>
      <c r="J131" s="18"/>
    </row>
    <row r="132" spans="1:10" x14ac:dyDescent="0.25">
      <c r="A132" s="18"/>
      <c r="B132" s="18"/>
      <c r="C132" s="18"/>
      <c r="D132" s="18"/>
      <c r="E132" s="18"/>
      <c r="F132" s="18"/>
      <c r="G132" s="62"/>
      <c r="H132" s="18"/>
      <c r="I132" s="18"/>
      <c r="J132" s="18"/>
    </row>
    <row r="133" spans="1:10" x14ac:dyDescent="0.25">
      <c r="A133" s="18"/>
      <c r="B133" s="18"/>
      <c r="C133" s="18"/>
      <c r="D133" s="18"/>
      <c r="E133" s="18"/>
      <c r="F133" s="18"/>
      <c r="G133" s="62"/>
      <c r="H133" s="18"/>
      <c r="I133" s="18"/>
      <c r="J133" s="18"/>
    </row>
    <row r="134" spans="1:10" x14ac:dyDescent="0.25">
      <c r="A134" s="18"/>
      <c r="B134" s="18"/>
      <c r="C134" s="18"/>
      <c r="D134" s="18"/>
      <c r="E134" s="18"/>
      <c r="F134" s="18"/>
      <c r="G134" s="62"/>
      <c r="H134" s="18"/>
      <c r="I134" s="18"/>
      <c r="J134" s="18"/>
    </row>
    <row r="135" spans="1:10" x14ac:dyDescent="0.25">
      <c r="A135" s="18"/>
      <c r="B135" s="18"/>
      <c r="C135" s="18"/>
      <c r="D135" s="18"/>
      <c r="E135" s="18"/>
      <c r="F135" s="18"/>
      <c r="G135" s="62"/>
      <c r="H135" s="18"/>
      <c r="I135" s="18"/>
      <c r="J135" s="18"/>
    </row>
    <row r="136" spans="1:10" x14ac:dyDescent="0.25">
      <c r="A136" s="18"/>
      <c r="B136" s="18"/>
      <c r="C136" s="18"/>
      <c r="D136" s="18"/>
      <c r="E136" s="18"/>
      <c r="F136" s="18"/>
      <c r="G136" s="62"/>
      <c r="H136" s="18"/>
      <c r="I136" s="18"/>
      <c r="J136" s="18"/>
    </row>
    <row r="137" spans="1:10" x14ac:dyDescent="0.25">
      <c r="A137" s="18"/>
      <c r="B137" s="18"/>
      <c r="C137" s="18"/>
      <c r="D137" s="18"/>
      <c r="E137" s="18"/>
      <c r="F137" s="18"/>
      <c r="G137" s="62"/>
      <c r="H137" s="18"/>
      <c r="I137" s="18"/>
      <c r="J137" s="18"/>
    </row>
    <row r="138" spans="1:10" x14ac:dyDescent="0.25">
      <c r="A138" s="18"/>
      <c r="B138" s="18"/>
      <c r="C138" s="18"/>
      <c r="D138" s="18"/>
      <c r="E138" s="18"/>
      <c r="F138" s="18"/>
      <c r="G138" s="62"/>
      <c r="H138" s="18"/>
      <c r="I138" s="18"/>
      <c r="J138" s="18"/>
    </row>
    <row r="139" spans="1:10" x14ac:dyDescent="0.25">
      <c r="A139" s="18"/>
      <c r="B139" s="18"/>
      <c r="C139" s="18"/>
      <c r="D139" s="18"/>
      <c r="E139" s="18"/>
      <c r="F139" s="18"/>
      <c r="G139" s="62"/>
      <c r="H139" s="18"/>
      <c r="I139" s="18"/>
      <c r="J139" s="18"/>
    </row>
    <row r="140" spans="1:10" x14ac:dyDescent="0.25">
      <c r="A140" s="18"/>
      <c r="B140" s="18"/>
      <c r="C140" s="18"/>
      <c r="D140" s="18"/>
      <c r="E140" s="18"/>
      <c r="F140" s="18"/>
      <c r="G140" s="62"/>
      <c r="H140" s="18"/>
      <c r="I140" s="18"/>
      <c r="J140" s="18"/>
    </row>
    <row r="141" spans="1:10" x14ac:dyDescent="0.25">
      <c r="A141" s="18"/>
      <c r="B141" s="18"/>
      <c r="C141" s="18"/>
      <c r="D141" s="18"/>
      <c r="E141" s="18"/>
      <c r="F141" s="18"/>
      <c r="G141" s="62"/>
      <c r="H141" s="18"/>
      <c r="I141" s="18"/>
      <c r="J141" s="18"/>
    </row>
    <row r="142" spans="1:10" x14ac:dyDescent="0.25">
      <c r="A142" s="18"/>
      <c r="B142" s="18"/>
      <c r="C142" s="18"/>
      <c r="D142" s="18"/>
      <c r="E142" s="18"/>
      <c r="F142" s="18"/>
      <c r="G142" s="62"/>
      <c r="H142" s="18"/>
      <c r="I142" s="18"/>
      <c r="J142" s="18"/>
    </row>
    <row r="143" spans="1:10" x14ac:dyDescent="0.25">
      <c r="A143" s="18"/>
      <c r="B143" s="18"/>
      <c r="C143" s="18"/>
      <c r="D143" s="18"/>
      <c r="E143" s="18"/>
      <c r="F143" s="18"/>
      <c r="G143" s="62"/>
      <c r="H143" s="18"/>
      <c r="I143" s="18"/>
      <c r="J143" s="18"/>
    </row>
    <row r="144" spans="1:10" x14ac:dyDescent="0.25">
      <c r="A144" s="18"/>
      <c r="B144" s="18"/>
      <c r="C144" s="18"/>
      <c r="D144" s="18"/>
      <c r="E144" s="18"/>
      <c r="F144" s="18"/>
      <c r="G144" s="62"/>
      <c r="H144" s="18"/>
      <c r="I144" s="18"/>
      <c r="J144" s="18"/>
    </row>
    <row r="145" spans="1:10" x14ac:dyDescent="0.25">
      <c r="A145" s="18"/>
      <c r="B145" s="18"/>
      <c r="C145" s="18"/>
      <c r="D145" s="18"/>
      <c r="E145" s="18"/>
      <c r="F145" s="18"/>
      <c r="G145" s="62"/>
      <c r="H145" s="18"/>
      <c r="I145" s="18"/>
      <c r="J145" s="18"/>
    </row>
    <row r="146" spans="1:10" x14ac:dyDescent="0.25">
      <c r="A146" s="18"/>
      <c r="B146" s="18"/>
      <c r="C146" s="18"/>
      <c r="D146" s="18"/>
      <c r="E146" s="18"/>
      <c r="F146" s="18"/>
      <c r="G146" s="62"/>
      <c r="H146" s="18"/>
      <c r="I146" s="18"/>
      <c r="J146" s="18"/>
    </row>
    <row r="147" spans="1:10" x14ac:dyDescent="0.25">
      <c r="A147" s="18"/>
      <c r="B147" s="18"/>
      <c r="C147" s="18"/>
      <c r="D147" s="18"/>
      <c r="E147" s="18"/>
      <c r="F147" s="18"/>
      <c r="G147" s="62"/>
      <c r="H147" s="18"/>
      <c r="I147" s="18"/>
      <c r="J147" s="18"/>
    </row>
    <row r="148" spans="1:10" x14ac:dyDescent="0.25">
      <c r="A148" s="18"/>
      <c r="B148" s="18"/>
      <c r="C148" s="18"/>
      <c r="D148" s="18"/>
      <c r="E148" s="18"/>
      <c r="F148" s="18"/>
      <c r="G148" s="62"/>
      <c r="H148" s="18"/>
      <c r="I148" s="18"/>
      <c r="J148" s="18"/>
    </row>
    <row r="149" spans="1:10" x14ac:dyDescent="0.25">
      <c r="A149" s="18"/>
      <c r="B149" s="18"/>
      <c r="C149" s="18"/>
      <c r="D149" s="18"/>
      <c r="E149" s="18"/>
      <c r="F149" s="18"/>
      <c r="G149" s="62"/>
      <c r="H149" s="18"/>
      <c r="I149" s="18"/>
      <c r="J149" s="18"/>
    </row>
    <row r="150" spans="1:10" x14ac:dyDescent="0.25">
      <c r="A150" s="18"/>
      <c r="B150" s="18"/>
      <c r="C150" s="18"/>
      <c r="D150" s="18"/>
      <c r="E150" s="18"/>
      <c r="F150" s="18"/>
      <c r="G150" s="62"/>
      <c r="H150" s="18"/>
      <c r="I150" s="18"/>
      <c r="J150" s="18"/>
    </row>
    <row r="151" spans="1:10" x14ac:dyDescent="0.25">
      <c r="A151" s="18"/>
      <c r="B151" s="18"/>
      <c r="C151" s="18"/>
      <c r="D151" s="18"/>
      <c r="E151" s="18"/>
      <c r="F151" s="18"/>
      <c r="G151" s="62"/>
      <c r="H151" s="18"/>
      <c r="I151" s="18"/>
      <c r="J151" s="18"/>
    </row>
    <row r="152" spans="1:10" x14ac:dyDescent="0.25">
      <c r="A152" s="18"/>
      <c r="B152" s="18"/>
      <c r="C152" s="18"/>
      <c r="D152" s="18"/>
      <c r="E152" s="18"/>
      <c r="F152" s="18"/>
      <c r="G152" s="62"/>
      <c r="H152" s="18"/>
      <c r="I152" s="18"/>
      <c r="J152" s="18"/>
    </row>
    <row r="153" spans="1:10" x14ac:dyDescent="0.25">
      <c r="A153" s="18"/>
      <c r="B153" s="18"/>
      <c r="C153" s="18"/>
      <c r="D153" s="18"/>
      <c r="E153" s="18"/>
      <c r="F153" s="18"/>
      <c r="G153" s="62"/>
      <c r="H153" s="18"/>
      <c r="I153" s="18"/>
      <c r="J153" s="18"/>
    </row>
    <row r="154" spans="1:10" x14ac:dyDescent="0.25">
      <c r="A154" s="18"/>
      <c r="B154" s="18"/>
      <c r="C154" s="18"/>
      <c r="D154" s="18"/>
      <c r="E154" s="18"/>
      <c r="F154" s="18"/>
      <c r="G154" s="62"/>
      <c r="H154" s="18"/>
      <c r="I154" s="18"/>
      <c r="J154" s="18"/>
    </row>
    <row r="155" spans="1:10" x14ac:dyDescent="0.25">
      <c r="A155" s="18"/>
      <c r="B155" s="18"/>
      <c r="C155" s="18"/>
      <c r="D155" s="18"/>
      <c r="E155" s="18"/>
      <c r="F155" s="18"/>
      <c r="G155" s="62"/>
      <c r="H155" s="18"/>
      <c r="I155" s="18"/>
      <c r="J155" s="18"/>
    </row>
    <row r="156" spans="1:10" x14ac:dyDescent="0.25">
      <c r="A156" s="18"/>
      <c r="B156" s="18"/>
      <c r="C156" s="18"/>
      <c r="D156" s="18"/>
      <c r="E156" s="18"/>
      <c r="F156" s="18"/>
      <c r="G156" s="62"/>
      <c r="H156" s="18"/>
      <c r="I156" s="18"/>
      <c r="J156" s="18"/>
    </row>
    <row r="157" spans="1:10" x14ac:dyDescent="0.25">
      <c r="A157" s="18"/>
      <c r="B157" s="18"/>
      <c r="C157" s="18"/>
      <c r="D157" s="18"/>
      <c r="E157" s="18"/>
      <c r="F157" s="18"/>
      <c r="G157" s="62"/>
      <c r="H157" s="18"/>
      <c r="I157" s="18"/>
      <c r="J157" s="18"/>
    </row>
    <row r="158" spans="1:10" x14ac:dyDescent="0.25">
      <c r="A158" s="19"/>
      <c r="B158" s="19"/>
      <c r="C158" s="19"/>
      <c r="D158" s="19"/>
      <c r="E158" s="19"/>
      <c r="F158" s="19"/>
      <c r="G158" s="63"/>
      <c r="H158" s="19"/>
      <c r="I158" s="19"/>
      <c r="J158" s="19"/>
    </row>
    <row r="159" spans="1:10" x14ac:dyDescent="0.25">
      <c r="A159" s="19"/>
      <c r="B159" s="19"/>
      <c r="C159" s="19"/>
      <c r="D159" s="19"/>
      <c r="E159" s="19"/>
      <c r="F159" s="19"/>
      <c r="G159" s="63"/>
      <c r="H159" s="19"/>
      <c r="I159" s="19"/>
      <c r="J159" s="19"/>
    </row>
    <row r="160" spans="1:10" x14ac:dyDescent="0.25">
      <c r="A160" s="19"/>
      <c r="B160" s="19"/>
      <c r="C160" s="19"/>
      <c r="D160" s="19"/>
      <c r="E160" s="19"/>
      <c r="F160" s="19"/>
      <c r="G160" s="63"/>
      <c r="H160" s="19"/>
      <c r="I160" s="19"/>
      <c r="J160" s="19"/>
    </row>
    <row r="161" spans="1:10" x14ac:dyDescent="0.25">
      <c r="A161" s="19"/>
      <c r="B161" s="19"/>
      <c r="C161" s="19"/>
      <c r="D161" s="19"/>
      <c r="E161" s="19"/>
      <c r="F161" s="19"/>
      <c r="G161" s="63"/>
      <c r="H161" s="19"/>
      <c r="I161" s="19"/>
      <c r="J161" s="19"/>
    </row>
    <row r="162" spans="1:10" x14ac:dyDescent="0.25">
      <c r="A162" s="19"/>
      <c r="B162" s="19"/>
      <c r="C162" s="19"/>
      <c r="D162" s="19"/>
      <c r="E162" s="19"/>
      <c r="F162" s="19"/>
      <c r="G162" s="63"/>
      <c r="H162" s="19"/>
      <c r="I162" s="19"/>
      <c r="J162" s="19"/>
    </row>
    <row r="163" spans="1:10" x14ac:dyDescent="0.25">
      <c r="A163" s="19"/>
      <c r="B163" s="19"/>
      <c r="C163" s="19"/>
      <c r="D163" s="19"/>
      <c r="E163" s="19"/>
      <c r="F163" s="19"/>
      <c r="G163" s="63"/>
      <c r="H163" s="19"/>
      <c r="I163" s="19"/>
      <c r="J163" s="19"/>
    </row>
    <row r="164" spans="1:10" x14ac:dyDescent="0.25">
      <c r="A164" s="19"/>
      <c r="B164" s="19"/>
      <c r="C164" s="19"/>
      <c r="D164" s="19"/>
      <c r="E164" s="19"/>
      <c r="F164" s="19"/>
      <c r="G164" s="63"/>
      <c r="H164" s="19"/>
      <c r="I164" s="19"/>
      <c r="J164" s="19"/>
    </row>
    <row r="165" spans="1:10" x14ac:dyDescent="0.25">
      <c r="A165" s="19"/>
      <c r="B165" s="19"/>
      <c r="C165" s="19"/>
      <c r="D165" s="19"/>
      <c r="E165" s="19"/>
      <c r="F165" s="19"/>
      <c r="G165" s="63"/>
      <c r="H165" s="19"/>
      <c r="I165" s="19"/>
      <c r="J165" s="19"/>
    </row>
    <row r="166" spans="1:10" x14ac:dyDescent="0.25">
      <c r="A166" s="19"/>
      <c r="B166" s="19"/>
      <c r="C166" s="19"/>
      <c r="D166" s="19"/>
      <c r="E166" s="19"/>
      <c r="F166" s="19"/>
      <c r="G166" s="63"/>
      <c r="H166" s="19"/>
      <c r="I166" s="19"/>
      <c r="J166" s="19"/>
    </row>
    <row r="167" spans="1:10" x14ac:dyDescent="0.25">
      <c r="A167" s="19"/>
      <c r="B167" s="19"/>
      <c r="C167" s="19"/>
      <c r="D167" s="19"/>
      <c r="E167" s="19"/>
      <c r="F167" s="19"/>
      <c r="G167" s="63"/>
      <c r="H167" s="19"/>
      <c r="I167" s="19"/>
      <c r="J167" s="19"/>
    </row>
  </sheetData>
  <mergeCells count="29">
    <mergeCell ref="A107:B107"/>
    <mergeCell ref="A63:A74"/>
    <mergeCell ref="B67:B74"/>
    <mergeCell ref="B63:B65"/>
    <mergeCell ref="A87:B87"/>
    <mergeCell ref="A81:B83"/>
    <mergeCell ref="A103:B105"/>
    <mergeCell ref="A112:B112"/>
    <mergeCell ref="A113:B115"/>
    <mergeCell ref="A1:B1"/>
    <mergeCell ref="A27:B30"/>
    <mergeCell ref="A32:B38"/>
    <mergeCell ref="B93:B95"/>
    <mergeCell ref="B96:B97"/>
    <mergeCell ref="A76:B77"/>
    <mergeCell ref="B91:B92"/>
    <mergeCell ref="A3:A25"/>
    <mergeCell ref="B3:B7"/>
    <mergeCell ref="B9:B16"/>
    <mergeCell ref="B98:B101"/>
    <mergeCell ref="A91:A101"/>
    <mergeCell ref="A111:B111"/>
    <mergeCell ref="A85:B85"/>
    <mergeCell ref="B18:B25"/>
    <mergeCell ref="A41:A49"/>
    <mergeCell ref="B43:B49"/>
    <mergeCell ref="A51:A61"/>
    <mergeCell ref="B51:B52"/>
    <mergeCell ref="B54:B6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1" sqref="A11"/>
    </sheetView>
  </sheetViews>
  <sheetFormatPr defaultRowHeight="12" x14ac:dyDescent="0.2"/>
  <cols>
    <col min="1" max="1" width="38.140625" style="19" customWidth="1"/>
    <col min="2" max="16384" width="9.140625" style="19"/>
  </cols>
  <sheetData>
    <row r="2" spans="1:1" x14ac:dyDescent="0.2">
      <c r="A2" s="19" t="s">
        <v>44</v>
      </c>
    </row>
    <row r="3" spans="1:1" x14ac:dyDescent="0.2">
      <c r="A3" s="19" t="s">
        <v>45</v>
      </c>
    </row>
    <row r="4" spans="1:1" x14ac:dyDescent="0.2">
      <c r="A4" s="19" t="s">
        <v>46</v>
      </c>
    </row>
    <row r="5" spans="1:1" x14ac:dyDescent="0.2">
      <c r="A5" s="19" t="s">
        <v>47</v>
      </c>
    </row>
    <row r="6" spans="1:1" x14ac:dyDescent="0.2">
      <c r="A6" s="19" t="s">
        <v>48</v>
      </c>
    </row>
    <row r="7" spans="1:1" x14ac:dyDescent="0.2">
      <c r="A7" s="19" t="s">
        <v>49</v>
      </c>
    </row>
    <row r="8" spans="1:1" x14ac:dyDescent="0.2">
      <c r="A8" s="19" t="s">
        <v>50</v>
      </c>
    </row>
    <row r="9" spans="1:1" x14ac:dyDescent="0.2">
      <c r="A9" s="19" t="s">
        <v>51</v>
      </c>
    </row>
    <row r="10" spans="1:1" x14ac:dyDescent="0.2">
      <c r="A10" s="19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3"/>
  <sheetViews>
    <sheetView workbookViewId="0">
      <selection activeCell="D4" sqref="D4"/>
    </sheetView>
  </sheetViews>
  <sheetFormatPr defaultRowHeight="15" x14ac:dyDescent="0.25"/>
  <cols>
    <col min="3" max="3" width="20" bestFit="1" customWidth="1"/>
  </cols>
  <sheetData>
    <row r="2" spans="3:17" x14ac:dyDescent="0.25">
      <c r="D2" s="288">
        <v>41365</v>
      </c>
      <c r="E2" s="288">
        <v>41730</v>
      </c>
      <c r="F2" s="288">
        <v>41395</v>
      </c>
      <c r="G2" s="288">
        <v>41760</v>
      </c>
      <c r="H2" s="288"/>
      <c r="I2" s="288"/>
      <c r="O2" t="s">
        <v>12</v>
      </c>
      <c r="P2" t="s">
        <v>181</v>
      </c>
      <c r="Q2" t="s">
        <v>221</v>
      </c>
    </row>
    <row r="3" spans="3:17" x14ac:dyDescent="0.25">
      <c r="C3" s="289" t="s">
        <v>222</v>
      </c>
      <c r="D3" s="289">
        <v>9727281.4400000013</v>
      </c>
      <c r="E3" s="289">
        <v>16526954.880000001</v>
      </c>
      <c r="F3" s="289">
        <v>13720177.550000001</v>
      </c>
      <c r="G3" s="289">
        <v>16568850.24</v>
      </c>
      <c r="H3" s="290"/>
      <c r="I3" s="290"/>
      <c r="O3">
        <v>15380077</v>
      </c>
      <c r="P3">
        <v>7517784.5</v>
      </c>
      <c r="Q3">
        <f>O3-P3</f>
        <v>7862292.5</v>
      </c>
    </row>
    <row r="4" spans="3:17" x14ac:dyDescent="0.25">
      <c r="C4" s="289" t="s">
        <v>221</v>
      </c>
      <c r="D4" s="289">
        <f>10717076.44-D5</f>
        <v>8412998.4399999995</v>
      </c>
      <c r="E4" s="289">
        <f>14662042.48-E5</f>
        <v>11180433.48</v>
      </c>
      <c r="F4" s="289">
        <f>7343621.69-F5</f>
        <v>4419746.8600000003</v>
      </c>
      <c r="G4" s="289">
        <f>13730957.82-G5</f>
        <v>10418467.82</v>
      </c>
      <c r="H4" s="290"/>
      <c r="I4" s="290"/>
      <c r="O4">
        <v>1811903.55</v>
      </c>
      <c r="P4">
        <v>310307</v>
      </c>
      <c r="Q4">
        <f t="shared" ref="Q4:Q5" si="0">O4-P4</f>
        <v>1501596.55</v>
      </c>
    </row>
    <row r="5" spans="3:17" x14ac:dyDescent="0.25">
      <c r="C5" s="289" t="s">
        <v>186</v>
      </c>
      <c r="D5" s="289">
        <v>2304078</v>
      </c>
      <c r="E5" s="289">
        <v>3481609</v>
      </c>
      <c r="F5" s="289">
        <v>2923874.83</v>
      </c>
      <c r="G5" s="289">
        <v>3312490</v>
      </c>
      <c r="H5" s="290"/>
      <c r="I5" s="290"/>
      <c r="O5">
        <v>1536804</v>
      </c>
      <c r="P5">
        <v>1065870</v>
      </c>
      <c r="Q5">
        <f t="shared" si="0"/>
        <v>470934</v>
      </c>
    </row>
    <row r="6" spans="3:17" x14ac:dyDescent="0.25">
      <c r="C6" s="289" t="s">
        <v>181</v>
      </c>
      <c r="D6" s="291">
        <f>D3-D4-D5</f>
        <v>-989794.99999999814</v>
      </c>
      <c r="E6" s="291">
        <f>E3-E4-E5</f>
        <v>1864912.4000000004</v>
      </c>
      <c r="F6" s="291">
        <f>F3-F4-F5</f>
        <v>6376555.8600000013</v>
      </c>
      <c r="G6" s="291">
        <f>G3-G4-G5</f>
        <v>2837892.42</v>
      </c>
      <c r="H6" s="290"/>
      <c r="I6" s="290"/>
      <c r="O6">
        <v>7089</v>
      </c>
    </row>
    <row r="7" spans="3:17" x14ac:dyDescent="0.25">
      <c r="C7" s="289" t="s">
        <v>223</v>
      </c>
      <c r="D7" s="289">
        <v>318851</v>
      </c>
      <c r="E7" s="289">
        <v>316042</v>
      </c>
      <c r="F7" s="289">
        <v>417014</v>
      </c>
      <c r="G7" s="289">
        <v>425652</v>
      </c>
      <c r="H7" s="290"/>
      <c r="I7" s="290"/>
      <c r="O7">
        <v>22</v>
      </c>
    </row>
    <row r="8" spans="3:17" x14ac:dyDescent="0.25">
      <c r="C8" s="292" t="s">
        <v>224</v>
      </c>
      <c r="D8" s="289" t="s">
        <v>225</v>
      </c>
      <c r="E8" s="292">
        <v>296</v>
      </c>
      <c r="F8" s="289" t="s">
        <v>225</v>
      </c>
      <c r="G8" s="292">
        <v>295</v>
      </c>
      <c r="O8">
        <v>10149</v>
      </c>
    </row>
    <row r="9" spans="3:17" x14ac:dyDescent="0.25">
      <c r="K9" s="293"/>
      <c r="L9" s="293"/>
      <c r="M9" s="293"/>
      <c r="N9" s="293"/>
      <c r="O9" s="293">
        <f>SUM(O3:O8)</f>
        <v>18746044.550000001</v>
      </c>
      <c r="P9" s="293">
        <f>SUM(P3:P8)</f>
        <v>8893961.5</v>
      </c>
      <c r="Q9" s="293">
        <f>SUM(Q3:Q8)</f>
        <v>9834823.0500000007</v>
      </c>
    </row>
    <row r="10" spans="3:17" x14ac:dyDescent="0.25">
      <c r="C10" s="293" t="s">
        <v>17</v>
      </c>
      <c r="D10" s="288">
        <v>41365</v>
      </c>
      <c r="E10" s="288">
        <v>41730</v>
      </c>
      <c r="F10" s="288">
        <v>41395</v>
      </c>
      <c r="G10" s="288">
        <v>41760</v>
      </c>
      <c r="K10" s="293"/>
      <c r="L10" s="293"/>
      <c r="O10" s="293"/>
    </row>
    <row r="11" spans="3:17" x14ac:dyDescent="0.25">
      <c r="C11" s="289" t="s">
        <v>222</v>
      </c>
      <c r="D11" s="289">
        <v>3368026</v>
      </c>
      <c r="E11" s="289">
        <v>3107241.6</v>
      </c>
      <c r="F11" s="289">
        <v>5025867</v>
      </c>
      <c r="G11" s="289">
        <v>7006007.04</v>
      </c>
      <c r="H11" s="290"/>
      <c r="O11" s="293">
        <v>5025867</v>
      </c>
      <c r="P11">
        <v>2517405.64</v>
      </c>
      <c r="Q11">
        <f>O11-P11</f>
        <v>2508461.36</v>
      </c>
    </row>
    <row r="12" spans="3:17" x14ac:dyDescent="0.25">
      <c r="C12" s="289" t="s">
        <v>221</v>
      </c>
      <c r="D12" s="289">
        <v>2210438</v>
      </c>
      <c r="E12" s="289">
        <v>2410468</v>
      </c>
      <c r="F12" s="289">
        <v>2508461.36</v>
      </c>
      <c r="G12" s="289">
        <v>3943555.6100000003</v>
      </c>
      <c r="H12" s="290"/>
      <c r="K12" s="293"/>
      <c r="L12" s="293"/>
      <c r="O12" s="293"/>
    </row>
    <row r="13" spans="3:17" x14ac:dyDescent="0.25">
      <c r="C13" s="289" t="s">
        <v>226</v>
      </c>
      <c r="D13" s="289">
        <v>0</v>
      </c>
      <c r="E13" s="289">
        <v>0</v>
      </c>
      <c r="F13" s="289">
        <v>0</v>
      </c>
      <c r="G13" s="289">
        <v>0</v>
      </c>
      <c r="H13" s="290"/>
      <c r="K13" s="293"/>
      <c r="L13" s="293"/>
      <c r="O13" s="294">
        <f>O9-O11</f>
        <v>13720177.550000001</v>
      </c>
      <c r="P13" s="293">
        <f>P9-P11</f>
        <v>6376555.8599999994</v>
      </c>
      <c r="Q13">
        <f>O13-P13</f>
        <v>7343621.6900000013</v>
      </c>
    </row>
    <row r="14" spans="3:17" x14ac:dyDescent="0.25">
      <c r="C14" s="289"/>
      <c r="D14" s="289"/>
      <c r="E14" s="289"/>
      <c r="F14" s="289"/>
      <c r="G14" s="289"/>
      <c r="H14" s="290"/>
      <c r="M14" s="293"/>
      <c r="N14" s="293"/>
      <c r="O14" s="293"/>
    </row>
    <row r="15" spans="3:17" x14ac:dyDescent="0.25">
      <c r="C15" s="289" t="s">
        <v>181</v>
      </c>
      <c r="D15" s="291">
        <f>D11-D12-D13</f>
        <v>1157588</v>
      </c>
      <c r="E15" s="295">
        <f>E11-E12</f>
        <v>696773.60000000009</v>
      </c>
      <c r="F15" s="291">
        <f>F11-F12-F13</f>
        <v>2517405.64</v>
      </c>
      <c r="G15" s="291">
        <f>G11-G12</f>
        <v>3062451.4299999997</v>
      </c>
      <c r="H15" s="296"/>
      <c r="I15" s="290"/>
      <c r="O15" s="293"/>
    </row>
    <row r="16" spans="3:17" x14ac:dyDescent="0.25">
      <c r="I16" s="290"/>
      <c r="O16" s="293"/>
    </row>
    <row r="17" spans="3:15" x14ac:dyDescent="0.25">
      <c r="C17" s="593" t="s">
        <v>195</v>
      </c>
      <c r="D17" s="593"/>
      <c r="E17" s="593"/>
      <c r="F17" s="593"/>
      <c r="G17" s="593"/>
      <c r="I17" s="290"/>
      <c r="O17" s="293"/>
    </row>
    <row r="18" spans="3:15" x14ac:dyDescent="0.25">
      <c r="C18" s="289" t="s">
        <v>227</v>
      </c>
      <c r="D18" s="289">
        <f>D11+D3</f>
        <v>13095307.440000001</v>
      </c>
      <c r="E18" s="289">
        <f t="shared" ref="E18:G20" si="1">E11+E3</f>
        <v>19634196.48</v>
      </c>
      <c r="F18" s="289">
        <f t="shared" si="1"/>
        <v>18746044.550000001</v>
      </c>
      <c r="G18" s="289">
        <f t="shared" si="1"/>
        <v>23574857.280000001</v>
      </c>
      <c r="I18" s="290"/>
      <c r="K18" s="293"/>
      <c r="L18" s="293"/>
      <c r="O18" s="293"/>
    </row>
    <row r="19" spans="3:15" x14ac:dyDescent="0.25">
      <c r="C19" s="289" t="s">
        <v>228</v>
      </c>
      <c r="D19" s="289">
        <f>D12+D4</f>
        <v>10623436.439999999</v>
      </c>
      <c r="E19" s="289">
        <f t="shared" si="1"/>
        <v>13590901.48</v>
      </c>
      <c r="F19" s="289">
        <f t="shared" si="1"/>
        <v>6928208.2200000007</v>
      </c>
      <c r="G19" s="289">
        <f t="shared" si="1"/>
        <v>14362023.43</v>
      </c>
      <c r="I19" s="296"/>
    </row>
    <row r="20" spans="3:15" x14ac:dyDescent="0.25">
      <c r="C20" s="289" t="s">
        <v>229</v>
      </c>
      <c r="D20" s="289">
        <f>D13+D5</f>
        <v>2304078</v>
      </c>
      <c r="E20" s="289">
        <f t="shared" si="1"/>
        <v>3481609</v>
      </c>
      <c r="F20" s="289">
        <f t="shared" si="1"/>
        <v>2923874.83</v>
      </c>
      <c r="G20" s="289">
        <f t="shared" si="1"/>
        <v>3312490</v>
      </c>
    </row>
    <row r="21" spans="3:15" x14ac:dyDescent="0.25">
      <c r="C21" s="289" t="s">
        <v>181</v>
      </c>
      <c r="D21" s="289">
        <f>D18-D19-D20</f>
        <v>167793.00000000186</v>
      </c>
      <c r="E21" s="289">
        <f t="shared" ref="E21:G21" si="2">E18-E19-E20</f>
        <v>2561686</v>
      </c>
      <c r="F21" s="289">
        <f t="shared" si="2"/>
        <v>8893961.5</v>
      </c>
      <c r="G21" s="289">
        <f t="shared" si="2"/>
        <v>5900343.8500000015</v>
      </c>
    </row>
    <row r="22" spans="3:15" x14ac:dyDescent="0.25">
      <c r="K22" s="293"/>
      <c r="L22" s="293"/>
    </row>
    <row r="23" spans="3:15" x14ac:dyDescent="0.25">
      <c r="O23" s="293"/>
    </row>
  </sheetData>
  <mergeCells count="1">
    <mergeCell ref="C17:G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Intent Map</vt:lpstr>
      <vt:lpstr>Overall Revenue Dashboard   (4)</vt:lpstr>
      <vt:lpstr>Strategic Intent Map</vt:lpstr>
      <vt:lpstr>Revenue Spilt IB</vt:lpstr>
      <vt:lpstr>Overall Revenue Dashboard </vt:lpstr>
      <vt:lpstr>YMG</vt:lpstr>
      <vt:lpstr>IB</vt:lpstr>
      <vt:lpstr>IBP Heads</vt:lpstr>
      <vt:lpstr>Sheet1</vt:lpstr>
      <vt:lpstr>Overall Revenue Dashboard  (3)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Gowri R</cp:lastModifiedBy>
  <cp:lastPrinted>2014-07-30T09:22:32Z</cp:lastPrinted>
  <dcterms:created xsi:type="dcterms:W3CDTF">2013-10-19T06:48:37Z</dcterms:created>
  <dcterms:modified xsi:type="dcterms:W3CDTF">2015-01-05T12:58:11Z</dcterms:modified>
</cp:coreProperties>
</file>