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bdul.k\Desktop\Employee\Attendance\"/>
    </mc:Choice>
  </mc:AlternateContent>
  <bookViews>
    <workbookView xWindow="0" yWindow="0" windowWidth="20730" windowHeight="11760" tabRatio="686" activeTab="8"/>
  </bookViews>
  <sheets>
    <sheet name="January" sheetId="4" r:id="rId1"/>
    <sheet name="February" sheetId="5" r:id="rId2"/>
    <sheet name="March" sheetId="6" r:id="rId3"/>
    <sheet name="April" sheetId="7" r:id="rId4"/>
    <sheet name="May" sheetId="8" r:id="rId5"/>
    <sheet name="June" sheetId="9" r:id="rId6"/>
    <sheet name="July" sheetId="10" r:id="rId7"/>
    <sheet name="August" sheetId="11" r:id="rId8"/>
    <sheet name="September" sheetId="12" r:id="rId9"/>
    <sheet name="October" sheetId="14" r:id="rId10"/>
    <sheet name="November" sheetId="13" r:id="rId11"/>
    <sheet name="December" sheetId="15" r:id="rId12"/>
  </sheets>
  <definedNames>
    <definedName name="CalendarYear">January!$AG$2</definedName>
    <definedName name="KeyCustom1">January!$S$33</definedName>
    <definedName name="KeyCustom1Label">January!$T$33</definedName>
    <definedName name="KeyCustom2">January!$W$33</definedName>
    <definedName name="KeyCustom2Label">January!$X$33</definedName>
    <definedName name="KeyPersonal">January!$K$33</definedName>
    <definedName name="KeyPersonalLabel">January!$L$33</definedName>
    <definedName name="KeySick">January!$O$33</definedName>
    <definedName name="KeySickLabel">January!$P$33</definedName>
    <definedName name="KeyVacation">January!$G$33</definedName>
    <definedName name="KeyVacationLabel">January!$H$33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nthName" localSheetId="3">April!$A$2</definedName>
    <definedName name="MonthName" localSheetId="7">August!$A$2</definedName>
    <definedName name="MonthName" localSheetId="11">December!$A$2</definedName>
    <definedName name="MonthName" localSheetId="1">February!$A$2</definedName>
    <definedName name="MonthName" localSheetId="0">January!$A$2</definedName>
    <definedName name="MonthName" localSheetId="6">July!$A$2</definedName>
    <definedName name="MonthName" localSheetId="5">June!$A$2</definedName>
    <definedName name="MonthName" localSheetId="2">March!$A$2</definedName>
    <definedName name="MonthName" localSheetId="4">May!$A$2</definedName>
    <definedName name="MonthName" localSheetId="10">November!$A$2</definedName>
    <definedName name="MonthName" localSheetId="9">October!$A$2</definedName>
    <definedName name="MonthName" localSheetId="8">September!$A$2</definedName>
  </definedNames>
  <calcPr calcId="152511"/>
</workbook>
</file>

<file path=xl/calcChain.xml><?xml version="1.0" encoding="utf-8"?>
<calcChain xmlns="http://schemas.openxmlformats.org/spreadsheetml/2006/main">
  <c r="AG27" i="14" l="1"/>
  <c r="AG19" i="14"/>
  <c r="AG17" i="14"/>
  <c r="AG32" i="14"/>
  <c r="AG33" i="14"/>
  <c r="AG34" i="14"/>
  <c r="AG35" i="14"/>
  <c r="AG36" i="14"/>
  <c r="AG37" i="14"/>
  <c r="AG15" i="12"/>
  <c r="AG35" i="10" l="1"/>
  <c r="AG36" i="10"/>
  <c r="AG33" i="11"/>
  <c r="AG34" i="11"/>
  <c r="AG22" i="12" l="1"/>
  <c r="AG36" i="12" l="1"/>
  <c r="AG35" i="12"/>
  <c r="AG7" i="12"/>
  <c r="AG13" i="12" l="1"/>
  <c r="AG10" i="12"/>
  <c r="AG19" i="12"/>
  <c r="AG12" i="12"/>
  <c r="AG16" i="12"/>
  <c r="AG17" i="12"/>
  <c r="AG31" i="11"/>
  <c r="AG32" i="11"/>
  <c r="AG30" i="11"/>
  <c r="AG26" i="11"/>
  <c r="AG27" i="11"/>
  <c r="AG28" i="11"/>
  <c r="AG34" i="10"/>
  <c r="AG31" i="10"/>
  <c r="AG32" i="10"/>
  <c r="AG33" i="10"/>
  <c r="AG33" i="9"/>
  <c r="AG32" i="9"/>
  <c r="AG31" i="8"/>
  <c r="AG31" i="9"/>
  <c r="K32" i="8"/>
  <c r="AG18" i="8"/>
  <c r="AG18" i="9"/>
  <c r="L32" i="8"/>
  <c r="L33" i="8" s="1"/>
  <c r="B32" i="8"/>
  <c r="C32" i="8"/>
  <c r="D32" i="8"/>
  <c r="E32" i="8"/>
  <c r="AG32" i="8" s="1"/>
  <c r="F32" i="8"/>
  <c r="G32" i="8"/>
  <c r="H32" i="8"/>
  <c r="I32" i="8"/>
  <c r="J32" i="8"/>
  <c r="S36" i="7"/>
  <c r="T36" i="7"/>
  <c r="AG29" i="7"/>
  <c r="AG30" i="7"/>
  <c r="AG31" i="7"/>
  <c r="AG32" i="7"/>
  <c r="AG6" i="15"/>
  <c r="AG7" i="15"/>
  <c r="AG8" i="15"/>
  <c r="AG9" i="15"/>
  <c r="AG10" i="15"/>
  <c r="AG11" i="15"/>
  <c r="AG12" i="15"/>
  <c r="AG13" i="15"/>
  <c r="AG14" i="15"/>
  <c r="AG15" i="15"/>
  <c r="AG16" i="15"/>
  <c r="AG17" i="15"/>
  <c r="AG18" i="15"/>
  <c r="AG19" i="15"/>
  <c r="AG20" i="15"/>
  <c r="AG21" i="15"/>
  <c r="AG22" i="15"/>
  <c r="AG23" i="15"/>
  <c r="AG24" i="15"/>
  <c r="AG25" i="15"/>
  <c r="AG26" i="15"/>
  <c r="AG27" i="15"/>
  <c r="AG28" i="15"/>
  <c r="AG29" i="15"/>
  <c r="AG30" i="15"/>
  <c r="AG6" i="13"/>
  <c r="AG7" i="13"/>
  <c r="AG8" i="13"/>
  <c r="AG9" i="13"/>
  <c r="AG10" i="13"/>
  <c r="AG11" i="13"/>
  <c r="AG12" i="13"/>
  <c r="AG13" i="13"/>
  <c r="AG14" i="13"/>
  <c r="AG15" i="13"/>
  <c r="AG16" i="13"/>
  <c r="AG17" i="13"/>
  <c r="AG18" i="13"/>
  <c r="AG19" i="13"/>
  <c r="AG20" i="13"/>
  <c r="AG21" i="13"/>
  <c r="AG22" i="13"/>
  <c r="AG23" i="13"/>
  <c r="AG24" i="13"/>
  <c r="AG25" i="13"/>
  <c r="AG26" i="13"/>
  <c r="AG27" i="13"/>
  <c r="AG28" i="13"/>
  <c r="AG29" i="13"/>
  <c r="AG6" i="14"/>
  <c r="AG7" i="14"/>
  <c r="AG8" i="14"/>
  <c r="AG9" i="14"/>
  <c r="AG10" i="14"/>
  <c r="AG11" i="14"/>
  <c r="AG12" i="14"/>
  <c r="AG13" i="14"/>
  <c r="AG14" i="14"/>
  <c r="AG15" i="14"/>
  <c r="AG16" i="14"/>
  <c r="AG18" i="14"/>
  <c r="AG20" i="14"/>
  <c r="AG21" i="14"/>
  <c r="AG22" i="14"/>
  <c r="AG23" i="14"/>
  <c r="AG24" i="14"/>
  <c r="AG25" i="14"/>
  <c r="AG26" i="14"/>
  <c r="AG28" i="14"/>
  <c r="AG29" i="14"/>
  <c r="AG30" i="14"/>
  <c r="AG31" i="14"/>
  <c r="AG6" i="12"/>
  <c r="AG8" i="12"/>
  <c r="AG9" i="12"/>
  <c r="AG11" i="12"/>
  <c r="AG14" i="12"/>
  <c r="AG18" i="12"/>
  <c r="AG21" i="12"/>
  <c r="AG23" i="12"/>
  <c r="AG24" i="12"/>
  <c r="AG25" i="12"/>
  <c r="AG26" i="12"/>
  <c r="AG27" i="12"/>
  <c r="AG28" i="12"/>
  <c r="AG29" i="12"/>
  <c r="AG30" i="12"/>
  <c r="AG31" i="12"/>
  <c r="AG32" i="12"/>
  <c r="AG33" i="12"/>
  <c r="AG34" i="12"/>
  <c r="AG20" i="12"/>
  <c r="AG6" i="11"/>
  <c r="AG7" i="11"/>
  <c r="AG8" i="11"/>
  <c r="AG9" i="11"/>
  <c r="AG10" i="11"/>
  <c r="AG11" i="11"/>
  <c r="AG12" i="11"/>
  <c r="AG13" i="11"/>
  <c r="AG14" i="11"/>
  <c r="AG15" i="11"/>
  <c r="AG16" i="11"/>
  <c r="AG17" i="11"/>
  <c r="AG18" i="11"/>
  <c r="AG19" i="11"/>
  <c r="AG20" i="11"/>
  <c r="AG21" i="11"/>
  <c r="AG22" i="11"/>
  <c r="AG23" i="11"/>
  <c r="AG24" i="11"/>
  <c r="AG25" i="11"/>
  <c r="AG29" i="11"/>
  <c r="AG6" i="10"/>
  <c r="AG7" i="10"/>
  <c r="AG8" i="10"/>
  <c r="AG9" i="10"/>
  <c r="AG10" i="10"/>
  <c r="AG11" i="10"/>
  <c r="AG12" i="10"/>
  <c r="AG13" i="10"/>
  <c r="AG14" i="10"/>
  <c r="AG15" i="10"/>
  <c r="AG16" i="10"/>
  <c r="AG17" i="10"/>
  <c r="AG18" i="10"/>
  <c r="AG19" i="10"/>
  <c r="AG20" i="10"/>
  <c r="AG21" i="10"/>
  <c r="AG22" i="10"/>
  <c r="AG23" i="10"/>
  <c r="AG24" i="10"/>
  <c r="AG25" i="10"/>
  <c r="AG26" i="10"/>
  <c r="AG27" i="10"/>
  <c r="AG28" i="10"/>
  <c r="AG29" i="10"/>
  <c r="AG30" i="10"/>
  <c r="AG6" i="9"/>
  <c r="AG7" i="9"/>
  <c r="AG8" i="9"/>
  <c r="AG9" i="9"/>
  <c r="AG10" i="9"/>
  <c r="AG11" i="9"/>
  <c r="AG12" i="9"/>
  <c r="AG13" i="9"/>
  <c r="AG14" i="9"/>
  <c r="AG15" i="9"/>
  <c r="AG16" i="9"/>
  <c r="AG17" i="9"/>
  <c r="AG19" i="9"/>
  <c r="AG20" i="9"/>
  <c r="AG21" i="9"/>
  <c r="AG22" i="9"/>
  <c r="AG23" i="9"/>
  <c r="AG24" i="9"/>
  <c r="AG25" i="9"/>
  <c r="AG26" i="9"/>
  <c r="AG27" i="9"/>
  <c r="AG28" i="9"/>
  <c r="AG29" i="9"/>
  <c r="AG30" i="9"/>
  <c r="AG7" i="8"/>
  <c r="AG8" i="8"/>
  <c r="AG9" i="8"/>
  <c r="AG10" i="8"/>
  <c r="AG11" i="8"/>
  <c r="AG12" i="8"/>
  <c r="AG13" i="8"/>
  <c r="AG14" i="8"/>
  <c r="AG15" i="8"/>
  <c r="AG16" i="8"/>
  <c r="AG17" i="8"/>
  <c r="AG19" i="8"/>
  <c r="AG20" i="8"/>
  <c r="AG21" i="8"/>
  <c r="AG22" i="8"/>
  <c r="AG23" i="8"/>
  <c r="AG24" i="8"/>
  <c r="AG25" i="8"/>
  <c r="AG26" i="8"/>
  <c r="AG27" i="8"/>
  <c r="AG28" i="8"/>
  <c r="AG29" i="8"/>
  <c r="AG30" i="8"/>
  <c r="AG17" i="7"/>
  <c r="AG18" i="7"/>
  <c r="AG19" i="7"/>
  <c r="AG10" i="7"/>
  <c r="AG11" i="7"/>
  <c r="AG12" i="7"/>
  <c r="AG13" i="7"/>
  <c r="AG14" i="7"/>
  <c r="AG15" i="7"/>
  <c r="AG16" i="7"/>
  <c r="AG20" i="7"/>
  <c r="AG21" i="7"/>
  <c r="AG7" i="7"/>
  <c r="AG8" i="7"/>
  <c r="AG9" i="7"/>
  <c r="AG22" i="7"/>
  <c r="AG23" i="7"/>
  <c r="AG24" i="7"/>
  <c r="AG25" i="7"/>
  <c r="AG26" i="7"/>
  <c r="AG27" i="7"/>
  <c r="AG7" i="6"/>
  <c r="AG8" i="6"/>
  <c r="AG9" i="6"/>
  <c r="AG10" i="6"/>
  <c r="AG11" i="6"/>
  <c r="AG12" i="6"/>
  <c r="AG13" i="6"/>
  <c r="AG14" i="6"/>
  <c r="AG15" i="6"/>
  <c r="AG16" i="6"/>
  <c r="AG17" i="6"/>
  <c r="AG18" i="6"/>
  <c r="AG19" i="6"/>
  <c r="AG20" i="6"/>
  <c r="AG21" i="6"/>
  <c r="AG22" i="6"/>
  <c r="AG23" i="6"/>
  <c r="AG24" i="6"/>
  <c r="AG25" i="6"/>
  <c r="AG26" i="6"/>
  <c r="AG27" i="6"/>
  <c r="AG28" i="6"/>
  <c r="AG29" i="6"/>
  <c r="AG30" i="6"/>
  <c r="AG9" i="5"/>
  <c r="AG10" i="5"/>
  <c r="AG11" i="5"/>
  <c r="AG12" i="5"/>
  <c r="AG13" i="5"/>
  <c r="AG14" i="5"/>
  <c r="AG15" i="5"/>
  <c r="AG16" i="5"/>
  <c r="AG17" i="5"/>
  <c r="AG18" i="5"/>
  <c r="AG19" i="5"/>
  <c r="AG20" i="5"/>
  <c r="AG21" i="5"/>
  <c r="AG22" i="5"/>
  <c r="AG23" i="5"/>
  <c r="AG24" i="5"/>
  <c r="AG25" i="5"/>
  <c r="AG26" i="5"/>
  <c r="AG27" i="5"/>
  <c r="AG28" i="5"/>
  <c r="AG29" i="5"/>
  <c r="AG27" i="4"/>
  <c r="AG28" i="4"/>
  <c r="AG29" i="4"/>
  <c r="AG30" i="4"/>
  <c r="AG20" i="4"/>
  <c r="AG21" i="4"/>
  <c r="AG22" i="4"/>
  <c r="AG23" i="4"/>
  <c r="AG24" i="4"/>
  <c r="AG25" i="4"/>
  <c r="AG9" i="4"/>
  <c r="AG10" i="4"/>
  <c r="AG11" i="4"/>
  <c r="AG12" i="4"/>
  <c r="AG13" i="4"/>
  <c r="AG14" i="4"/>
  <c r="AG15" i="4"/>
  <c r="AG16" i="4"/>
  <c r="AG17" i="4"/>
  <c r="AG18" i="4"/>
  <c r="AG19" i="4"/>
  <c r="AG26" i="4"/>
  <c r="W33" i="6"/>
  <c r="W36" i="7"/>
  <c r="W35" i="8"/>
  <c r="W36" i="9"/>
  <c r="W37" i="11"/>
  <c r="W39" i="12"/>
  <c r="W41" i="14"/>
  <c r="W33" i="13"/>
  <c r="W33" i="15"/>
  <c r="W33" i="5"/>
  <c r="S33" i="6"/>
  <c r="S35" i="8"/>
  <c r="S36" i="9"/>
  <c r="S39" i="10"/>
  <c r="S37" i="11"/>
  <c r="S39" i="12"/>
  <c r="S41" i="14"/>
  <c r="S33" i="13"/>
  <c r="S33" i="15"/>
  <c r="S33" i="5"/>
  <c r="X33" i="6"/>
  <c r="X36" i="7"/>
  <c r="X35" i="8"/>
  <c r="X36" i="9"/>
  <c r="X37" i="11"/>
  <c r="X39" i="12"/>
  <c r="X41" i="14"/>
  <c r="X33" i="13"/>
  <c r="X33" i="15"/>
  <c r="X33" i="5"/>
  <c r="T33" i="6"/>
  <c r="T35" i="8"/>
  <c r="T36" i="9"/>
  <c r="T39" i="10"/>
  <c r="T37" i="11"/>
  <c r="T39" i="12"/>
  <c r="T41" i="14"/>
  <c r="T33" i="13"/>
  <c r="T33" i="15"/>
  <c r="T33" i="5"/>
  <c r="P33" i="6"/>
  <c r="P36" i="7"/>
  <c r="P35" i="8"/>
  <c r="P36" i="9"/>
  <c r="P39" i="10"/>
  <c r="P37" i="11"/>
  <c r="P39" i="12"/>
  <c r="P41" i="14"/>
  <c r="P33" i="13"/>
  <c r="P33" i="15"/>
  <c r="P33" i="5"/>
  <c r="L33" i="6"/>
  <c r="L36" i="7"/>
  <c r="L35" i="8"/>
  <c r="L36" i="9"/>
  <c r="L39" i="10"/>
  <c r="L37" i="11"/>
  <c r="L39" i="12"/>
  <c r="L41" i="14"/>
  <c r="L33" i="13"/>
  <c r="L33" i="15"/>
  <c r="L33" i="5"/>
  <c r="H33" i="6"/>
  <c r="H36" i="7"/>
  <c r="H35" i="8"/>
  <c r="H36" i="9"/>
  <c r="H39" i="10"/>
  <c r="H37" i="11"/>
  <c r="H39" i="12"/>
  <c r="H41" i="14"/>
  <c r="H33" i="13"/>
  <c r="H33" i="15"/>
  <c r="H33" i="5"/>
  <c r="O36" i="7"/>
  <c r="O35" i="8"/>
  <c r="O36" i="9"/>
  <c r="O39" i="10"/>
  <c r="O37" i="11"/>
  <c r="O39" i="12"/>
  <c r="O41" i="14"/>
  <c r="O33" i="13"/>
  <c r="O33" i="15"/>
  <c r="O33" i="6"/>
  <c r="K36" i="7"/>
  <c r="K35" i="8"/>
  <c r="K36" i="9"/>
  <c r="K39" i="10"/>
  <c r="K37" i="11"/>
  <c r="K39" i="12"/>
  <c r="K41" i="14"/>
  <c r="K33" i="13"/>
  <c r="K33" i="15"/>
  <c r="K33" i="6"/>
  <c r="G36" i="7"/>
  <c r="G35" i="8"/>
  <c r="G36" i="9"/>
  <c r="G39" i="10"/>
  <c r="G37" i="11"/>
  <c r="G39" i="12"/>
  <c r="G41" i="14"/>
  <c r="G33" i="13"/>
  <c r="G33" i="15"/>
  <c r="G33" i="6"/>
  <c r="G33" i="5"/>
  <c r="K33" i="5"/>
  <c r="O33" i="5"/>
  <c r="A31" i="15"/>
  <c r="A31" i="13"/>
  <c r="A39" i="14"/>
  <c r="A37" i="12"/>
  <c r="A35" i="11"/>
  <c r="A37" i="10"/>
  <c r="A34" i="9"/>
  <c r="A33" i="8"/>
  <c r="A34" i="7"/>
  <c r="A31" i="6"/>
  <c r="A31" i="5"/>
  <c r="A31" i="4"/>
  <c r="AF3" i="15"/>
  <c r="AE3" i="15"/>
  <c r="AD3" i="15"/>
  <c r="AC3" i="15"/>
  <c r="AB3" i="15"/>
  <c r="AA3" i="15"/>
  <c r="Z3" i="15"/>
  <c r="Y3" i="15"/>
  <c r="X3" i="15"/>
  <c r="W3" i="15"/>
  <c r="V3" i="15"/>
  <c r="U3" i="15"/>
  <c r="T3" i="15"/>
  <c r="S3" i="15"/>
  <c r="R3" i="15"/>
  <c r="Q3" i="15"/>
  <c r="P3" i="15"/>
  <c r="O3" i="15"/>
  <c r="N3" i="15"/>
  <c r="M3" i="15"/>
  <c r="L3" i="15"/>
  <c r="K3" i="15"/>
  <c r="J3" i="15"/>
  <c r="I3" i="15"/>
  <c r="H3" i="15"/>
  <c r="G3" i="15"/>
  <c r="F3" i="15"/>
  <c r="E3" i="15"/>
  <c r="D3" i="15"/>
  <c r="C3" i="15"/>
  <c r="B3" i="15"/>
  <c r="AE3" i="13"/>
  <c r="AD3" i="13"/>
  <c r="AC3" i="13"/>
  <c r="AB3" i="13"/>
  <c r="AA3" i="13"/>
  <c r="Z3" i="13"/>
  <c r="Y3" i="13"/>
  <c r="X3" i="13"/>
  <c r="W3" i="13"/>
  <c r="V3" i="13"/>
  <c r="U3" i="13"/>
  <c r="T3" i="13"/>
  <c r="S3" i="13"/>
  <c r="R3" i="13"/>
  <c r="Q3" i="13"/>
  <c r="P3" i="13"/>
  <c r="O3" i="13"/>
  <c r="N3" i="13"/>
  <c r="M3" i="13"/>
  <c r="L3" i="13"/>
  <c r="K3" i="13"/>
  <c r="J3" i="13"/>
  <c r="I3" i="13"/>
  <c r="H3" i="13"/>
  <c r="G3" i="13"/>
  <c r="F3" i="13"/>
  <c r="E3" i="13"/>
  <c r="D3" i="13"/>
  <c r="C3" i="13"/>
  <c r="B3" i="13"/>
  <c r="AF3" i="14"/>
  <c r="AE3" i="14"/>
  <c r="AD3" i="14"/>
  <c r="AC3" i="14"/>
  <c r="AB3" i="14"/>
  <c r="AA3" i="14"/>
  <c r="Z3" i="14"/>
  <c r="Y3" i="14"/>
  <c r="X3" i="14"/>
  <c r="W3" i="14"/>
  <c r="V3" i="14"/>
  <c r="U3" i="14"/>
  <c r="T3" i="14"/>
  <c r="S3" i="14"/>
  <c r="R3" i="14"/>
  <c r="Q3" i="14"/>
  <c r="P3" i="14"/>
  <c r="O3" i="14"/>
  <c r="N3" i="14"/>
  <c r="M3" i="14"/>
  <c r="L3" i="14"/>
  <c r="K3" i="14"/>
  <c r="J3" i="14"/>
  <c r="I3" i="14"/>
  <c r="H3" i="14"/>
  <c r="G3" i="14"/>
  <c r="F3" i="14"/>
  <c r="E3" i="14"/>
  <c r="D3" i="14"/>
  <c r="C3" i="14"/>
  <c r="B3" i="14"/>
  <c r="B33" i="15"/>
  <c r="AD31" i="15"/>
  <c r="AC31" i="15"/>
  <c r="AB31" i="15"/>
  <c r="AA31" i="15"/>
  <c r="Z31" i="15"/>
  <c r="Y31" i="15"/>
  <c r="X31" i="15"/>
  <c r="W31" i="15"/>
  <c r="V31" i="15"/>
  <c r="U31" i="15"/>
  <c r="T31" i="15"/>
  <c r="S31" i="15"/>
  <c r="R31" i="15"/>
  <c r="Q31" i="15"/>
  <c r="P31" i="15"/>
  <c r="O31" i="15"/>
  <c r="N31" i="15"/>
  <c r="M31" i="15"/>
  <c r="L31" i="15"/>
  <c r="K31" i="15"/>
  <c r="J31" i="15"/>
  <c r="I31" i="15"/>
  <c r="H31" i="15"/>
  <c r="G31" i="15"/>
  <c r="F31" i="15"/>
  <c r="E31" i="15"/>
  <c r="D31" i="15"/>
  <c r="C31" i="15"/>
  <c r="B31" i="15"/>
  <c r="AG5" i="15"/>
  <c r="AG2" i="15"/>
  <c r="B41" i="14"/>
  <c r="AD39" i="14"/>
  <c r="AC39" i="14"/>
  <c r="AB39" i="14"/>
  <c r="AA39" i="14"/>
  <c r="Z39" i="14"/>
  <c r="Y39" i="14"/>
  <c r="X39" i="14"/>
  <c r="W39" i="14"/>
  <c r="V39" i="14"/>
  <c r="U39" i="14"/>
  <c r="T39" i="14"/>
  <c r="S39" i="14"/>
  <c r="R39" i="14"/>
  <c r="Q39" i="14"/>
  <c r="P39" i="14"/>
  <c r="O39" i="14"/>
  <c r="N39" i="14"/>
  <c r="M39" i="14"/>
  <c r="L39" i="14"/>
  <c r="K39" i="14"/>
  <c r="J39" i="14"/>
  <c r="I39" i="14"/>
  <c r="H39" i="14"/>
  <c r="G39" i="14"/>
  <c r="F39" i="14"/>
  <c r="E39" i="14"/>
  <c r="D39" i="14"/>
  <c r="C39" i="14"/>
  <c r="B39" i="14"/>
  <c r="AG38" i="14"/>
  <c r="AG5" i="14"/>
  <c r="AG2" i="14"/>
  <c r="B33" i="13"/>
  <c r="AD31" i="13"/>
  <c r="AC31" i="13"/>
  <c r="AB31" i="13"/>
  <c r="AA31" i="13"/>
  <c r="Z31" i="13"/>
  <c r="Y31" i="13"/>
  <c r="X31" i="13"/>
  <c r="W31" i="13"/>
  <c r="V31" i="13"/>
  <c r="U31" i="13"/>
  <c r="T31" i="13"/>
  <c r="S31" i="13"/>
  <c r="R31" i="13"/>
  <c r="Q31" i="13"/>
  <c r="P31" i="13"/>
  <c r="O31" i="13"/>
  <c r="N31" i="13"/>
  <c r="M31" i="13"/>
  <c r="L31" i="13"/>
  <c r="K31" i="13"/>
  <c r="J31" i="13"/>
  <c r="I31" i="13"/>
  <c r="H31" i="13"/>
  <c r="G31" i="13"/>
  <c r="F31" i="13"/>
  <c r="E31" i="13"/>
  <c r="D31" i="13"/>
  <c r="C31" i="13"/>
  <c r="B31" i="13"/>
  <c r="AG30" i="13"/>
  <c r="AG5" i="13"/>
  <c r="AG31" i="13" s="1"/>
  <c r="AG2" i="13"/>
  <c r="AE3" i="12"/>
  <c r="AD3" i="12"/>
  <c r="AC3" i="12"/>
  <c r="AB3" i="12"/>
  <c r="AA3" i="12"/>
  <c r="Z3" i="12"/>
  <c r="Y3" i="12"/>
  <c r="X3" i="12"/>
  <c r="W3" i="12"/>
  <c r="V3" i="12"/>
  <c r="U3" i="12"/>
  <c r="T3" i="12"/>
  <c r="S3" i="12"/>
  <c r="R3" i="12"/>
  <c r="Q3" i="12"/>
  <c r="P3" i="12"/>
  <c r="O3" i="12"/>
  <c r="N3" i="12"/>
  <c r="M3" i="12"/>
  <c r="L3" i="12"/>
  <c r="K3" i="12"/>
  <c r="J3" i="12"/>
  <c r="I3" i="12"/>
  <c r="H3" i="12"/>
  <c r="G3" i="12"/>
  <c r="F3" i="12"/>
  <c r="E3" i="12"/>
  <c r="D3" i="12"/>
  <c r="C3" i="12"/>
  <c r="B3" i="12"/>
  <c r="AF3" i="11"/>
  <c r="AE3" i="11"/>
  <c r="AD3" i="11"/>
  <c r="AC3" i="11"/>
  <c r="AB3" i="11"/>
  <c r="AA3" i="11"/>
  <c r="Z3" i="11"/>
  <c r="Y3" i="11"/>
  <c r="X3" i="11"/>
  <c r="W3" i="11"/>
  <c r="V3" i="11"/>
  <c r="U3" i="11"/>
  <c r="T3" i="11"/>
  <c r="S3" i="11"/>
  <c r="R3" i="11"/>
  <c r="Q3" i="11"/>
  <c r="P3" i="11"/>
  <c r="O3" i="11"/>
  <c r="N3" i="11"/>
  <c r="M3" i="11"/>
  <c r="L3" i="11"/>
  <c r="K3" i="11"/>
  <c r="J3" i="11"/>
  <c r="I3" i="11"/>
  <c r="H3" i="11"/>
  <c r="G3" i="11"/>
  <c r="F3" i="11"/>
  <c r="E3" i="11"/>
  <c r="D3" i="11"/>
  <c r="C3" i="11"/>
  <c r="B3" i="11"/>
  <c r="AF3" i="10"/>
  <c r="AE3" i="10"/>
  <c r="AD3" i="10"/>
  <c r="AC3" i="10"/>
  <c r="AB3" i="10"/>
  <c r="AA3" i="10"/>
  <c r="Z3" i="10"/>
  <c r="Y3" i="10"/>
  <c r="X3" i="10"/>
  <c r="W3" i="10"/>
  <c r="V3" i="10"/>
  <c r="U3" i="10"/>
  <c r="T3" i="10"/>
  <c r="S3" i="10"/>
  <c r="R3" i="10"/>
  <c r="Q3" i="10"/>
  <c r="P3" i="10"/>
  <c r="O3" i="10"/>
  <c r="N3" i="10"/>
  <c r="M3" i="10"/>
  <c r="L3" i="10"/>
  <c r="K3" i="10"/>
  <c r="J3" i="10"/>
  <c r="I3" i="10"/>
  <c r="H3" i="10"/>
  <c r="G3" i="10"/>
  <c r="F3" i="10"/>
  <c r="E3" i="10"/>
  <c r="D3" i="10"/>
  <c r="C3" i="10"/>
  <c r="B3" i="10"/>
  <c r="B39" i="12"/>
  <c r="AD37" i="12"/>
  <c r="AC37" i="12"/>
  <c r="AB37" i="12"/>
  <c r="AA37" i="12"/>
  <c r="Z37" i="12"/>
  <c r="Y37" i="12"/>
  <c r="X37" i="12"/>
  <c r="W37" i="12"/>
  <c r="V37" i="12"/>
  <c r="U37" i="12"/>
  <c r="T37" i="12"/>
  <c r="S37" i="12"/>
  <c r="R37" i="12"/>
  <c r="Q37" i="12"/>
  <c r="P37" i="12"/>
  <c r="O37" i="12"/>
  <c r="N37" i="12"/>
  <c r="M37" i="12"/>
  <c r="L37" i="12"/>
  <c r="K37" i="12"/>
  <c r="J37" i="12"/>
  <c r="I37" i="12"/>
  <c r="H37" i="12"/>
  <c r="G37" i="12"/>
  <c r="F37" i="12"/>
  <c r="E37" i="12"/>
  <c r="D37" i="12"/>
  <c r="C37" i="12"/>
  <c r="B37" i="12"/>
  <c r="AG5" i="12"/>
  <c r="AG2" i="12"/>
  <c r="B37" i="11"/>
  <c r="AD35" i="11"/>
  <c r="AC35" i="11"/>
  <c r="AB35" i="11"/>
  <c r="AA35" i="11"/>
  <c r="Z35" i="11"/>
  <c r="Y35" i="11"/>
  <c r="X35" i="11"/>
  <c r="W35" i="11"/>
  <c r="V35" i="11"/>
  <c r="U35" i="11"/>
  <c r="T35" i="11"/>
  <c r="S35" i="11"/>
  <c r="R35" i="11"/>
  <c r="Q35" i="11"/>
  <c r="P35" i="11"/>
  <c r="O35" i="11"/>
  <c r="N35" i="11"/>
  <c r="M35" i="11"/>
  <c r="L35" i="11"/>
  <c r="K35" i="11"/>
  <c r="J35" i="11"/>
  <c r="I35" i="11"/>
  <c r="H35" i="11"/>
  <c r="G35" i="11"/>
  <c r="F35" i="11"/>
  <c r="E35" i="11"/>
  <c r="D35" i="11"/>
  <c r="C35" i="11"/>
  <c r="B35" i="11"/>
  <c r="AG5" i="11"/>
  <c r="AG2" i="11"/>
  <c r="B39" i="10"/>
  <c r="AD37" i="10"/>
  <c r="AC37" i="10"/>
  <c r="AB37" i="10"/>
  <c r="AA37" i="10"/>
  <c r="Z37" i="10"/>
  <c r="Y37" i="10"/>
  <c r="X37" i="10"/>
  <c r="W37" i="10"/>
  <c r="V37" i="10"/>
  <c r="U37" i="10"/>
  <c r="T37" i="10"/>
  <c r="S37" i="10"/>
  <c r="R37" i="10"/>
  <c r="Q37" i="10"/>
  <c r="P37" i="10"/>
  <c r="O37" i="10"/>
  <c r="N37" i="10"/>
  <c r="M37" i="10"/>
  <c r="L37" i="10"/>
  <c r="K37" i="10"/>
  <c r="J37" i="10"/>
  <c r="I37" i="10"/>
  <c r="H37" i="10"/>
  <c r="G37" i="10"/>
  <c r="F37" i="10"/>
  <c r="E37" i="10"/>
  <c r="D37" i="10"/>
  <c r="C37" i="10"/>
  <c r="B37" i="10"/>
  <c r="AG5" i="10"/>
  <c r="AG2" i="10"/>
  <c r="AE3" i="9"/>
  <c r="AD3" i="9"/>
  <c r="AC3" i="9"/>
  <c r="AB3" i="9"/>
  <c r="AA3" i="9"/>
  <c r="Z3" i="9"/>
  <c r="Y3" i="9"/>
  <c r="X3" i="9"/>
  <c r="W3" i="9"/>
  <c r="V3" i="9"/>
  <c r="U3" i="9"/>
  <c r="T3" i="9"/>
  <c r="S3" i="9"/>
  <c r="R3" i="9"/>
  <c r="Q3" i="9"/>
  <c r="P3" i="9"/>
  <c r="O3" i="9"/>
  <c r="N3" i="9"/>
  <c r="M3" i="9"/>
  <c r="L3" i="9"/>
  <c r="K3" i="9"/>
  <c r="J3" i="9"/>
  <c r="I3" i="9"/>
  <c r="H3" i="9"/>
  <c r="G3" i="9"/>
  <c r="F3" i="9"/>
  <c r="E3" i="9"/>
  <c r="D3" i="9"/>
  <c r="C3" i="9"/>
  <c r="B3" i="9"/>
  <c r="AF3" i="8"/>
  <c r="AE3" i="8"/>
  <c r="AD3" i="8"/>
  <c r="AC3" i="8"/>
  <c r="AB3" i="8"/>
  <c r="AA3" i="8"/>
  <c r="Z3" i="8"/>
  <c r="Y3" i="8"/>
  <c r="X3" i="8"/>
  <c r="W3" i="8"/>
  <c r="V3" i="8"/>
  <c r="U3" i="8"/>
  <c r="T3" i="8"/>
  <c r="S3" i="8"/>
  <c r="R3" i="8"/>
  <c r="Q3" i="8"/>
  <c r="P3" i="8"/>
  <c r="O3" i="8"/>
  <c r="N3" i="8"/>
  <c r="M3" i="8"/>
  <c r="L3" i="8"/>
  <c r="K3" i="8"/>
  <c r="J3" i="8"/>
  <c r="I3" i="8"/>
  <c r="H3" i="8"/>
  <c r="G3" i="8"/>
  <c r="F3" i="8"/>
  <c r="E3" i="8"/>
  <c r="D3" i="8"/>
  <c r="C3" i="8"/>
  <c r="B3" i="8"/>
  <c r="B36" i="9"/>
  <c r="AD34" i="9"/>
  <c r="AC34" i="9"/>
  <c r="AB34" i="9"/>
  <c r="AA34" i="9"/>
  <c r="Z34" i="9"/>
  <c r="Y34" i="9"/>
  <c r="X34" i="9"/>
  <c r="W34" i="9"/>
  <c r="V34" i="9"/>
  <c r="U34" i="9"/>
  <c r="T34" i="9"/>
  <c r="S34" i="9"/>
  <c r="R34" i="9"/>
  <c r="Q34" i="9"/>
  <c r="P34" i="9"/>
  <c r="O34" i="9"/>
  <c r="N34" i="9"/>
  <c r="M34" i="9"/>
  <c r="L34" i="9"/>
  <c r="K34" i="9"/>
  <c r="J34" i="9"/>
  <c r="I34" i="9"/>
  <c r="H34" i="9"/>
  <c r="G34" i="9"/>
  <c r="F34" i="9"/>
  <c r="E34" i="9"/>
  <c r="D34" i="9"/>
  <c r="C34" i="9"/>
  <c r="B34" i="9"/>
  <c r="AG5" i="9"/>
  <c r="AG34" i="9" s="1"/>
  <c r="AG2" i="9"/>
  <c r="B35" i="8"/>
  <c r="AD33" i="8"/>
  <c r="AC33" i="8"/>
  <c r="AB33" i="8"/>
  <c r="AA33" i="8"/>
  <c r="Z33" i="8"/>
  <c r="Y33" i="8"/>
  <c r="X33" i="8"/>
  <c r="W33" i="8"/>
  <c r="V33" i="8"/>
  <c r="U33" i="8"/>
  <c r="T33" i="8"/>
  <c r="S33" i="8"/>
  <c r="R33" i="8"/>
  <c r="Q33" i="8"/>
  <c r="P33" i="8"/>
  <c r="O33" i="8"/>
  <c r="N33" i="8"/>
  <c r="M33" i="8"/>
  <c r="K33" i="8"/>
  <c r="J33" i="8"/>
  <c r="I33" i="8"/>
  <c r="H33" i="8"/>
  <c r="G33" i="8"/>
  <c r="F33" i="8"/>
  <c r="E33" i="8"/>
  <c r="D33" i="8"/>
  <c r="C33" i="8"/>
  <c r="B33" i="8"/>
  <c r="AG6" i="8"/>
  <c r="AG5" i="8"/>
  <c r="AG2" i="8"/>
  <c r="AE3" i="7"/>
  <c r="AD3" i="7"/>
  <c r="AC3" i="7"/>
  <c r="AB3" i="7"/>
  <c r="AA3" i="7"/>
  <c r="Z3" i="7"/>
  <c r="Y3" i="7"/>
  <c r="X3" i="7"/>
  <c r="W3" i="7"/>
  <c r="V3" i="7"/>
  <c r="U3" i="7"/>
  <c r="T3" i="7"/>
  <c r="S3" i="7"/>
  <c r="R3" i="7"/>
  <c r="Q3" i="7"/>
  <c r="P3" i="7"/>
  <c r="O3" i="7"/>
  <c r="N3" i="7"/>
  <c r="M3" i="7"/>
  <c r="L3" i="7"/>
  <c r="K3" i="7"/>
  <c r="J3" i="7"/>
  <c r="I3" i="7"/>
  <c r="H3" i="7"/>
  <c r="G3" i="7"/>
  <c r="F3" i="7"/>
  <c r="E3" i="7"/>
  <c r="D3" i="7"/>
  <c r="C3" i="7"/>
  <c r="B3" i="7"/>
  <c r="B36" i="7"/>
  <c r="AD34" i="7"/>
  <c r="AC34" i="7"/>
  <c r="AB34" i="7"/>
  <c r="AA34" i="7"/>
  <c r="Z34" i="7"/>
  <c r="Y34" i="7"/>
  <c r="X34" i="7"/>
  <c r="W34" i="7"/>
  <c r="V34" i="7"/>
  <c r="U34" i="7"/>
  <c r="T34" i="7"/>
  <c r="S34" i="7"/>
  <c r="R34" i="7"/>
  <c r="Q34" i="7"/>
  <c r="P34" i="7"/>
  <c r="O34" i="7"/>
  <c r="N34" i="7"/>
  <c r="M34" i="7"/>
  <c r="L34" i="7"/>
  <c r="K34" i="7"/>
  <c r="J34" i="7"/>
  <c r="I34" i="7"/>
  <c r="H34" i="7"/>
  <c r="G34" i="7"/>
  <c r="F34" i="7"/>
  <c r="E34" i="7"/>
  <c r="D34" i="7"/>
  <c r="C34" i="7"/>
  <c r="B34" i="7"/>
  <c r="AG33" i="7"/>
  <c r="AG28" i="7"/>
  <c r="AG6" i="7"/>
  <c r="AG5" i="7"/>
  <c r="AG2" i="7"/>
  <c r="AF3" i="6"/>
  <c r="AE3" i="6"/>
  <c r="AD3" i="6"/>
  <c r="AC3" i="6"/>
  <c r="AB3" i="6"/>
  <c r="AA3" i="6"/>
  <c r="Z3" i="6"/>
  <c r="Y3" i="6"/>
  <c r="X3" i="6"/>
  <c r="W3" i="6"/>
  <c r="V3" i="6"/>
  <c r="U3" i="6"/>
  <c r="T3" i="6"/>
  <c r="S3" i="6"/>
  <c r="R3" i="6"/>
  <c r="Q3" i="6"/>
  <c r="P3" i="6"/>
  <c r="O3" i="6"/>
  <c r="N3" i="6"/>
  <c r="M3" i="6"/>
  <c r="L3" i="6"/>
  <c r="K3" i="6"/>
  <c r="J3" i="6"/>
  <c r="I3" i="6"/>
  <c r="H3" i="6"/>
  <c r="G3" i="6"/>
  <c r="F3" i="6"/>
  <c r="E3" i="6"/>
  <c r="D3" i="6"/>
  <c r="C3" i="6"/>
  <c r="B3" i="6"/>
  <c r="B33" i="6"/>
  <c r="AD31" i="6"/>
  <c r="AC31" i="6"/>
  <c r="AB31" i="6"/>
  <c r="AA31" i="6"/>
  <c r="Z31" i="6"/>
  <c r="Y31" i="6"/>
  <c r="X31" i="6"/>
  <c r="W31" i="6"/>
  <c r="V31" i="6"/>
  <c r="U31" i="6"/>
  <c r="T31" i="6"/>
  <c r="S31" i="6"/>
  <c r="R31" i="6"/>
  <c r="Q31" i="6"/>
  <c r="P31" i="6"/>
  <c r="O31" i="6"/>
  <c r="N31" i="6"/>
  <c r="M31" i="6"/>
  <c r="L31" i="6"/>
  <c r="K31" i="6"/>
  <c r="J31" i="6"/>
  <c r="I31" i="6"/>
  <c r="H31" i="6"/>
  <c r="G31" i="6"/>
  <c r="F31" i="6"/>
  <c r="E31" i="6"/>
  <c r="D31" i="6"/>
  <c r="C31" i="6"/>
  <c r="B31" i="6"/>
  <c r="AG6" i="6"/>
  <c r="AG5" i="6"/>
  <c r="AG2" i="6"/>
  <c r="AG31" i="6"/>
  <c r="AG34" i="7"/>
  <c r="AG31" i="15"/>
  <c r="AG30" i="5"/>
  <c r="AG8" i="5"/>
  <c r="AG7" i="5"/>
  <c r="B33" i="5"/>
  <c r="AG2" i="5"/>
  <c r="AG8" i="4"/>
  <c r="AG7" i="4"/>
  <c r="AD31" i="5"/>
  <c r="AC31" i="5"/>
  <c r="AB31" i="5"/>
  <c r="AA31" i="5"/>
  <c r="Z31" i="5"/>
  <c r="Y31" i="5"/>
  <c r="X31" i="5"/>
  <c r="W31" i="5"/>
  <c r="V31" i="5"/>
  <c r="U31" i="5"/>
  <c r="T31" i="5"/>
  <c r="S31" i="5"/>
  <c r="R31" i="5"/>
  <c r="Q31" i="5"/>
  <c r="P31" i="5"/>
  <c r="O31" i="5"/>
  <c r="N31" i="5"/>
  <c r="M31" i="5"/>
  <c r="L31" i="5"/>
  <c r="K31" i="5"/>
  <c r="J31" i="5"/>
  <c r="I31" i="5"/>
  <c r="H31" i="5"/>
  <c r="G31" i="5"/>
  <c r="F31" i="5"/>
  <c r="E31" i="5"/>
  <c r="D31" i="5"/>
  <c r="C31" i="5"/>
  <c r="B31" i="5"/>
  <c r="AG6" i="5"/>
  <c r="AG31" i="5" s="1"/>
  <c r="AG5" i="5"/>
  <c r="AD3" i="5"/>
  <c r="AC3" i="5"/>
  <c r="AB3" i="5"/>
  <c r="AA3" i="5"/>
  <c r="Z3" i="5"/>
  <c r="Y3" i="5"/>
  <c r="X3" i="5"/>
  <c r="W3" i="5"/>
  <c r="V3" i="5"/>
  <c r="U3" i="5"/>
  <c r="T3" i="5"/>
  <c r="S3" i="5"/>
  <c r="R3" i="5"/>
  <c r="Q3" i="5"/>
  <c r="P3" i="5"/>
  <c r="O3" i="5"/>
  <c r="N3" i="5"/>
  <c r="M3" i="5"/>
  <c r="L3" i="5"/>
  <c r="K3" i="5"/>
  <c r="J3" i="5"/>
  <c r="I3" i="5"/>
  <c r="H3" i="5"/>
  <c r="G3" i="5"/>
  <c r="F3" i="5"/>
  <c r="E3" i="5"/>
  <c r="D3" i="5"/>
  <c r="C3" i="5"/>
  <c r="B3" i="5"/>
  <c r="AG5" i="4"/>
  <c r="AG31" i="4" s="1"/>
  <c r="AG6" i="4"/>
  <c r="AF31" i="4"/>
  <c r="AE31" i="4"/>
  <c r="AD31" i="4"/>
  <c r="AC31" i="4"/>
  <c r="AB31" i="4"/>
  <c r="AA31" i="4"/>
  <c r="Z31" i="4"/>
  <c r="Y31" i="4"/>
  <c r="X31" i="4"/>
  <c r="W31" i="4"/>
  <c r="V31" i="4"/>
  <c r="U31" i="4"/>
  <c r="T31" i="4"/>
  <c r="S31" i="4"/>
  <c r="R31" i="4"/>
  <c r="Q31" i="4"/>
  <c r="P31" i="4"/>
  <c r="O31" i="4"/>
  <c r="N31" i="4"/>
  <c r="M31" i="4"/>
  <c r="L31" i="4"/>
  <c r="K31" i="4"/>
  <c r="J31" i="4"/>
  <c r="I31" i="4"/>
  <c r="H31" i="4"/>
  <c r="G31" i="4"/>
  <c r="F31" i="4"/>
  <c r="E31" i="4"/>
  <c r="D31" i="4"/>
  <c r="C31" i="4"/>
  <c r="B31" i="4"/>
  <c r="AD3" i="4"/>
  <c r="Z3" i="4"/>
  <c r="V3" i="4"/>
  <c r="N3" i="4"/>
  <c r="F3" i="4"/>
  <c r="AC3" i="4"/>
  <c r="Y3" i="4"/>
  <c r="Q3" i="4"/>
  <c r="M3" i="4"/>
  <c r="E3" i="4"/>
  <c r="L3" i="4"/>
  <c r="AF3" i="4"/>
  <c r="AB3" i="4"/>
  <c r="X3" i="4"/>
  <c r="R3" i="4"/>
  <c r="J3" i="4"/>
  <c r="D3" i="4"/>
  <c r="AE3" i="4"/>
  <c r="AA3" i="4"/>
  <c r="W3" i="4"/>
  <c r="S3" i="4"/>
  <c r="O3" i="4"/>
  <c r="K3" i="4"/>
  <c r="G3" i="4"/>
  <c r="C3" i="4"/>
  <c r="P3" i="4"/>
  <c r="H3" i="4"/>
  <c r="B3" i="4"/>
  <c r="U3" i="4"/>
  <c r="I3" i="4"/>
  <c r="T3" i="4"/>
  <c r="AG39" i="14" l="1"/>
  <c r="AG37" i="12"/>
  <c r="AG33" i="8"/>
  <c r="AG37" i="10"/>
  <c r="AG35" i="11"/>
</calcChain>
</file>

<file path=xl/sharedStrings.xml><?xml version="1.0" encoding="utf-8"?>
<sst xmlns="http://schemas.openxmlformats.org/spreadsheetml/2006/main" count="1087" uniqueCount="105">
  <si>
    <t>Employee Absence Schedule</t>
  </si>
  <si>
    <t>Dates of Absence</t>
  </si>
  <si>
    <t>Employee Name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</si>
  <si>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</si>
  <si>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</si>
  <si>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</si>
  <si>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</si>
  <si>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</si>
  <si>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</si>
  <si>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</si>
  <si>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</si>
  <si>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</si>
  <si>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</si>
  <si>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</si>
  <si>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</si>
  <si>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</si>
  <si>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</si>
  <si>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</si>
  <si>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</si>
  <si>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</si>
  <si>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</si>
  <si>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</si>
  <si>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</si>
  <si>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</si>
  <si>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</si>
  <si>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</si>
  <si>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</si>
  <si>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</si>
  <si>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</si>
  <si>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</si>
  <si>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</si>
  <si>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</si>
  <si>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</si>
  <si>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</si>
  <si>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Total Days</t>
  </si>
  <si>
    <t>S</t>
  </si>
  <si>
    <t>V</t>
  </si>
  <si>
    <t xml:space="preserve"> </t>
  </si>
  <si>
    <t xml:space="preserve">  </t>
  </si>
  <si>
    <t>P</t>
  </si>
  <si>
    <t>January</t>
  </si>
  <si>
    <t>Vacation</t>
  </si>
  <si>
    <t>Personal</t>
  </si>
  <si>
    <t>Sick</t>
  </si>
  <si>
    <t>Custom 2</t>
  </si>
  <si>
    <t>Color Key</t>
  </si>
  <si>
    <t>February</t>
  </si>
  <si>
    <t>March</t>
  </si>
  <si>
    <t>April</t>
  </si>
  <si>
    <t>May</t>
  </si>
  <si>
    <t>June</t>
  </si>
  <si>
    <t>July</t>
  </si>
  <si>
    <t>August</t>
  </si>
  <si>
    <t>September</t>
  </si>
  <si>
    <t>October</t>
  </si>
  <si>
    <t>November</t>
  </si>
  <si>
    <t>December</t>
  </si>
  <si>
    <t>Senthil Sai</t>
  </si>
  <si>
    <t>Allwin</t>
  </si>
  <si>
    <t>Yamini</t>
  </si>
  <si>
    <t>Aashiq</t>
  </si>
  <si>
    <t xml:space="preserve">Sathish </t>
  </si>
  <si>
    <t>Sugumar</t>
  </si>
  <si>
    <t>Asan</t>
  </si>
  <si>
    <t>Sanjana S</t>
  </si>
  <si>
    <t>Sai prashant</t>
  </si>
  <si>
    <t>Ramakrishnan</t>
  </si>
  <si>
    <t>Sanjana Babu</t>
  </si>
  <si>
    <t>Roshan</t>
  </si>
  <si>
    <t>Raghavan</t>
  </si>
  <si>
    <t>Thirupati</t>
  </si>
  <si>
    <t>Manirathinavelu</t>
  </si>
  <si>
    <t>Suresh Vasantha</t>
  </si>
  <si>
    <t>Braj Mohan</t>
  </si>
  <si>
    <t>Elayaraja</t>
  </si>
  <si>
    <t>Shreya</t>
  </si>
  <si>
    <t xml:space="preserve">Jaikrishna </t>
  </si>
  <si>
    <t>Seshan</t>
  </si>
  <si>
    <t>Mohamed Mansoor</t>
  </si>
  <si>
    <t>Ravindra Tiwari</t>
  </si>
  <si>
    <t>Anand S</t>
  </si>
  <si>
    <t>Nivedha</t>
  </si>
  <si>
    <t>Abdul K</t>
  </si>
  <si>
    <t>Chandra</t>
  </si>
  <si>
    <t xml:space="preserve">Girija  </t>
  </si>
  <si>
    <t xml:space="preserve">Sabareesh    </t>
  </si>
  <si>
    <t>R</t>
  </si>
  <si>
    <t>H</t>
  </si>
  <si>
    <t>Holiday</t>
  </si>
  <si>
    <t>Ramachandran</t>
  </si>
  <si>
    <t>Deepika</t>
  </si>
  <si>
    <t>KarthiKeyan V</t>
  </si>
  <si>
    <t>Kuzhal</t>
  </si>
  <si>
    <t>Dilip Prasad</t>
  </si>
  <si>
    <t>Ashok S</t>
  </si>
  <si>
    <t>Rajesh Kanna</t>
  </si>
  <si>
    <t>Pramod</t>
  </si>
  <si>
    <t>Ahmed Koya</t>
  </si>
  <si>
    <t>Andrew Springer</t>
  </si>
  <si>
    <t>Alexander Teeple</t>
  </si>
  <si>
    <t>1/2 day</t>
  </si>
  <si>
    <t>Gowher John</t>
  </si>
  <si>
    <t>Krishna</t>
  </si>
  <si>
    <t>Nadeem Manohar</t>
  </si>
  <si>
    <t>Sampath Raju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</si>
</sst>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sz val="10"/>
      <name val="Century Gothic"/>
      <family val="2"/>
    </font>
    <font>
      <b/>
      <sz val="12"/>
      <name val="Arial"/>
      <family val="2"/>
    </font>
    <font>
      <b/>
      <sz val="10"/>
      <name val="Century Gothic"/>
      <family val="2"/>
    </font>
    <font>
      <sz val="9"/>
      <name val="Century Gothic"/>
      <family val="2"/>
    </font>
    <font>
      <b/>
      <sz val="13"/>
      <color theme="3"/>
      <name val="Calibri"/>
      <family val="2"/>
      <scheme val="minor"/>
    </font>
    <font>
      <b/>
      <sz val="11"/>
      <color theme="3"/>
      <name val="Calibri"/>
      <family val="2"/>
      <scheme val="minor"/>
    </font>
    <font>
      <b/>
      <sz val="11"/>
      <color theme="0"/>
      <name val="Calibri"/>
      <family val="2"/>
      <scheme val="minor"/>
    </font>
    <font>
      <b/>
      <sz val="11"/>
      <color theme="1"/>
      <name val="Calibri"/>
      <family val="2"/>
      <scheme val="minor"/>
    </font>
    <font>
      <b/>
      <sz val="12"/>
      <name val="Calibri"/>
      <family val="2"/>
      <scheme val="major"/>
    </font>
    <font>
      <b/>
      <sz val="26"/>
      <color theme="3"/>
      <name val="Calibri"/>
      <family val="2"/>
      <scheme val="major"/>
    </font>
    <font>
      <sz val="9"/>
      <name val="Calibri"/>
      <family val="2"/>
      <scheme val="minor"/>
    </font>
    <font>
      <sz val="18"/>
      <color theme="3"/>
      <name val="Calibri"/>
      <family val="2"/>
      <scheme val="minor"/>
    </font>
    <font>
      <sz val="11"/>
      <color theme="1"/>
      <name val="Calibri"/>
      <family val="2"/>
      <scheme val="major"/>
    </font>
    <font>
      <sz val="10"/>
      <name val="Calibri"/>
      <family val="2"/>
      <scheme val="major"/>
    </font>
    <font>
      <b/>
      <sz val="18"/>
      <color theme="4" tint="-0.249977111117893"/>
      <name val="Calibri"/>
      <family val="2"/>
      <scheme val="major"/>
    </font>
    <font>
      <b/>
      <sz val="16"/>
      <color theme="4" tint="-0.249977111117893"/>
      <name val="Calibri"/>
      <family val="2"/>
      <scheme val="major"/>
    </font>
    <font>
      <b/>
      <sz val="18"/>
      <color theme="4" tint="-0.249977111117893"/>
      <name val="Calibri"/>
      <family val="2"/>
      <scheme val="minor"/>
    </font>
    <font>
      <sz val="11"/>
      <color theme="1"/>
      <name val="Calibri"/>
      <family val="2"/>
      <scheme val="minor"/>
    </font>
    <font>
      <sz val="11"/>
      <color theme="1"/>
      <name val="Calibri"/>
      <family val="2"/>
      <scheme val="minor"/>
    </font>
    <font>
      <sz val="11"/>
      <color theme="1"/>
      <name val="Calibri"/>
      <scheme val="minor"/>
    </font>
  </fonts>
  <fills count="1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6" tint="0.79998168889431442"/>
        <bgColor indexed="64"/>
      </patternFill>
    </fill>
    <fill>
      <patternFill patternType="solid">
        <fgColor theme="6" tint="0.59999389629810485"/>
        <bgColor indexed="64"/>
      </patternFill>
    </fill>
  </fills>
  <borders count="4">
    <border>
      <left/>
      <right/>
      <top/>
      <bottom/>
      <diagonal/>
    </border>
    <border>
      <left style="thin">
        <color theme="0" tint="-0.24994659260841701"/>
      </left>
      <right style="thin">
        <color theme="0" tint="-0.24994659260841701"/>
      </right>
      <top/>
      <bottom/>
      <diagonal/>
    </border>
    <border>
      <left/>
      <right style="thin">
        <color theme="0" tint="-0.24994659260841701"/>
      </right>
      <top/>
      <bottom/>
      <diagonal/>
    </border>
    <border>
      <left style="thin">
        <color theme="0" tint="-0.24994659260841701"/>
      </left>
      <right/>
      <top/>
      <bottom/>
      <diagonal/>
    </border>
  </borders>
  <cellStyleXfs count="5">
    <xf numFmtId="0" fontId="0" fillId="0" borderId="0"/>
    <xf numFmtId="0" fontId="10" fillId="0" borderId="0" applyNumberFormat="0" applyFill="0" applyBorder="0" applyAlignment="0" applyProtection="0"/>
    <xf numFmtId="0" fontId="12"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1">
    <xf numFmtId="0" fontId="0" fillId="0" borderId="0" xfId="0"/>
    <xf numFmtId="0" fontId="1" fillId="0" borderId="0" xfId="0" applyFont="1" applyFill="1" applyAlignment="1">
      <alignment vertical="center"/>
    </xf>
    <xf numFmtId="0" fontId="1" fillId="0" borderId="0" xfId="0" applyFont="1" applyFill="1" applyAlignment="1">
      <alignment horizontal="center" vertical="center"/>
    </xf>
    <xf numFmtId="0" fontId="3" fillId="0" borderId="0" xfId="0" applyFont="1" applyAlignment="1">
      <alignment horizontal="center" vertical="center"/>
    </xf>
    <xf numFmtId="0" fontId="3" fillId="0" borderId="0" xfId="0" applyFont="1" applyAlignment="1">
      <alignment vertical="center"/>
    </xf>
    <xf numFmtId="0" fontId="4" fillId="0" borderId="0" xfId="0" applyFont="1" applyAlignment="1">
      <alignment horizontal="center"/>
    </xf>
    <xf numFmtId="0" fontId="4" fillId="0" borderId="0" xfId="0" applyFont="1"/>
    <xf numFmtId="0" fontId="0" fillId="0" borderId="0" xfId="0" applyFont="1" applyFill="1" applyBorder="1" applyAlignment="1">
      <alignment horizontal="center" vertical="center"/>
    </xf>
    <xf numFmtId="0" fontId="0" fillId="0" borderId="0" xfId="0" applyFont="1" applyFill="1" applyBorder="1" applyAlignment="1">
      <alignment horizontal="left" vertical="center"/>
    </xf>
    <xf numFmtId="0" fontId="4" fillId="0" borderId="0" xfId="0" applyFont="1" applyAlignment="1">
      <alignment horizontal="center" vertical="center"/>
    </xf>
    <xf numFmtId="0" fontId="4" fillId="0" borderId="0" xfId="0" applyFont="1" applyAlignment="1">
      <alignment vertical="center"/>
    </xf>
    <xf numFmtId="164" fontId="0" fillId="0" borderId="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right" indent="2"/>
    </xf>
    <xf numFmtId="0" fontId="1" fillId="0" borderId="0" xfId="0" applyFont="1" applyAlignment="1">
      <alignment horizontal="center"/>
    </xf>
    <xf numFmtId="0" fontId="1" fillId="0" borderId="0" xfId="0" applyFont="1"/>
    <xf numFmtId="0" fontId="0" fillId="0" borderId="0" xfId="0" applyNumberFormat="1" applyFont="1" applyFill="1" applyBorder="1" applyAlignment="1">
      <alignment horizontal="center" vertical="center"/>
    </xf>
    <xf numFmtId="49" fontId="1" fillId="0" borderId="0" xfId="0" applyNumberFormat="1" applyFont="1"/>
    <xf numFmtId="0" fontId="0" fillId="0" borderId="0" xfId="0" applyBorder="1" applyAlignment="1">
      <alignment vertical="top"/>
    </xf>
    <xf numFmtId="0" fontId="1" fillId="0" borderId="0" xfId="0" applyFont="1" applyFill="1" applyAlignment="1">
      <alignment vertical="top"/>
    </xf>
    <xf numFmtId="0" fontId="2" fillId="0" borderId="0" xfId="0" applyFont="1" applyBorder="1" applyAlignment="1">
      <alignment vertical="top"/>
    </xf>
    <xf numFmtId="164" fontId="7" fillId="5" borderId="0" xfId="0" applyNumberFormat="1" applyFont="1" applyFill="1" applyBorder="1" applyAlignment="1">
      <alignment horizontal="center" vertical="center"/>
    </xf>
    <xf numFmtId="164" fontId="7" fillId="6" borderId="0" xfId="0" applyNumberFormat="1" applyFont="1" applyFill="1" applyBorder="1" applyAlignment="1">
      <alignment horizontal="center" vertical="center"/>
    </xf>
    <xf numFmtId="164" fontId="7" fillId="7" borderId="0" xfId="0" applyNumberFormat="1" applyFont="1" applyFill="1" applyBorder="1" applyAlignment="1">
      <alignment horizontal="center" vertical="center"/>
    </xf>
    <xf numFmtId="164" fontId="7" fillId="8" borderId="0" xfId="0" applyNumberFormat="1" applyFont="1" applyFill="1" applyBorder="1" applyAlignment="1">
      <alignment horizontal="center" vertical="center"/>
    </xf>
    <xf numFmtId="164" fontId="7" fillId="4" borderId="0" xfId="0" applyNumberFormat="1" applyFont="1" applyFill="1" applyBorder="1" applyAlignment="1">
      <alignment horizontal="center" vertical="center"/>
    </xf>
    <xf numFmtId="49" fontId="10" fillId="0" borderId="0" xfId="1" applyNumberFormat="1" applyFill="1" applyBorder="1" applyAlignment="1">
      <alignment vertical="top"/>
    </xf>
    <xf numFmtId="0" fontId="11" fillId="3" borderId="2" xfId="0" applyFont="1" applyFill="1" applyBorder="1" applyAlignment="1">
      <alignment horizontal="center"/>
    </xf>
    <xf numFmtId="0" fontId="11" fillId="3" borderId="1" xfId="0" applyFont="1" applyFill="1" applyBorder="1" applyAlignment="1">
      <alignment horizontal="center"/>
    </xf>
    <xf numFmtId="0" fontId="11" fillId="3" borderId="3" xfId="0" applyFont="1" applyFill="1" applyBorder="1" applyAlignment="1">
      <alignment horizontal="center"/>
    </xf>
    <xf numFmtId="49" fontId="10" fillId="0" borderId="0" xfId="1" applyNumberFormat="1" applyFont="1" applyFill="1" applyBorder="1" applyAlignment="1">
      <alignment vertical="top"/>
    </xf>
    <xf numFmtId="0" fontId="13" fillId="0" borderId="0" xfId="0" applyFont="1" applyBorder="1" applyAlignment="1">
      <alignment vertical="top"/>
    </xf>
    <xf numFmtId="0" fontId="14" fillId="0" borderId="0" xfId="0" applyFont="1" applyFill="1" applyAlignment="1">
      <alignment vertical="top"/>
    </xf>
    <xf numFmtId="0" fontId="9" fillId="0" borderId="0" xfId="0" applyFont="1" applyBorder="1" applyAlignment="1">
      <alignment vertical="top"/>
    </xf>
    <xf numFmtId="0" fontId="13" fillId="0" borderId="0" xfId="0" applyFont="1"/>
    <xf numFmtId="0" fontId="14" fillId="0" borderId="0" xfId="0" applyFont="1" applyFill="1" applyAlignment="1">
      <alignment horizontal="center" vertical="center"/>
    </xf>
    <xf numFmtId="0" fontId="14" fillId="0" borderId="0" xfId="0" applyFont="1" applyFill="1" applyAlignment="1">
      <alignment vertical="center"/>
    </xf>
    <xf numFmtId="49" fontId="0" fillId="0" borderId="0" xfId="0" applyNumberFormat="1" applyFont="1" applyFill="1" applyBorder="1" applyAlignment="1">
      <alignment horizontal="left" vertical="center" indent="1"/>
    </xf>
    <xf numFmtId="164" fontId="0" fillId="9" borderId="0" xfId="0" applyNumberFormat="1" applyFont="1" applyFill="1" applyBorder="1" applyAlignment="1">
      <alignment horizontal="left" vertical="center"/>
    </xf>
    <xf numFmtId="0" fontId="1" fillId="9" borderId="0" xfId="0" applyFont="1" applyFill="1" applyAlignment="1">
      <alignment vertical="center"/>
    </xf>
    <xf numFmtId="164" fontId="0" fillId="9" borderId="0" xfId="0" applyNumberFormat="1" applyFont="1" applyFill="1" applyBorder="1" applyAlignment="1">
      <alignment horizontal="center" vertical="center"/>
    </xf>
    <xf numFmtId="164" fontId="8" fillId="10" borderId="0" xfId="0" applyNumberFormat="1" applyFont="1" applyFill="1" applyBorder="1" applyAlignment="1">
      <alignment vertical="center"/>
    </xf>
    <xf numFmtId="164" fontId="0" fillId="10" borderId="0" xfId="0" applyNumberFormat="1" applyFont="1" applyFill="1" applyBorder="1" applyAlignment="1">
      <alignment horizontal="center" vertical="center"/>
    </xf>
    <xf numFmtId="49" fontId="0" fillId="0" borderId="0" xfId="0" applyNumberFormat="1" applyFont="1" applyFill="1" applyBorder="1" applyAlignment="1">
      <alignment horizontal="left" vertical="center" wrapText="1" indent="2"/>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18" fillId="0" borderId="0" xfId="0" applyFont="1" applyFill="1" applyBorder="1" applyAlignment="1">
      <alignment horizontal="left" vertical="center" indent="1"/>
    </xf>
    <xf numFmtId="164" fontId="18"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18" fillId="0" borderId="0" xfId="0" applyFont="1" applyFill="1" applyBorder="1" applyAlignment="1">
      <alignment horizontal="left" vertical="center"/>
    </xf>
    <xf numFmtId="0" fontId="0" fillId="0" borderId="0" xfId="0" applyFill="1" applyBorder="1" applyAlignment="1">
      <alignment horizontal="center" vertical="center"/>
    </xf>
    <xf numFmtId="0" fontId="18" fillId="0" borderId="0" xfId="0" applyFont="1" applyFill="1" applyAlignment="1">
      <alignment horizontal="center" vertical="center"/>
    </xf>
    <xf numFmtId="49" fontId="0" fillId="0" borderId="0" xfId="0" applyNumberFormat="1" applyFill="1" applyBorder="1" applyAlignment="1">
      <alignment horizontal="left" vertical="center" wrapText="1" indent="2"/>
    </xf>
    <xf numFmtId="0" fontId="0"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19" fillId="0" borderId="0" xfId="0" applyFont="1" applyFill="1" applyBorder="1" applyAlignment="1">
      <alignment horizontal="center" vertical="center"/>
    </xf>
    <xf numFmtId="0" fontId="19" fillId="0" borderId="0" xfId="0" applyFont="1" applyFill="1" applyBorder="1" applyAlignment="1">
      <alignment horizontal="left" vertical="center"/>
    </xf>
    <xf numFmtId="164" fontId="19"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20" fillId="0" borderId="0" xfId="0" applyFont="1" applyFill="1" applyBorder="1" applyAlignment="1">
      <alignment horizontal="left" vertical="center" indent="1"/>
    </xf>
    <xf numFmtId="164" fontId="20" fillId="0" borderId="0" xfId="0" applyNumberFormat="1" applyFont="1" applyFill="1" applyBorder="1" applyAlignment="1">
      <alignment horizontal="center" vertical="center"/>
    </xf>
    <xf numFmtId="0" fontId="20" fillId="0" borderId="0" xfId="0" applyFont="1" applyFill="1" applyBorder="1" applyAlignment="1">
      <alignment horizontal="center" vertical="center"/>
    </xf>
    <xf numFmtId="0" fontId="20" fillId="0" borderId="0" xfId="0" applyFont="1" applyFill="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20" fillId="0" borderId="0" xfId="0" applyFont="1" applyFill="1" applyBorder="1" applyAlignment="1">
      <alignment horizontal="left" vertical="center"/>
    </xf>
    <xf numFmtId="0" fontId="16" fillId="2" borderId="0" xfId="0" applyFont="1" applyFill="1" applyBorder="1" applyAlignment="1">
      <alignment horizontal="center" vertical="center"/>
    </xf>
    <xf numFmtId="0" fontId="0" fillId="0" borderId="0" xfId="0" applyFont="1" applyFill="1" applyBorder="1" applyAlignment="1">
      <alignment horizontal="center" vertical="center"/>
    </xf>
    <xf numFmtId="17" fontId="15" fillId="2" borderId="0" xfId="0" applyNumberFormat="1" applyFont="1" applyFill="1" applyBorder="1" applyAlignment="1">
      <alignment horizontal="left" vertical="center" indent="1"/>
    </xf>
    <xf numFmtId="0" fontId="17" fillId="2" borderId="0" xfId="2" applyFont="1" applyFill="1" applyBorder="1" applyAlignment="1">
      <alignment horizontal="right" vertical="center" indent="1"/>
    </xf>
    <xf numFmtId="49" fontId="1" fillId="0" borderId="0" xfId="0" applyNumberFormat="1" applyFont="1" applyAlignment="1">
      <alignment horizontal="center"/>
    </xf>
  </cellXfs>
  <cellStyles count="5">
    <cellStyle name="Heading 1" xfId="2" builtinId="16" customBuiltin="1"/>
    <cellStyle name="Heading 2" xfId="3" builtinId="17" customBuiltin="1"/>
    <cellStyle name="Heading 3" xfId="4" builtinId="18" customBuiltin="1"/>
    <cellStyle name="Normal" xfId="0" builtinId="0"/>
    <cellStyle name="Title" xfId="1" builtinId="15" customBuiltin="1"/>
  </cellStyles>
  <dxfs count="857">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border>
        <vertical/>
        <horizontal/>
      </border>
    </dxf>
    <dxf>
      <font>
        <color theme="3"/>
      </font>
      <border>
        <vertical/>
        <horizontal/>
      </border>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numFmt numFmtId="30" formatCode="@"/>
      <fill>
        <patternFill patternType="none">
          <fgColor indexed="64"/>
          <bgColor indexed="65"/>
        </patternFill>
      </fill>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numFmt numFmtId="30" formatCode="@"/>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0"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0" justifyLastLine="0" shrinkToFit="0" readingOrder="0"/>
      <border diagonalUp="0" diagonalDown="0" outline="0">
        <left/>
        <right/>
        <top/>
        <bottom/>
      </border>
    </dxf>
    <dxf>
      <numFmt numFmtId="30" formatCode="@"/>
      <fill>
        <patternFill patternType="none">
          <fgColor indexed="64"/>
          <bgColor indexed="65"/>
        </patternFill>
      </fill>
      <alignment horizontal="left" vertical="center"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relativeIndent="0"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numFmt numFmtId="164" formatCode="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relativeIndent="0"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relativeIndent="0"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fill>
        <patternFill patternType="none">
          <fgColor indexed="64"/>
          <bgColor indexed="65"/>
        </patternFill>
      </fill>
      <alignment horizontal="left" vertical="center" textRotation="0" wrapText="1" indent="2"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b/>
        <i val="0"/>
      </font>
      <fill>
        <patternFill>
          <bgColor rgb="FFD7D7D7"/>
        </patternFill>
      </fill>
    </dxf>
    <dxf>
      <font>
        <b val="0"/>
        <i val="0"/>
      </font>
      <fill>
        <patternFill patternType="none">
          <bgColor indexed="65"/>
        </patternFill>
      </fill>
    </dxf>
    <dxf>
      <fill>
        <patternFill patternType="none">
          <bgColor auto="1"/>
        </patternFill>
      </fill>
      <border diagonalUp="0" diagonalDown="0">
        <left/>
        <right/>
        <top style="thin">
          <color theme="0" tint="-0.14996795556505021"/>
        </top>
        <bottom style="medium">
          <color theme="2" tint="-0.499984740745262"/>
        </bottom>
        <vertical/>
        <horizontal/>
      </border>
    </dxf>
    <dxf>
      <font>
        <color theme="1"/>
      </font>
      <fill>
        <patternFill patternType="none">
          <bgColor auto="1"/>
        </patternFill>
      </fill>
      <border diagonalUp="0" diagonalDown="0">
        <left/>
        <right/>
        <top style="thin">
          <color theme="0" tint="-0.14993743705557422"/>
        </top>
        <bottom style="thin">
          <color theme="0" tint="-0.14996795556505021"/>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2" tint="-0.24994659260841701"/>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4" tint="-0.249977111117893"/>
      </font>
      <border diagonalUp="0" diagonalDown="0">
        <left/>
        <right/>
        <top/>
        <bottom/>
        <vertical style="thin">
          <color theme="0"/>
        </vertical>
        <horizontal/>
      </border>
    </dxf>
  </dxfs>
  <tableStyles count="2" defaultTableStyle="TableStyleMedium2" defaultPivotStyle="PivotStyleLight16">
    <tableStyle name="Employee Absence Table" pivot="0" count="13">
      <tableStyleElement type="wholeTable" dxfId="856"/>
      <tableStyleElement type="headerRow" dxfId="855"/>
      <tableStyleElement type="totalRow" dxfId="854"/>
      <tableStyleElement type="firstColumn" dxfId="853"/>
      <tableStyleElement type="lastColumn" dxfId="852"/>
      <tableStyleElement type="firstRowStripe" dxfId="851"/>
      <tableStyleElement type="secondRowStripe" dxfId="850"/>
      <tableStyleElement type="firstColumnStripe" dxfId="849"/>
      <tableStyleElement type="secondColumnStripe" dxfId="848"/>
      <tableStyleElement type="firstHeaderCell" dxfId="847"/>
      <tableStyleElement type="lastHeaderCell" dxfId="846"/>
      <tableStyleElement type="firstTotalCell" dxfId="845"/>
      <tableStyleElement type="lastTotalCell" dxfId="844"/>
    </tableStyle>
    <tableStyle name="MySqlDefault" pivot="0" table="0" count="2">
      <tableStyleElement type="wholeTable" dxfId="843"/>
      <tableStyleElement type="headerRow" dxfId="8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114301</xdr:colOff>
      <xdr:row>33</xdr:row>
      <xdr:rowOff>80961</xdr:rowOff>
    </xdr:from>
    <xdr:to>
      <xdr:col>26</xdr:col>
      <xdr:colOff>190501</xdr:colOff>
      <xdr:row>43</xdr:row>
      <xdr:rowOff>76201</xdr:rowOff>
    </xdr:to>
    <xdr:grpSp>
      <xdr:nvGrpSpPr>
        <xdr:cNvPr id="6" name="How to use the Color Key group" descr="Customize the values in the Color Key  on the January Absence Schedule sheet to fit your needs. Any changes you make will automatically update throughout the workbook.  To modify the key colors, on the Page Layout tab, in the Themes group, click Colors and select another color set or click Create New Theme Colors.  (Notes in this workbook do not print. To delete any note in this workbook, select it and then press the Delete key.)"/>
        <xdr:cNvGrpSpPr/>
      </xdr:nvGrpSpPr>
      <xdr:grpSpPr>
        <a:xfrm>
          <a:off x="2800351" y="7015161"/>
          <a:ext cx="5676900" cy="1900240"/>
          <a:chOff x="3629025" y="2986088"/>
          <a:chExt cx="6705600" cy="1810111"/>
        </a:xfrm>
      </xdr:grpSpPr>
      <xdr:sp macro="" textlink="">
        <xdr:nvSpPr>
          <xdr:cNvPr id="4" name="Note text" descr="Customize the values in the Color Key  on the January Absence Schedule sheet to fit your needs. Any changes you make will automatically update throughout the workbook.  To modify the key colors, on the Page Layout tab, in the Themes group, click Colors and select another color set or click Create New Theme Colors.  (Notes in this workbook do not print. To delete any note in this workbook, select it and then press the Delete key.)&#10;"/>
          <xdr:cNvSpPr txBox="1"/>
        </xdr:nvSpPr>
        <xdr:spPr>
          <a:xfrm>
            <a:off x="3629025" y="3629025"/>
            <a:ext cx="6705600" cy="116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tx2"/>
                </a:solidFill>
              </a:rPr>
              <a:t>Customize</a:t>
            </a:r>
            <a:r>
              <a:rPr lang="en-US" sz="1000" baseline="0">
                <a:solidFill>
                  <a:schemeClr val="tx2"/>
                </a:solidFill>
              </a:rPr>
              <a:t> the values in the Color Key on the January Absence Schedule sheet to fit your needs. Any changes you make will automatically update throughout the workbook.  To modify the key colors, on the Page Layout tab, in the Themes group, click Colors and select another color set or click Create New Theme Colors.  </a:t>
            </a:r>
          </a:p>
          <a:p>
            <a:endParaRPr lang="en-US" sz="1000" baseline="0">
              <a:solidFill>
                <a:schemeClr val="tx2"/>
              </a:solidFill>
            </a:endParaRPr>
          </a:p>
          <a:p>
            <a:r>
              <a:rPr lang="en-US" sz="1000" baseline="0">
                <a:solidFill>
                  <a:schemeClr val="tx2"/>
                </a:solidFill>
              </a:rPr>
              <a:t>Notes in this workbook do not print. To delete any note in this workbook, click the edge to select it and then press the Delete key.</a:t>
            </a:r>
          </a:p>
          <a:p>
            <a:endParaRPr lang="en-US" sz="1000">
              <a:solidFill>
                <a:schemeClr val="tx2"/>
              </a:solidFill>
            </a:endParaRPr>
          </a:p>
        </xdr:txBody>
      </xdr:sp>
      <xdr:sp macro="" textlink="">
        <xdr:nvSpPr>
          <xdr:cNvPr id="5" name="Callout brace"/>
          <xdr:cNvSpPr/>
        </xdr:nvSpPr>
        <xdr:spPr>
          <a:xfrm rot="5400000">
            <a:off x="6648451" y="157161"/>
            <a:ext cx="609600" cy="6267453"/>
          </a:xfrm>
          <a:prstGeom prst="rightBrac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PrintsWithSheet="0"/>
  </xdr:twoCellAnchor>
  <xdr:twoCellAnchor>
    <xdr:from>
      <xdr:col>32</xdr:col>
      <xdr:colOff>180975</xdr:colOff>
      <xdr:row>0</xdr:row>
      <xdr:rowOff>609600</xdr:rowOff>
    </xdr:from>
    <xdr:to>
      <xdr:col>33</xdr:col>
      <xdr:colOff>104775</xdr:colOff>
      <xdr:row>1</xdr:row>
      <xdr:rowOff>171451</xdr:rowOff>
    </xdr:to>
    <xdr:sp macro="" textlink="">
      <xdr:nvSpPr>
        <xdr:cNvPr id="3" name="Data Entry Note" descr="Enter Year: Type year in cell AG2"/>
        <xdr:cNvSpPr txBox="1"/>
      </xdr:nvSpPr>
      <xdr:spPr>
        <a:xfrm>
          <a:off x="10067925" y="609600"/>
          <a:ext cx="828675" cy="20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accent1">
                  <a:lumMod val="75000"/>
                </a:schemeClr>
              </a:solidFill>
            </a:rPr>
            <a:t>Enter Year:</a:t>
          </a:r>
        </a:p>
      </xdr:txBody>
    </xdr:sp>
    <xdr:clientData fPrintsWithSheet="0"/>
  </xdr:twoCellAnchor>
  <xdr:twoCellAnchor>
    <xdr:from>
      <xdr:col>33</xdr:col>
      <xdr:colOff>85725</xdr:colOff>
      <xdr:row>7</xdr:row>
      <xdr:rowOff>152400</xdr:rowOff>
    </xdr:from>
    <xdr:to>
      <xdr:col>36</xdr:col>
      <xdr:colOff>200025</xdr:colOff>
      <xdr:row>33</xdr:row>
      <xdr:rowOff>74820</xdr:rowOff>
    </xdr:to>
    <xdr:grpSp>
      <xdr:nvGrpSpPr>
        <xdr:cNvPr id="12" name="Group 11"/>
        <xdr:cNvGrpSpPr/>
      </xdr:nvGrpSpPr>
      <xdr:grpSpPr>
        <a:xfrm>
          <a:off x="10877550" y="2133600"/>
          <a:ext cx="1943100" cy="4875420"/>
          <a:chOff x="10877550" y="2152650"/>
          <a:chExt cx="1943100" cy="874920"/>
        </a:xfrm>
      </xdr:grpSpPr>
      <xdr:sp macro="" textlink="">
        <xdr:nvSpPr>
          <xdr:cNvPr id="8" name="TextBox 7" descr="To add a new employee, select the Total Days cell for the last employee and then press the Tab key. "/>
          <xdr:cNvSpPr txBox="1"/>
        </xdr:nvSpPr>
        <xdr:spPr>
          <a:xfrm>
            <a:off x="11191876" y="2152650"/>
            <a:ext cx="1628774" cy="874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000">
                <a:solidFill>
                  <a:schemeClr val="tx2"/>
                </a:solidFill>
                <a:effectLst/>
                <a:latin typeface="+mn-lt"/>
                <a:ea typeface="+mn-ea"/>
                <a:cs typeface="+mn-cs"/>
              </a:rPr>
              <a:t>To add a new employee, select the Total</a:t>
            </a:r>
            <a:r>
              <a:rPr lang="en-US" sz="1000" baseline="0">
                <a:solidFill>
                  <a:schemeClr val="tx2"/>
                </a:solidFill>
                <a:effectLst/>
                <a:latin typeface="+mn-lt"/>
                <a:ea typeface="+mn-ea"/>
                <a:cs typeface="+mn-cs"/>
              </a:rPr>
              <a:t> Days cell for the last employee and then </a:t>
            </a:r>
            <a:r>
              <a:rPr lang="en-US" sz="1000">
                <a:solidFill>
                  <a:schemeClr val="tx2"/>
                </a:solidFill>
                <a:effectLst/>
                <a:latin typeface="+mn-lt"/>
                <a:ea typeface="+mn-ea"/>
                <a:cs typeface="+mn-cs"/>
              </a:rPr>
              <a:t>press the Tab key</a:t>
            </a:r>
            <a:r>
              <a:rPr lang="en-US" sz="1000" baseline="0">
                <a:solidFill>
                  <a:schemeClr val="tx2"/>
                </a:solidFill>
                <a:effectLst/>
                <a:latin typeface="+mn-lt"/>
                <a:ea typeface="+mn-ea"/>
                <a:cs typeface="+mn-cs"/>
              </a:rPr>
              <a:t>. </a:t>
            </a:r>
            <a:endParaRPr lang="en-US" sz="1000">
              <a:solidFill>
                <a:schemeClr val="tx2"/>
              </a:solidFill>
              <a:effectLst/>
            </a:endParaRPr>
          </a:p>
          <a:p>
            <a:endParaRPr lang="en-US" sz="1000">
              <a:solidFill>
                <a:schemeClr val="tx2"/>
              </a:solidFill>
            </a:endParaRPr>
          </a:p>
        </xdr:txBody>
      </xdr:sp>
      <xdr:cxnSp macro="">
        <xdr:nvCxnSpPr>
          <xdr:cNvPr id="11" name="Straight Arrow Connector 10"/>
          <xdr:cNvCxnSpPr/>
        </xdr:nvCxnSpPr>
        <xdr:spPr>
          <a:xfrm>
            <a:off x="10877550" y="2286000"/>
            <a:ext cx="342900" cy="0"/>
          </a:xfrm>
          <a:prstGeom prst="straightConnector1">
            <a:avLst/>
          </a:prstGeom>
          <a:ln>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ables/table1.xml><?xml version="1.0" encoding="utf-8"?>
<table xmlns="http://schemas.openxmlformats.org/spreadsheetml/2006/main" id="3" name="tblJanuary" displayName="tblJanuary" ref="A4:AG31" totalsRowCount="1">
  <tableColumns count="33">
    <tableColumn id="1" name="Employee Name" totalsRowFunction="custom" dataDxfId="841" totalsRowDxfId="840">
      <totalsRowFormula>MonthName&amp;" Total"</totalsRowFormula>
    </tableColumn>
    <tableColumn id="2" name="1" totalsRowFunction="count" dataDxfId="839" totalsRowDxfId="838"/>
    <tableColumn id="3" name="2" totalsRowFunction="count" dataDxfId="837" totalsRowDxfId="836"/>
    <tableColumn id="4" name="3" totalsRowFunction="count" dataDxfId="835" totalsRowDxfId="834"/>
    <tableColumn id="5" name="4" totalsRowFunction="count" dataDxfId="833" totalsRowDxfId="832"/>
    <tableColumn id="6" name="5" totalsRowFunction="count" dataDxfId="831" totalsRowDxfId="830"/>
    <tableColumn id="7" name="6" totalsRowFunction="count" dataDxfId="829" totalsRowDxfId="828"/>
    <tableColumn id="8" name="7" totalsRowFunction="count" dataDxfId="827" totalsRowDxfId="826"/>
    <tableColumn id="9" name="8" totalsRowFunction="count" dataDxfId="825" totalsRowDxfId="824"/>
    <tableColumn id="10" name="9" totalsRowFunction="count" dataDxfId="823" totalsRowDxfId="822"/>
    <tableColumn id="11" name="10" totalsRowFunction="count" dataDxfId="821" totalsRowDxfId="820"/>
    <tableColumn id="12" name="11" totalsRowFunction="count" dataDxfId="819" totalsRowDxfId="818"/>
    <tableColumn id="13" name="12" totalsRowFunction="count" dataDxfId="817" totalsRowDxfId="816"/>
    <tableColumn id="14" name="13" totalsRowFunction="count" dataDxfId="815" totalsRowDxfId="814"/>
    <tableColumn id="15" name="14" totalsRowFunction="count" dataDxfId="813" totalsRowDxfId="812"/>
    <tableColumn id="16" name="15" totalsRowFunction="count" dataDxfId="811" totalsRowDxfId="810"/>
    <tableColumn id="17" name="16" totalsRowFunction="count" dataDxfId="809" totalsRowDxfId="808"/>
    <tableColumn id="18" name="17" totalsRowFunction="count" dataDxfId="807" totalsRowDxfId="806"/>
    <tableColumn id="19" name="18" totalsRowFunction="count" dataDxfId="805" totalsRowDxfId="804"/>
    <tableColumn id="20" name="19" totalsRowFunction="count" dataDxfId="803" totalsRowDxfId="802"/>
    <tableColumn id="21" name="20" totalsRowFunction="count" dataDxfId="801" totalsRowDxfId="800"/>
    <tableColumn id="22" name="21" totalsRowFunction="count" dataDxfId="799" totalsRowDxfId="798"/>
    <tableColumn id="23" name="22" totalsRowFunction="count" dataDxfId="797" totalsRowDxfId="796"/>
    <tableColumn id="24" name="23" totalsRowFunction="count" dataDxfId="795" totalsRowDxfId="794"/>
    <tableColumn id="25" name="24" totalsRowFunction="count" dataDxfId="793" totalsRowDxfId="792"/>
    <tableColumn id="26" name="25" totalsRowFunction="count" dataDxfId="791" totalsRowDxfId="790"/>
    <tableColumn id="27" name="26" totalsRowFunction="count" dataDxfId="789" totalsRowDxfId="788"/>
    <tableColumn id="28" name="27" totalsRowFunction="count" dataDxfId="787" totalsRowDxfId="786"/>
    <tableColumn id="29" name="28" totalsRowFunction="count" dataDxfId="785" totalsRowDxfId="784"/>
    <tableColumn id="30" name="29" totalsRowFunction="count" dataDxfId="783" totalsRowDxfId="782"/>
    <tableColumn id="31" name="30" totalsRowFunction="count" dataDxfId="781" totalsRowDxfId="780"/>
    <tableColumn id="32" name="31" totalsRowFunction="count" dataDxfId="779" totalsRowDxfId="778"/>
    <tableColumn id="33" name="Total Days" totalsRowFunction="sum" totalsRowDxfId="777">
      <calculatedColumnFormula>COUNTA(tblJanuary[[#This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January Employee Absence Schedule" altTextSummary="Provides a list of names and calendar dates to record employee absences and specific absence type, such as V=Vacation, S=Sick, P=Personal and two placeholders for custom entries."/>
    </ext>
  </extLst>
</table>
</file>

<file path=xl/tables/table10.xml><?xml version="1.0" encoding="utf-8"?>
<table xmlns="http://schemas.openxmlformats.org/spreadsheetml/2006/main" id="11" name="tblOctober" displayName="tblOctober" ref="A4:AG39" totalsRowCount="1">
  <tableColumns count="33">
    <tableColumn id="1" name="Employee Name" totalsRowFunction="custom" dataDxfId="95" totalsRowDxfId="32">
      <totalsRowFormula>MonthName&amp;" Total"</totalsRowFormula>
    </tableColumn>
    <tableColumn id="2" name="1" totalsRowFunction="count" dataDxfId="289" totalsRowDxfId="31"/>
    <tableColumn id="3" name="2" totalsRowFunction="count" dataDxfId="288" totalsRowDxfId="30"/>
    <tableColumn id="4" name="3" totalsRowFunction="count" dataDxfId="287" totalsRowDxfId="29"/>
    <tableColumn id="5" name="4" totalsRowFunction="count" dataDxfId="286" totalsRowDxfId="28"/>
    <tableColumn id="6" name="5" totalsRowFunction="count" dataDxfId="285" totalsRowDxfId="27"/>
    <tableColumn id="7" name="6" totalsRowFunction="count" dataDxfId="284" totalsRowDxfId="26"/>
    <tableColumn id="8" name="7" totalsRowFunction="count" dataDxfId="283" totalsRowDxfId="25"/>
    <tableColumn id="9" name="8" totalsRowFunction="count" dataDxfId="282" totalsRowDxfId="24"/>
    <tableColumn id="10" name="9" totalsRowFunction="count" dataDxfId="281" totalsRowDxfId="23"/>
    <tableColumn id="11" name="10" totalsRowFunction="count" dataDxfId="280" totalsRowDxfId="22"/>
    <tableColumn id="12" name="11" totalsRowFunction="count" dataDxfId="279" totalsRowDxfId="21"/>
    <tableColumn id="13" name="12" totalsRowFunction="count" dataDxfId="278" totalsRowDxfId="20"/>
    <tableColumn id="14" name="13" totalsRowFunction="count" dataDxfId="277" totalsRowDxfId="19"/>
    <tableColumn id="15" name="14" totalsRowFunction="count" dataDxfId="276" totalsRowDxfId="18"/>
    <tableColumn id="16" name="15" totalsRowFunction="count" dataDxfId="275" totalsRowDxfId="17"/>
    <tableColumn id="17" name="16" totalsRowFunction="count" dataDxfId="274" totalsRowDxfId="16"/>
    <tableColumn id="18" name="17" totalsRowFunction="count" dataDxfId="273" totalsRowDxfId="15"/>
    <tableColumn id="19" name="18" totalsRowFunction="count" dataDxfId="272" totalsRowDxfId="14"/>
    <tableColumn id="20" name="19" totalsRowFunction="count" dataDxfId="271" totalsRowDxfId="13"/>
    <tableColumn id="21" name="20" totalsRowFunction="count" dataDxfId="270" totalsRowDxfId="12"/>
    <tableColumn id="22" name="21" totalsRowFunction="count" dataDxfId="269" totalsRowDxfId="11"/>
    <tableColumn id="23" name="22" totalsRowFunction="count" dataDxfId="268" totalsRowDxfId="10"/>
    <tableColumn id="24" name="23" totalsRowFunction="count" dataDxfId="267" totalsRowDxfId="9"/>
    <tableColumn id="25" name="24" totalsRowFunction="count" dataDxfId="266" totalsRowDxfId="8"/>
    <tableColumn id="26" name="25" totalsRowFunction="count" dataDxfId="265" totalsRowDxfId="7"/>
    <tableColumn id="27" name="26" totalsRowFunction="count" dataDxfId="264" totalsRowDxfId="6"/>
    <tableColumn id="28" name="27" totalsRowFunction="count" dataDxfId="263" totalsRowDxfId="5"/>
    <tableColumn id="29" name="28" totalsRowFunction="count" dataDxfId="262" totalsRowDxfId="4"/>
    <tableColumn id="30" name="29" totalsRowFunction="count" dataDxfId="261" totalsRowDxfId="3"/>
    <tableColumn id="31" name="30" dataDxfId="260" totalsRowDxfId="2"/>
    <tableColumn id="32" name="31" dataDxfId="259" totalsRowDxfId="1"/>
    <tableColumn id="33" name="Total Days" totalsRowFunction="sum" totalsRowDxfId="0">
      <calculatedColumnFormula>COUNTA(tblOctober[[#This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October Employee Absence Schedule" altTextSummary="Provides a list of names and calendar dates to record employee absences and specific absence type, such as V=Vacation, S=Sick, P=Personal and two placeholders for custom entries."/>
    </ext>
  </extLst>
</table>
</file>

<file path=xl/tables/table11.xml><?xml version="1.0" encoding="utf-8"?>
<table xmlns="http://schemas.openxmlformats.org/spreadsheetml/2006/main" id="10" name="tblNovember" displayName="tblNovember" ref="A4:AG31" totalsRowCount="1">
  <tableColumns count="33">
    <tableColumn id="1" name="Employee Name" totalsRowFunction="custom" dataDxfId="258" totalsRowDxfId="257">
      <totalsRowFormula>MonthName&amp;" Total"</totalsRowFormula>
    </tableColumn>
    <tableColumn id="2" name="1" totalsRowFunction="count" dataDxfId="256" totalsRowDxfId="255"/>
    <tableColumn id="3" name="2" totalsRowFunction="count" dataDxfId="254" totalsRowDxfId="253"/>
    <tableColumn id="4" name="3" totalsRowFunction="count" dataDxfId="252" totalsRowDxfId="251"/>
    <tableColumn id="5" name="4" totalsRowFunction="count" dataDxfId="250" totalsRowDxfId="249"/>
    <tableColumn id="6" name="5" totalsRowFunction="count" dataDxfId="248" totalsRowDxfId="247"/>
    <tableColumn id="7" name="6" totalsRowFunction="count" dataDxfId="246" totalsRowDxfId="245"/>
    <tableColumn id="8" name="7" totalsRowFunction="count" dataDxfId="244" totalsRowDxfId="243"/>
    <tableColumn id="9" name="8" totalsRowFunction="count" dataDxfId="242" totalsRowDxfId="241"/>
    <tableColumn id="10" name="9" totalsRowFunction="count" dataDxfId="240" totalsRowDxfId="239"/>
    <tableColumn id="11" name="10" totalsRowFunction="count" dataDxfId="238" totalsRowDxfId="237"/>
    <tableColumn id="12" name="11" totalsRowFunction="count" dataDxfId="236" totalsRowDxfId="235"/>
    <tableColumn id="13" name="12" totalsRowFunction="count" dataDxfId="234" totalsRowDxfId="233"/>
    <tableColumn id="14" name="13" totalsRowFunction="count" dataDxfId="232" totalsRowDxfId="231"/>
    <tableColumn id="15" name="14" totalsRowFunction="count" dataDxfId="230" totalsRowDxfId="229"/>
    <tableColumn id="16" name="15" totalsRowFunction="count" dataDxfId="228" totalsRowDxfId="227"/>
    <tableColumn id="17" name="16" totalsRowFunction="count" dataDxfId="226" totalsRowDxfId="225"/>
    <tableColumn id="18" name="17" totalsRowFunction="count" dataDxfId="224" totalsRowDxfId="223"/>
    <tableColumn id="19" name="18" totalsRowFunction="count" dataDxfId="222" totalsRowDxfId="221"/>
    <tableColumn id="20" name="19" totalsRowFunction="count" dataDxfId="220" totalsRowDxfId="219"/>
    <tableColumn id="21" name="20" totalsRowFunction="count" dataDxfId="218" totalsRowDxfId="217"/>
    <tableColumn id="22" name="21" totalsRowFunction="count" dataDxfId="216" totalsRowDxfId="215"/>
    <tableColumn id="23" name="22" totalsRowFunction="count" dataDxfId="214" totalsRowDxfId="213"/>
    <tableColumn id="24" name="23" totalsRowFunction="count" dataDxfId="212" totalsRowDxfId="211"/>
    <tableColumn id="25" name="24" totalsRowFunction="count" dataDxfId="210" totalsRowDxfId="209"/>
    <tableColumn id="26" name="25" totalsRowFunction="count" dataDxfId="208" totalsRowDxfId="207"/>
    <tableColumn id="27" name="26" totalsRowFunction="count" dataDxfId="206" totalsRowDxfId="205"/>
    <tableColumn id="28" name="27" totalsRowFunction="count" dataDxfId="204" totalsRowDxfId="203"/>
    <tableColumn id="29" name="28" totalsRowFunction="count" dataDxfId="202" totalsRowDxfId="201"/>
    <tableColumn id="30" name="29" totalsRowFunction="count" dataDxfId="200" totalsRowDxfId="199"/>
    <tableColumn id="31" name="30" dataDxfId="198" totalsRowDxfId="197"/>
    <tableColumn id="32" name=" " dataDxfId="196" totalsRowDxfId="195"/>
    <tableColumn id="33" name="Total Days" totalsRowFunction="sum" totalsRowDxfId="194">
      <calculatedColumnFormula>COUNTA(tblNovember[[#This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November Employee Absence Schedule" altTextSummary="Provides a list of names and calendar dates to record employee absences and specific absence type, such as V=Vacation, S=Sick, P=Personal and two placeholders for custom entries."/>
    </ext>
  </extLst>
</table>
</file>

<file path=xl/tables/table12.xml><?xml version="1.0" encoding="utf-8"?>
<table xmlns="http://schemas.openxmlformats.org/spreadsheetml/2006/main" id="12" name="tblDecember" displayName="tblDecember" ref="A4:AG31" totalsRowCount="1">
  <tableColumns count="33">
    <tableColumn id="1" name="Employee Name" totalsRowFunction="custom" dataDxfId="193" totalsRowDxfId="192">
      <totalsRowFormula>MonthName&amp;" Total"</totalsRowFormula>
    </tableColumn>
    <tableColumn id="2" name="1" totalsRowFunction="count" dataDxfId="191" totalsRowDxfId="190"/>
    <tableColumn id="3" name="2" totalsRowFunction="count" dataDxfId="189" totalsRowDxfId="188"/>
    <tableColumn id="4" name="3" totalsRowFunction="count" dataDxfId="187" totalsRowDxfId="186"/>
    <tableColumn id="5" name="4" totalsRowFunction="count" dataDxfId="185" totalsRowDxfId="184"/>
    <tableColumn id="6" name="5" totalsRowFunction="count" dataDxfId="183" totalsRowDxfId="182"/>
    <tableColumn id="7" name="6" totalsRowFunction="count" dataDxfId="181" totalsRowDxfId="180"/>
    <tableColumn id="8" name="7" totalsRowFunction="count" dataDxfId="179" totalsRowDxfId="178"/>
    <tableColumn id="9" name="8" totalsRowFunction="count" dataDxfId="177" totalsRowDxfId="176"/>
    <tableColumn id="10" name="9" totalsRowFunction="count" dataDxfId="175" totalsRowDxfId="174"/>
    <tableColumn id="11" name="10" totalsRowFunction="count" dataDxfId="173" totalsRowDxfId="172"/>
    <tableColumn id="12" name="11" totalsRowFunction="count" dataDxfId="171" totalsRowDxfId="170"/>
    <tableColumn id="13" name="12" totalsRowFunction="count" dataDxfId="169" totalsRowDxfId="168"/>
    <tableColumn id="14" name="13" totalsRowFunction="count" dataDxfId="167" totalsRowDxfId="166"/>
    <tableColumn id="15" name="14" totalsRowFunction="count" dataDxfId="165" totalsRowDxfId="164"/>
    <tableColumn id="16" name="15" totalsRowFunction="count" dataDxfId="163" totalsRowDxfId="162"/>
    <tableColumn id="17" name="16" totalsRowFunction="count" dataDxfId="161" totalsRowDxfId="160"/>
    <tableColumn id="18" name="17" totalsRowFunction="count" dataDxfId="159" totalsRowDxfId="158"/>
    <tableColumn id="19" name="18" totalsRowFunction="count" dataDxfId="157" totalsRowDxfId="156"/>
    <tableColumn id="20" name="19" totalsRowFunction="count" dataDxfId="155" totalsRowDxfId="154"/>
    <tableColumn id="21" name="20" totalsRowFunction="count" dataDxfId="153" totalsRowDxfId="152"/>
    <tableColumn id="22" name="21" totalsRowFunction="count" dataDxfId="151" totalsRowDxfId="150"/>
    <tableColumn id="23" name="22" totalsRowFunction="count" dataDxfId="149" totalsRowDxfId="148"/>
    <tableColumn id="24" name="23" totalsRowFunction="count" dataDxfId="147" totalsRowDxfId="146"/>
    <tableColumn id="25" name="24" totalsRowFunction="count" dataDxfId="145" totalsRowDxfId="144"/>
    <tableColumn id="26" name="25" totalsRowFunction="count" dataDxfId="143" totalsRowDxfId="142"/>
    <tableColumn id="27" name="26" totalsRowFunction="count" dataDxfId="141" totalsRowDxfId="140"/>
    <tableColumn id="28" name="27" totalsRowFunction="count" dataDxfId="139" totalsRowDxfId="138"/>
    <tableColumn id="29" name="28" totalsRowFunction="count" dataDxfId="137" totalsRowDxfId="136"/>
    <tableColumn id="30" name="29" totalsRowFunction="count" dataDxfId="135" totalsRowDxfId="134"/>
    <tableColumn id="31" name="30" dataDxfId="133" totalsRowDxfId="132"/>
    <tableColumn id="32" name="31" dataDxfId="131" totalsRowDxfId="130"/>
    <tableColumn id="33" name="Total Days" totalsRowFunction="sum" totalsRowDxfId="129">
      <calculatedColumnFormula>COUNTA(tblDecember[[#This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December Employee Absence Schedule" altTextSummary="Provides a list of names and calendar dates to record employee absences and specific absence type, such as V=Vacation, S=Sick, P=Personal and two placeholders for custom entries."/>
    </ext>
  </extLst>
</table>
</file>

<file path=xl/tables/table2.xml><?xml version="1.0" encoding="utf-8"?>
<table xmlns="http://schemas.openxmlformats.org/spreadsheetml/2006/main" id="2" name="tblFebruary" displayName="tblFebruary" ref="A4:AG31" totalsRowCount="1">
  <tableColumns count="33">
    <tableColumn id="1" name="Employee Name" totalsRowFunction="custom" dataDxfId="776" totalsRowDxfId="775">
      <totalsRowFormula>MonthName&amp;" Total"</totalsRowFormula>
    </tableColumn>
    <tableColumn id="2" name="1" totalsRowFunction="count" dataDxfId="774" totalsRowDxfId="773"/>
    <tableColumn id="3" name="2" totalsRowFunction="count" dataDxfId="772" totalsRowDxfId="771"/>
    <tableColumn id="4" name="3" totalsRowFunction="count" dataDxfId="770" totalsRowDxfId="769"/>
    <tableColumn id="5" name="4" totalsRowFunction="count" dataDxfId="768" totalsRowDxfId="767"/>
    <tableColumn id="6" name="5" totalsRowFunction="count" dataDxfId="766" totalsRowDxfId="765"/>
    <tableColumn id="7" name="6" totalsRowFunction="count" dataDxfId="764" totalsRowDxfId="763"/>
    <tableColumn id="8" name="7" totalsRowFunction="count" dataDxfId="762" totalsRowDxfId="761"/>
    <tableColumn id="9" name="8" totalsRowFunction="count" dataDxfId="760" totalsRowDxfId="759"/>
    <tableColumn id="10" name="9" totalsRowFunction="count" dataDxfId="758" totalsRowDxfId="757"/>
    <tableColumn id="11" name="10" totalsRowFunction="count" dataDxfId="756" totalsRowDxfId="755"/>
    <tableColumn id="12" name="11" totalsRowFunction="count" dataDxfId="754" totalsRowDxfId="753"/>
    <tableColumn id="13" name="12" totalsRowFunction="count" dataDxfId="752" totalsRowDxfId="751"/>
    <tableColumn id="14" name="13" totalsRowFunction="count" dataDxfId="750" totalsRowDxfId="749"/>
    <tableColumn id="15" name="14" totalsRowFunction="count" dataDxfId="748" totalsRowDxfId="747"/>
    <tableColumn id="16" name="15" totalsRowFunction="count" dataDxfId="746" totalsRowDxfId="745"/>
    <tableColumn id="17" name="16" totalsRowFunction="count" dataDxfId="744" totalsRowDxfId="743"/>
    <tableColumn id="18" name="17" totalsRowFunction="count" dataDxfId="742" totalsRowDxfId="741"/>
    <tableColumn id="19" name="18" totalsRowFunction="count" dataDxfId="740" totalsRowDxfId="739"/>
    <tableColumn id="20" name="19" totalsRowFunction="count" dataDxfId="738" totalsRowDxfId="737"/>
    <tableColumn id="21" name="20" totalsRowFunction="count" dataDxfId="736" totalsRowDxfId="735"/>
    <tableColumn id="22" name="21" totalsRowFunction="count" dataDxfId="734" totalsRowDxfId="733"/>
    <tableColumn id="23" name="22" totalsRowFunction="count" dataDxfId="732" totalsRowDxfId="731"/>
    <tableColumn id="24" name="23" totalsRowFunction="count" dataDxfId="730" totalsRowDxfId="729"/>
    <tableColumn id="25" name="24" totalsRowFunction="count" dataDxfId="728" totalsRowDxfId="727"/>
    <tableColumn id="26" name="25" totalsRowFunction="count" dataDxfId="726" totalsRowDxfId="725"/>
    <tableColumn id="27" name="26" totalsRowFunction="count" dataDxfId="724" totalsRowDxfId="723"/>
    <tableColumn id="28" name="27" totalsRowFunction="count" dataDxfId="722" totalsRowDxfId="721"/>
    <tableColumn id="29" name="28" totalsRowFunction="count" dataDxfId="720" totalsRowDxfId="719"/>
    <tableColumn id="30" name="29" totalsRowFunction="count" dataDxfId="718" totalsRowDxfId="717"/>
    <tableColumn id="31" name=" " dataDxfId="716" totalsRowDxfId="715"/>
    <tableColumn id="32" name="  " dataDxfId="714" totalsRowDxfId="713"/>
    <tableColumn id="33" name="Total Days" totalsRowFunction="sum" totalsRowDxfId="712">
      <calculatedColumnFormula>COUNTA(tblFebruary[[#This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February Employee Absence Schedule" altTextSummary="Provides a list of names and calendar dates to record employee absences and specific absence type, such as V=Vacation, S=Sick, P=Personal and two placeholders for custom entries."/>
    </ext>
  </extLst>
</table>
</file>

<file path=xl/tables/table3.xml><?xml version="1.0" encoding="utf-8"?>
<table xmlns="http://schemas.openxmlformats.org/spreadsheetml/2006/main" id="1" name="tblMarch" displayName="tblMarch" ref="A4:AG31" totalsRowCount="1">
  <tableColumns count="33">
    <tableColumn id="1" name="Employee Name" totalsRowFunction="custom" dataDxfId="711" totalsRowDxfId="710">
      <totalsRowFormula>MonthName&amp;" Total"</totalsRowFormula>
    </tableColumn>
    <tableColumn id="2" name="1" totalsRowFunction="count" dataDxfId="709" totalsRowDxfId="708"/>
    <tableColumn id="3" name="2" totalsRowFunction="count" dataDxfId="707" totalsRowDxfId="706"/>
    <tableColumn id="4" name="3" totalsRowFunction="count" dataDxfId="705" totalsRowDxfId="704"/>
    <tableColumn id="5" name="4" totalsRowFunction="count" dataDxfId="703" totalsRowDxfId="702"/>
    <tableColumn id="6" name="5" totalsRowFunction="count" dataDxfId="701" totalsRowDxfId="700"/>
    <tableColumn id="7" name="6" totalsRowFunction="count" dataDxfId="699" totalsRowDxfId="698"/>
    <tableColumn id="8" name="7" totalsRowFunction="count" dataDxfId="697" totalsRowDxfId="696"/>
    <tableColumn id="9" name="8" totalsRowFunction="count" dataDxfId="695" totalsRowDxfId="694"/>
    <tableColumn id="10" name="9" totalsRowFunction="count" dataDxfId="693" totalsRowDxfId="692"/>
    <tableColumn id="11" name="10" totalsRowFunction="count" dataDxfId="691" totalsRowDxfId="690"/>
    <tableColumn id="12" name="11" totalsRowFunction="count" dataDxfId="689" totalsRowDxfId="688"/>
    <tableColumn id="13" name="12" totalsRowFunction="count" dataDxfId="687" totalsRowDxfId="686"/>
    <tableColumn id="14" name="13" totalsRowFunction="count" dataDxfId="685" totalsRowDxfId="684"/>
    <tableColumn id="15" name="14" totalsRowFunction="count" dataDxfId="683" totalsRowDxfId="682"/>
    <tableColumn id="16" name="15" totalsRowFunction="count" dataDxfId="681" totalsRowDxfId="680"/>
    <tableColumn id="17" name="16" totalsRowFunction="count" dataDxfId="679" totalsRowDxfId="678"/>
    <tableColumn id="18" name="17" totalsRowFunction="count" dataDxfId="677" totalsRowDxfId="676"/>
    <tableColumn id="19" name="18" totalsRowFunction="count" dataDxfId="675" totalsRowDxfId="674"/>
    <tableColumn id="20" name="19" totalsRowFunction="count" dataDxfId="673" totalsRowDxfId="672"/>
    <tableColumn id="21" name="20" totalsRowFunction="count" dataDxfId="671" totalsRowDxfId="670"/>
    <tableColumn id="22" name="21" totalsRowFunction="count" dataDxfId="669" totalsRowDxfId="668"/>
    <tableColumn id="23" name="22" totalsRowFunction="count" dataDxfId="667" totalsRowDxfId="666"/>
    <tableColumn id="24" name="23" totalsRowFunction="count" dataDxfId="665" totalsRowDxfId="664"/>
    <tableColumn id="25" name="24" totalsRowFunction="count" dataDxfId="663" totalsRowDxfId="662"/>
    <tableColumn id="26" name="25" totalsRowFunction="count" dataDxfId="661" totalsRowDxfId="660"/>
    <tableColumn id="27" name="26" totalsRowFunction="count" dataDxfId="659" totalsRowDxfId="658"/>
    <tableColumn id="28" name="27" totalsRowFunction="count" dataDxfId="657" totalsRowDxfId="656"/>
    <tableColumn id="29" name="28" totalsRowFunction="count" dataDxfId="655" totalsRowDxfId="654"/>
    <tableColumn id="30" name="29" totalsRowFunction="count" dataDxfId="653" totalsRowDxfId="652"/>
    <tableColumn id="31" name="30" dataDxfId="651" totalsRowDxfId="650"/>
    <tableColumn id="32" name="31" dataDxfId="649" totalsRowDxfId="648"/>
    <tableColumn id="33" name="Total Days" totalsRowFunction="sum" totalsRowDxfId="647">
      <calculatedColumnFormula>COUNTA(tblMarch[[#This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March Employee Absence Schedule" altTextSummary="Provides a list of names and calendar dates to record employee absences and specific absence type, such as V=Vacation, S=Sick, P=Personal and two placeholders for custom entries."/>
    </ext>
  </extLst>
</table>
</file>

<file path=xl/tables/table4.xml><?xml version="1.0" encoding="utf-8"?>
<table xmlns="http://schemas.openxmlformats.org/spreadsheetml/2006/main" id="4" name="tblApril" displayName="tblApril" ref="A4:AG34" totalsRowCount="1">
  <tableColumns count="33">
    <tableColumn id="1" name="Employee Name" totalsRowFunction="custom" dataDxfId="646" totalsRowDxfId="645">
      <totalsRowFormula>MonthName&amp;" Total"</totalsRowFormula>
    </tableColumn>
    <tableColumn id="2" name="1" totalsRowFunction="count" dataDxfId="644" totalsRowDxfId="643"/>
    <tableColumn id="3" name="2" totalsRowFunction="count" dataDxfId="642" totalsRowDxfId="641"/>
    <tableColumn id="4" name="3" totalsRowFunction="count" dataDxfId="640" totalsRowDxfId="639"/>
    <tableColumn id="5" name="4" totalsRowFunction="count" dataDxfId="638" totalsRowDxfId="637"/>
    <tableColumn id="6" name="5" totalsRowFunction="count" dataDxfId="636" totalsRowDxfId="635"/>
    <tableColumn id="7" name="6" totalsRowFunction="count" dataDxfId="634" totalsRowDxfId="633"/>
    <tableColumn id="8" name="7" totalsRowFunction="count" dataDxfId="632" totalsRowDxfId="631"/>
    <tableColumn id="9" name="8" totalsRowFunction="count" dataDxfId="630" totalsRowDxfId="629"/>
    <tableColumn id="10" name="9" totalsRowFunction="count" dataDxfId="628" totalsRowDxfId="627"/>
    <tableColumn id="11" name="10" totalsRowFunction="count" dataDxfId="626" totalsRowDxfId="625"/>
    <tableColumn id="12" name="11" totalsRowFunction="count" dataDxfId="624" totalsRowDxfId="623"/>
    <tableColumn id="13" name="12" totalsRowFunction="count" dataDxfId="622" totalsRowDxfId="621"/>
    <tableColumn id="14" name="13" totalsRowFunction="count" dataDxfId="620" totalsRowDxfId="619"/>
    <tableColumn id="15" name="14" totalsRowFunction="count" dataDxfId="618" totalsRowDxfId="617"/>
    <tableColumn id="16" name="15" totalsRowFunction="count" dataDxfId="616" totalsRowDxfId="615"/>
    <tableColumn id="17" name="16" totalsRowFunction="count" dataDxfId="614" totalsRowDxfId="613"/>
    <tableColumn id="18" name="17" totalsRowFunction="count" dataDxfId="612" totalsRowDxfId="611"/>
    <tableColumn id="19" name="18" totalsRowFunction="count" dataDxfId="610" totalsRowDxfId="609"/>
    <tableColumn id="20" name="19" totalsRowFunction="count" dataDxfId="608" totalsRowDxfId="607"/>
    <tableColumn id="21" name="20" totalsRowFunction="count" dataDxfId="606" totalsRowDxfId="605"/>
    <tableColumn id="22" name="21" totalsRowFunction="count" dataDxfId="604" totalsRowDxfId="603"/>
    <tableColumn id="23" name="22" totalsRowFunction="count" dataDxfId="602" totalsRowDxfId="601"/>
    <tableColumn id="24" name="23" totalsRowFunction="count" dataDxfId="600" totalsRowDxfId="599"/>
    <tableColumn id="25" name="24" totalsRowFunction="count" dataDxfId="598" totalsRowDxfId="597"/>
    <tableColumn id="26" name="25" totalsRowFunction="count" dataDxfId="596" totalsRowDxfId="595"/>
    <tableColumn id="27" name="26" totalsRowFunction="count" dataDxfId="594" totalsRowDxfId="593"/>
    <tableColumn id="28" name="27" totalsRowFunction="count" dataDxfId="592" totalsRowDxfId="591"/>
    <tableColumn id="29" name="28" totalsRowFunction="count" dataDxfId="590" totalsRowDxfId="589"/>
    <tableColumn id="30" name="29" totalsRowFunction="count" dataDxfId="588" totalsRowDxfId="587"/>
    <tableColumn id="31" name="30" dataDxfId="586" totalsRowDxfId="585"/>
    <tableColumn id="32" name=" " dataDxfId="584" totalsRowDxfId="583"/>
    <tableColumn id="33" name="Total Days" totalsRowFunction="sum" totalsRowDxfId="582">
      <calculatedColumnFormula>COUNTA(tblApril[[#This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April Employee Absence Schedule" altTextSummary="Provides a list of names and calendar dates to record employee absences and specific absence type, such as V=Vacation, S=Sick, P=Personal and two placeholders for custom entries."/>
    </ext>
  </extLst>
</table>
</file>

<file path=xl/tables/table5.xml><?xml version="1.0" encoding="utf-8"?>
<table xmlns="http://schemas.openxmlformats.org/spreadsheetml/2006/main" id="5" name="tblMay" displayName="tblMay" ref="A4:AG33" totalsRowCount="1">
  <tableColumns count="33">
    <tableColumn id="1" name="Employee Name" totalsRowFunction="custom" dataDxfId="581" totalsRowDxfId="580">
      <totalsRowFormula>MonthName&amp;" Total"</totalsRowFormula>
    </tableColumn>
    <tableColumn id="2" name="1" totalsRowFunction="count" dataDxfId="579" totalsRowDxfId="578"/>
    <tableColumn id="3" name="2" totalsRowFunction="count" dataDxfId="577" totalsRowDxfId="576"/>
    <tableColumn id="4" name="3" totalsRowFunction="count" dataDxfId="575" totalsRowDxfId="574"/>
    <tableColumn id="5" name="4" totalsRowFunction="count" dataDxfId="573" totalsRowDxfId="572"/>
    <tableColumn id="6" name="5" totalsRowFunction="count" dataDxfId="571" totalsRowDxfId="570"/>
    <tableColumn id="7" name="6" totalsRowFunction="count" dataDxfId="569" totalsRowDxfId="568"/>
    <tableColumn id="8" name="7" totalsRowFunction="count" dataDxfId="567" totalsRowDxfId="566"/>
    <tableColumn id="9" name="8" totalsRowFunction="count" dataDxfId="565" totalsRowDxfId="564"/>
    <tableColumn id="10" name="9" totalsRowFunction="count" dataDxfId="563" totalsRowDxfId="562"/>
    <tableColumn id="11" name="10" totalsRowFunction="count" dataDxfId="561" totalsRowDxfId="560"/>
    <tableColumn id="12" name="11" totalsRowFunction="count" dataDxfId="559" totalsRowDxfId="558"/>
    <tableColumn id="13" name="12" totalsRowFunction="count" dataDxfId="557" totalsRowDxfId="556"/>
    <tableColumn id="14" name="13" totalsRowFunction="count" dataDxfId="555" totalsRowDxfId="554"/>
    <tableColumn id="15" name="14" totalsRowFunction="count" dataDxfId="553" totalsRowDxfId="552"/>
    <tableColumn id="16" name="15" totalsRowFunction="count" dataDxfId="551" totalsRowDxfId="550"/>
    <tableColumn id="17" name="16" totalsRowFunction="count" dataDxfId="549" totalsRowDxfId="548"/>
    <tableColumn id="18" name="17" totalsRowFunction="count" dataDxfId="547" totalsRowDxfId="546"/>
    <tableColumn id="19" name="18" totalsRowFunction="count" dataDxfId="545" totalsRowDxfId="544"/>
    <tableColumn id="20" name="19" totalsRowFunction="count" dataDxfId="543" totalsRowDxfId="542"/>
    <tableColumn id="21" name="20" totalsRowFunction="count" dataDxfId="541" totalsRowDxfId="540"/>
    <tableColumn id="22" name="21" totalsRowFunction="count" dataDxfId="539" totalsRowDxfId="538"/>
    <tableColumn id="23" name="22" totalsRowFunction="count" dataDxfId="537" totalsRowDxfId="536"/>
    <tableColumn id="24" name="23" totalsRowFunction="count" dataDxfId="535" totalsRowDxfId="534"/>
    <tableColumn id="25" name="24" totalsRowFunction="count" dataDxfId="533" totalsRowDxfId="532"/>
    <tableColumn id="26" name="25" totalsRowFunction="count" dataDxfId="531" totalsRowDxfId="530"/>
    <tableColumn id="27" name="26" totalsRowFunction="count" dataDxfId="529" totalsRowDxfId="528"/>
    <tableColumn id="28" name="27" totalsRowFunction="count" dataDxfId="527" totalsRowDxfId="526"/>
    <tableColumn id="29" name="28" totalsRowFunction="count" dataDxfId="525" totalsRowDxfId="524"/>
    <tableColumn id="30" name="29" totalsRowFunction="count" dataDxfId="523" totalsRowDxfId="522"/>
    <tableColumn id="31" name="30" dataDxfId="521" totalsRowDxfId="520"/>
    <tableColumn id="32" name="31" dataDxfId="519" totalsRowDxfId="518"/>
    <tableColumn id="33" name="Total Days" totalsRowFunction="sum" totalsRowDxfId="517">
      <calculatedColumnFormula>COUNTA(tblMay[[#This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May Employee Absence Schedule" altTextSummary="Provides a list of names and calendar dates to record employee absences and specific absence type, such as V=Vacation, S=Sick, P=Personal and two placeholders for custom entries."/>
    </ext>
  </extLst>
</table>
</file>

<file path=xl/tables/table6.xml><?xml version="1.0" encoding="utf-8"?>
<table xmlns="http://schemas.openxmlformats.org/spreadsheetml/2006/main" id="6" name="tblJune" displayName="tblJune" ref="A4:AG34" totalsRowCount="1">
  <tableColumns count="33">
    <tableColumn id="1" name="Employee Name" totalsRowFunction="custom" dataDxfId="516" totalsRowDxfId="515">
      <totalsRowFormula>MonthName&amp;" Total"</totalsRowFormula>
    </tableColumn>
    <tableColumn id="2" name="1" totalsRowFunction="count" dataDxfId="514" totalsRowDxfId="513"/>
    <tableColumn id="3" name="2" totalsRowFunction="count" dataDxfId="512" totalsRowDxfId="511"/>
    <tableColumn id="4" name="3" totalsRowFunction="count" dataDxfId="510" totalsRowDxfId="509"/>
    <tableColumn id="5" name="4" totalsRowFunction="count" dataDxfId="508" totalsRowDxfId="507"/>
    <tableColumn id="6" name="5" totalsRowFunction="count" dataDxfId="506" totalsRowDxfId="505"/>
    <tableColumn id="7" name="6" totalsRowFunction="count" dataDxfId="504" totalsRowDxfId="503"/>
    <tableColumn id="8" name="7" totalsRowFunction="count" dataDxfId="502" totalsRowDxfId="501"/>
    <tableColumn id="9" name="8" totalsRowFunction="count" dataDxfId="500" totalsRowDxfId="499"/>
    <tableColumn id="10" name="9" totalsRowFunction="count" dataDxfId="498" totalsRowDxfId="497"/>
    <tableColumn id="11" name="10" totalsRowFunction="count" dataDxfId="496" totalsRowDxfId="495"/>
    <tableColumn id="12" name="11" totalsRowFunction="count" dataDxfId="494" totalsRowDxfId="493"/>
    <tableColumn id="13" name="12" totalsRowFunction="count" dataDxfId="492" totalsRowDxfId="491"/>
    <tableColumn id="14" name="13" totalsRowFunction="count" dataDxfId="490" totalsRowDxfId="489"/>
    <tableColumn id="15" name="14" totalsRowFunction="count" dataDxfId="488" totalsRowDxfId="487"/>
    <tableColumn id="16" name="15" totalsRowFunction="count" dataDxfId="486" totalsRowDxfId="485"/>
    <tableColumn id="17" name="16" totalsRowFunction="count" dataDxfId="484" totalsRowDxfId="483"/>
    <tableColumn id="18" name="17" totalsRowFunction="count" dataDxfId="482" totalsRowDxfId="481"/>
    <tableColumn id="19" name="18" totalsRowFunction="count" dataDxfId="480" totalsRowDxfId="479"/>
    <tableColumn id="20" name="19" totalsRowFunction="count" dataDxfId="478" totalsRowDxfId="477"/>
    <tableColumn id="21" name="20" totalsRowFunction="count" dataDxfId="476" totalsRowDxfId="475"/>
    <tableColumn id="22" name="21" totalsRowFunction="count" dataDxfId="474" totalsRowDxfId="473"/>
    <tableColumn id="23" name="22" totalsRowFunction="count" dataDxfId="472" totalsRowDxfId="471"/>
    <tableColumn id="24" name="23" totalsRowFunction="count" dataDxfId="470" totalsRowDxfId="469"/>
    <tableColumn id="25" name="24" totalsRowFunction="count" dataDxfId="468" totalsRowDxfId="467"/>
    <tableColumn id="26" name="25" totalsRowFunction="count" dataDxfId="466" totalsRowDxfId="465"/>
    <tableColumn id="27" name="26" totalsRowFunction="count" dataDxfId="464" totalsRowDxfId="463"/>
    <tableColumn id="28" name="27" totalsRowFunction="count" dataDxfId="462" totalsRowDxfId="461"/>
    <tableColumn id="29" name="28" totalsRowFunction="count" dataDxfId="460" totalsRowDxfId="459"/>
    <tableColumn id="30" name="29" totalsRowFunction="count" dataDxfId="458" totalsRowDxfId="457"/>
    <tableColumn id="31" name="30" dataDxfId="456" totalsRowDxfId="455"/>
    <tableColumn id="32" name=" " dataDxfId="454" totalsRowDxfId="453"/>
    <tableColumn id="33" name="Total Days" totalsRowFunction="sum" totalsRowDxfId="452">
      <calculatedColumnFormula>COUNTA(tblJune[[#This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June Employee Absence Schedule" altTextSummary="Provides a list of names and calendar dates to record employee absences and specific absence type, such as V=Vacation, S=Sick, P=Personal and two placeholders for custom entries."/>
    </ext>
  </extLst>
</table>
</file>

<file path=xl/tables/table7.xml><?xml version="1.0" encoding="utf-8"?>
<table xmlns="http://schemas.openxmlformats.org/spreadsheetml/2006/main" id="7" name="tblJuly" displayName="tblJuly" ref="A4:AG37" totalsRowCount="1">
  <tableColumns count="33">
    <tableColumn id="1" name="Employee Name" totalsRowFunction="custom" dataDxfId="451" totalsRowDxfId="450">
      <totalsRowFormula>MonthName&amp;" Total"</totalsRowFormula>
    </tableColumn>
    <tableColumn id="2" name="1" totalsRowFunction="count" dataDxfId="449" totalsRowDxfId="448"/>
    <tableColumn id="3" name="2" totalsRowFunction="count" dataDxfId="447" totalsRowDxfId="446"/>
    <tableColumn id="4" name="3" totalsRowFunction="count" dataDxfId="445" totalsRowDxfId="444"/>
    <tableColumn id="5" name="4" totalsRowFunction="count" dataDxfId="443" totalsRowDxfId="442"/>
    <tableColumn id="6" name="5" totalsRowFunction="count" dataDxfId="441" totalsRowDxfId="440"/>
    <tableColumn id="7" name="6" totalsRowFunction="count" dataDxfId="439" totalsRowDxfId="438"/>
    <tableColumn id="8" name="7" totalsRowFunction="count" dataDxfId="437" totalsRowDxfId="436"/>
    <tableColumn id="9" name="8" totalsRowFunction="count" dataDxfId="435" totalsRowDxfId="434"/>
    <tableColumn id="10" name="9" totalsRowFunction="count" dataDxfId="433" totalsRowDxfId="432"/>
    <tableColumn id="11" name="10" totalsRowFunction="count" dataDxfId="431" totalsRowDxfId="430"/>
    <tableColumn id="12" name="11" totalsRowFunction="count" dataDxfId="429" totalsRowDxfId="428"/>
    <tableColumn id="13" name="12" totalsRowFunction="count" dataDxfId="427" totalsRowDxfId="426"/>
    <tableColumn id="14" name="13" totalsRowFunction="count" dataDxfId="425" totalsRowDxfId="424"/>
    <tableColumn id="15" name="14" totalsRowFunction="count" dataDxfId="423" totalsRowDxfId="422"/>
    <tableColumn id="16" name="15" totalsRowFunction="count" dataDxfId="421" totalsRowDxfId="420"/>
    <tableColumn id="17" name="16" totalsRowFunction="count" dataDxfId="419" totalsRowDxfId="418"/>
    <tableColumn id="18" name="17" totalsRowFunction="count" dataDxfId="417" totalsRowDxfId="416"/>
    <tableColumn id="19" name="18" totalsRowFunction="count" dataDxfId="415" totalsRowDxfId="414"/>
    <tableColumn id="20" name="19" totalsRowFunction="count" dataDxfId="413" totalsRowDxfId="412"/>
    <tableColumn id="21" name="20" totalsRowFunction="count" dataDxfId="411" totalsRowDxfId="410"/>
    <tableColumn id="22" name="21" totalsRowFunction="count" dataDxfId="409" totalsRowDxfId="408"/>
    <tableColumn id="23" name="22" totalsRowFunction="count" dataDxfId="407" totalsRowDxfId="406"/>
    <tableColumn id="24" name="23" totalsRowFunction="count" dataDxfId="405" totalsRowDxfId="404"/>
    <tableColumn id="25" name="24" totalsRowFunction="count" dataDxfId="403" totalsRowDxfId="402"/>
    <tableColumn id="26" name="25" totalsRowFunction="count" dataDxfId="401" totalsRowDxfId="400"/>
    <tableColumn id="27" name="26" totalsRowFunction="count" dataDxfId="399" totalsRowDxfId="398"/>
    <tableColumn id="28" name="27" totalsRowFunction="count" dataDxfId="397" totalsRowDxfId="396"/>
    <tableColumn id="29" name="28" totalsRowFunction="count" dataDxfId="395" totalsRowDxfId="394"/>
    <tableColumn id="30" name="29" totalsRowFunction="count" dataDxfId="393" totalsRowDxfId="392"/>
    <tableColumn id="31" name="30" dataDxfId="391" totalsRowDxfId="390"/>
    <tableColumn id="32" name="31" dataDxfId="389" totalsRowDxfId="388"/>
    <tableColumn id="33" name="Total Days" totalsRowFunction="sum" totalsRowDxfId="387">
      <calculatedColumnFormula>COUNTA(tblJuly[[#This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July Employee Absence Schedule" altTextSummary="Provides a list of names and calendar dates to record employee absences and specific absence type, such as V=Vacation, S=Sick, P=Personal and two placeholders for custom entries."/>
    </ext>
  </extLst>
</table>
</file>

<file path=xl/tables/table8.xml><?xml version="1.0" encoding="utf-8"?>
<table xmlns="http://schemas.openxmlformats.org/spreadsheetml/2006/main" id="8" name="tblAugust" displayName="tblAugust" ref="A4:AG35" totalsRowCount="1">
  <tableColumns count="33">
    <tableColumn id="1" name="Employee Name" totalsRowFunction="custom" dataDxfId="386" totalsRowDxfId="385">
      <totalsRowFormula>MonthName&amp;" Total"</totalsRowFormula>
    </tableColumn>
    <tableColumn id="2" name="1" totalsRowFunction="count" dataDxfId="384" totalsRowDxfId="383"/>
    <tableColumn id="3" name="2" totalsRowFunction="count" dataDxfId="382" totalsRowDxfId="381"/>
    <tableColumn id="4" name="3" totalsRowFunction="count" dataDxfId="380" totalsRowDxfId="379"/>
    <tableColumn id="5" name="4" totalsRowFunction="count" dataDxfId="378" totalsRowDxfId="377"/>
    <tableColumn id="6" name="5" totalsRowFunction="count" dataDxfId="376" totalsRowDxfId="375"/>
    <tableColumn id="7" name="6" totalsRowFunction="count" dataDxfId="374" totalsRowDxfId="373"/>
    <tableColumn id="8" name="7" totalsRowFunction="count" dataDxfId="372" totalsRowDxfId="371"/>
    <tableColumn id="9" name="8" totalsRowFunction="count" dataDxfId="370" totalsRowDxfId="369"/>
    <tableColumn id="10" name="9" totalsRowFunction="count" dataDxfId="368" totalsRowDxfId="367"/>
    <tableColumn id="11" name="10" totalsRowFunction="count" dataDxfId="366" totalsRowDxfId="365"/>
    <tableColumn id="12" name="11" totalsRowFunction="count" dataDxfId="364" totalsRowDxfId="363"/>
    <tableColumn id="13" name="12" totalsRowFunction="count" dataDxfId="362" totalsRowDxfId="361"/>
    <tableColumn id="14" name="13" totalsRowFunction="count" dataDxfId="360" totalsRowDxfId="359"/>
    <tableColumn id="15" name="14" totalsRowFunction="count" dataDxfId="358" totalsRowDxfId="357"/>
    <tableColumn id="16" name="15" totalsRowFunction="count" dataDxfId="356" totalsRowDxfId="355"/>
    <tableColumn id="17" name="16" totalsRowFunction="count" dataDxfId="354" totalsRowDxfId="353"/>
    <tableColumn id="18" name="17" totalsRowFunction="count" dataDxfId="352" totalsRowDxfId="351"/>
    <tableColumn id="19" name="18" totalsRowFunction="count" dataDxfId="350" totalsRowDxfId="349"/>
    <tableColumn id="20" name="19" totalsRowFunction="count" dataDxfId="348" totalsRowDxfId="347"/>
    <tableColumn id="21" name="20" totalsRowFunction="count" dataDxfId="346" totalsRowDxfId="345"/>
    <tableColumn id="22" name="21" totalsRowFunction="count" dataDxfId="344" totalsRowDxfId="343"/>
    <tableColumn id="23" name="22" totalsRowFunction="count" dataDxfId="342" totalsRowDxfId="341"/>
    <tableColumn id="24" name="23" totalsRowFunction="count" dataDxfId="340" totalsRowDxfId="339"/>
    <tableColumn id="25" name="24" totalsRowFunction="count" dataDxfId="338" totalsRowDxfId="337"/>
    <tableColumn id="26" name="25" totalsRowFunction="count" dataDxfId="336" totalsRowDxfId="335"/>
    <tableColumn id="27" name="26" totalsRowFunction="count" dataDxfId="334" totalsRowDxfId="333"/>
    <tableColumn id="28" name="27" totalsRowFunction="count" dataDxfId="332" totalsRowDxfId="331"/>
    <tableColumn id="29" name="28" totalsRowFunction="count" dataDxfId="330" totalsRowDxfId="329"/>
    <tableColumn id="30" name="29" totalsRowFunction="count" dataDxfId="328" totalsRowDxfId="327"/>
    <tableColumn id="31" name="30" dataDxfId="326" totalsRowDxfId="325"/>
    <tableColumn id="32" name="31" dataDxfId="324" totalsRowDxfId="323"/>
    <tableColumn id="33" name="Total Days" totalsRowFunction="sum" totalsRowDxfId="322">
      <calculatedColumnFormula>COUNTA(tblAugust[[#This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August Employee Absence Schedule" altTextSummary="Provides a list of names and calendar dates to record employee absences and specific absence type, such as V=Vacation, S=Sick, P=Personal and two placeholders for custom entries."/>
    </ext>
  </extLst>
</table>
</file>

<file path=xl/tables/table9.xml><?xml version="1.0" encoding="utf-8"?>
<table xmlns="http://schemas.openxmlformats.org/spreadsheetml/2006/main" id="9" name="tblSeptember" displayName="tblSeptember" ref="A4:AG37" totalsRowCount="1">
  <sortState ref="A5:AG36">
    <sortCondition ref="A5"/>
  </sortState>
  <tableColumns count="33">
    <tableColumn id="1" name="Employee Name" totalsRowFunction="custom" dataDxfId="321" totalsRowDxfId="128">
      <totalsRowFormula>MonthName&amp;" Total"</totalsRowFormula>
    </tableColumn>
    <tableColumn id="2" name="1" totalsRowFunction="count" dataDxfId="320" totalsRowDxfId="127"/>
    <tableColumn id="3" name="2" totalsRowFunction="count" dataDxfId="319" totalsRowDxfId="126"/>
    <tableColumn id="4" name="3" totalsRowFunction="count" dataDxfId="318" totalsRowDxfId="125"/>
    <tableColumn id="5" name="4" totalsRowFunction="count" dataDxfId="317" totalsRowDxfId="124"/>
    <tableColumn id="6" name="5" totalsRowFunction="count" dataDxfId="316" totalsRowDxfId="123"/>
    <tableColumn id="7" name="6" totalsRowFunction="count" dataDxfId="315" totalsRowDxfId="122"/>
    <tableColumn id="8" name="7" totalsRowFunction="count" dataDxfId="314" totalsRowDxfId="121"/>
    <tableColumn id="9" name="8" totalsRowFunction="count" dataDxfId="313" totalsRowDxfId="120"/>
    <tableColumn id="10" name="9" totalsRowFunction="count" dataDxfId="312" totalsRowDxfId="119"/>
    <tableColumn id="11" name="10" totalsRowFunction="count" dataDxfId="311" totalsRowDxfId="118"/>
    <tableColumn id="12" name="11" totalsRowFunction="count" dataDxfId="310" totalsRowDxfId="117"/>
    <tableColumn id="13" name="12" totalsRowFunction="count" dataDxfId="309" totalsRowDxfId="116"/>
    <tableColumn id="14" name="13" totalsRowFunction="count" dataDxfId="308" totalsRowDxfId="115"/>
    <tableColumn id="15" name="14" totalsRowFunction="count" dataDxfId="307" totalsRowDxfId="114"/>
    <tableColumn id="16" name="15" totalsRowFunction="count" dataDxfId="306" totalsRowDxfId="113"/>
    <tableColumn id="17" name="16" totalsRowFunction="count" dataDxfId="305" totalsRowDxfId="112"/>
    <tableColumn id="18" name="17" totalsRowFunction="count" dataDxfId="304" totalsRowDxfId="111"/>
    <tableColumn id="19" name="18" totalsRowFunction="count" dataDxfId="303" totalsRowDxfId="110"/>
    <tableColumn id="20" name="19" totalsRowFunction="count" dataDxfId="302" totalsRowDxfId="109"/>
    <tableColumn id="21" name="20" totalsRowFunction="count" dataDxfId="301" totalsRowDxfId="108"/>
    <tableColumn id="22" name="21" totalsRowFunction="count" dataDxfId="300" totalsRowDxfId="107"/>
    <tableColumn id="23" name="22" totalsRowFunction="count" dataDxfId="299" totalsRowDxfId="106"/>
    <tableColumn id="24" name="23" totalsRowFunction="count" dataDxfId="298" totalsRowDxfId="105"/>
    <tableColumn id="25" name="24" totalsRowFunction="count" dataDxfId="297" totalsRowDxfId="104"/>
    <tableColumn id="26" name="25" totalsRowFunction="count" dataDxfId="296" totalsRowDxfId="103"/>
    <tableColumn id="27" name="26" totalsRowFunction="count" dataDxfId="295" totalsRowDxfId="102"/>
    <tableColumn id="28" name="27" totalsRowFunction="count" dataDxfId="294" totalsRowDxfId="101"/>
    <tableColumn id="29" name="28" totalsRowFunction="count" dataDxfId="293" totalsRowDxfId="100"/>
    <tableColumn id="30" name="29" totalsRowFunction="count" dataDxfId="292" totalsRowDxfId="99"/>
    <tableColumn id="31" name="30" dataDxfId="291" totalsRowDxfId="98"/>
    <tableColumn id="32" name=" " dataDxfId="290" totalsRowDxfId="97"/>
    <tableColumn id="33" name="Total Days" totalsRowFunction="sum" totalsRowDxfId="96">
      <calculatedColumnFormula>COUNTA(tblSeptember[[#This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eptember Employee Absence Schedule" altTextSummary="Provides a list of names and calendar dates to record employee absences and specific absence type, such as V=Vacation, S=Sick, P=Personal and two placeholders for custom entries."/>
    </ext>
  </extLst>
</table>
</file>

<file path=xl/theme/theme1.xml><?xml version="1.0" encoding="utf-8"?>
<a:theme xmlns:a="http://schemas.openxmlformats.org/drawingml/2006/main" name="Office Theme">
  <a:themeElements>
    <a:clrScheme name="Employee Absence Schedule">
      <a:dk1>
        <a:sysClr val="windowText" lastClr="000000"/>
      </a:dk1>
      <a:lt1>
        <a:sysClr val="window" lastClr="FFFFFF"/>
      </a:lt1>
      <a:dk2>
        <a:srgbClr val="4B180E"/>
      </a:dk2>
      <a:lt2>
        <a:srgbClr val="F1F2E8"/>
      </a:lt2>
      <a:accent1>
        <a:srgbClr val="A53423"/>
      </a:accent1>
      <a:accent2>
        <a:srgbClr val="E68130"/>
      </a:accent2>
      <a:accent3>
        <a:srgbClr val="9BB05D"/>
      </a:accent3>
      <a:accent4>
        <a:srgbClr val="CC9900"/>
      </a:accent4>
      <a:accent5>
        <a:srgbClr val="4F66AF"/>
      </a:accent5>
      <a:accent6>
        <a:srgbClr val="D0D2D3"/>
      </a:accent6>
      <a:hlink>
        <a:srgbClr val="4F66AF"/>
      </a:hlink>
      <a:folHlink>
        <a:srgbClr val="6B9AC6"/>
      </a:folHlink>
    </a:clrScheme>
    <a:fontScheme name="Employee Absence Schedule">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2" tint="-0.89999084444715716"/>
    <pageSetUpPr fitToPage="1"/>
  </sheetPr>
  <dimension ref="A1:AH1420"/>
  <sheetViews>
    <sheetView showGridLines="0" zoomScaleNormal="100" workbookViewId="0">
      <pane ySplit="4" topLeftCell="A23" activePane="bottomLeft" state="frozen"/>
      <selection pane="bottomLeft" activeCell="AF38" sqref="AF38"/>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37" customFormat="1" ht="50.25" customHeight="1" x14ac:dyDescent="0.25">
      <c r="A1" s="31" t="s">
        <v>0</v>
      </c>
      <c r="B1" s="32"/>
      <c r="C1" s="32"/>
      <c r="D1" s="32"/>
      <c r="E1" s="32"/>
      <c r="F1" s="32"/>
      <c r="G1" s="32"/>
      <c r="H1" s="32"/>
      <c r="I1" s="32"/>
      <c r="J1" s="32"/>
      <c r="K1" s="32"/>
      <c r="L1" s="32"/>
      <c r="M1" s="32"/>
      <c r="N1" s="32"/>
      <c r="O1" s="32"/>
      <c r="P1" s="32"/>
      <c r="Q1" s="32"/>
      <c r="R1" s="32"/>
      <c r="S1" s="32"/>
      <c r="T1" s="32"/>
      <c r="U1" s="32"/>
      <c r="V1" s="32"/>
      <c r="W1" s="32"/>
      <c r="X1" s="32"/>
      <c r="Y1" s="32"/>
      <c r="Z1" s="32"/>
      <c r="AA1" s="32"/>
      <c r="AB1" s="32"/>
      <c r="AC1" s="33"/>
      <c r="AD1" s="33"/>
      <c r="AE1" s="34"/>
      <c r="AF1" s="35"/>
      <c r="AG1" s="35"/>
      <c r="AH1" s="36"/>
    </row>
    <row r="2" spans="1:34" s="4" customFormat="1" ht="30" customHeight="1" x14ac:dyDescent="0.25">
      <c r="A2" s="78" t="s">
        <v>40</v>
      </c>
      <c r="B2" s="76" t="s">
        <v>1</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9">
        <v>2015</v>
      </c>
      <c r="AH2" s="3"/>
    </row>
    <row r="3" spans="1:34" s="6" customFormat="1" ht="15.75" customHeight="1" x14ac:dyDescent="0.3">
      <c r="A3" s="78"/>
      <c r="B3" s="28" t="str">
        <f>TEXT(WEEKDAY(DATE(CalendarYear,1,1),1),"aaa")</f>
        <v>Thu</v>
      </c>
      <c r="C3" s="29" t="str">
        <f>TEXT(WEEKDAY(DATE(CalendarYear,1,2),1),"aaa")</f>
        <v>Fri</v>
      </c>
      <c r="D3" s="29" t="str">
        <f>TEXT(WEEKDAY(DATE(CalendarYear,1,3),1),"aaa")</f>
        <v>Sat</v>
      </c>
      <c r="E3" s="29" t="str">
        <f>TEXT(WEEKDAY(DATE(CalendarYear,1,4),1),"aaa")</f>
        <v>Sun</v>
      </c>
      <c r="F3" s="29" t="str">
        <f>TEXT(WEEKDAY(DATE(CalendarYear,1,5),1),"aaa")</f>
        <v>Mon</v>
      </c>
      <c r="G3" s="29" t="str">
        <f>TEXT(WEEKDAY(DATE(CalendarYear,1,6),1),"aaa")</f>
        <v>Tue</v>
      </c>
      <c r="H3" s="29" t="str">
        <f>TEXT(WEEKDAY(DATE(CalendarYear,1,7),1),"aaa")</f>
        <v>Wed</v>
      </c>
      <c r="I3" s="29" t="str">
        <f>TEXT(WEEKDAY(DATE(CalendarYear,1,8),1),"aaa")</f>
        <v>Thu</v>
      </c>
      <c r="J3" s="29" t="str">
        <f>TEXT(WEEKDAY(DATE(CalendarYear,1,9),1),"aaa")</f>
        <v>Fri</v>
      </c>
      <c r="K3" s="29" t="str">
        <f>TEXT(WEEKDAY(DATE(CalendarYear,1,10),1),"aaa")</f>
        <v>Sat</v>
      </c>
      <c r="L3" s="29" t="str">
        <f>TEXT(WEEKDAY(DATE(CalendarYear,1,11),1),"aaa")</f>
        <v>Sun</v>
      </c>
      <c r="M3" s="29" t="str">
        <f>TEXT(WEEKDAY(DATE(CalendarYear,1,12),1),"aaa")</f>
        <v>Mon</v>
      </c>
      <c r="N3" s="29" t="str">
        <f>TEXT(WEEKDAY(DATE(CalendarYear,1,13),1),"aaa")</f>
        <v>Tue</v>
      </c>
      <c r="O3" s="29" t="str">
        <f>TEXT(WEEKDAY(DATE(CalendarYear,1,14),1),"aaa")</f>
        <v>Wed</v>
      </c>
      <c r="P3" s="29" t="str">
        <f>TEXT(WEEKDAY(DATE(CalendarYear,1,15),1),"aaa")</f>
        <v>Thu</v>
      </c>
      <c r="Q3" s="29" t="str">
        <f>TEXT(WEEKDAY(DATE(CalendarYear,1,16),1),"aaa")</f>
        <v>Fri</v>
      </c>
      <c r="R3" s="29" t="str">
        <f>TEXT(WEEKDAY(DATE(CalendarYear,1,17),1),"aaa")</f>
        <v>Sat</v>
      </c>
      <c r="S3" s="29" t="str">
        <f>TEXT(WEEKDAY(DATE(CalendarYear,1,18),1),"aaa")</f>
        <v>Sun</v>
      </c>
      <c r="T3" s="29" t="str">
        <f>TEXT(WEEKDAY(DATE(CalendarYear,1,19),1),"aaa")</f>
        <v>Mon</v>
      </c>
      <c r="U3" s="29" t="str">
        <f>TEXT(WEEKDAY(DATE(CalendarYear,1,20),1),"aaa")</f>
        <v>Tue</v>
      </c>
      <c r="V3" s="29" t="str">
        <f>TEXT(WEEKDAY(DATE(CalendarYear,1,21),1),"aaa")</f>
        <v>Wed</v>
      </c>
      <c r="W3" s="29" t="str">
        <f>TEXT(WEEKDAY(DATE(CalendarYear,1,22),1),"aaa")</f>
        <v>Thu</v>
      </c>
      <c r="X3" s="29" t="str">
        <f>TEXT(WEEKDAY(DATE(CalendarYear,1,23),1),"aaa")</f>
        <v>Fri</v>
      </c>
      <c r="Y3" s="29" t="str">
        <f>TEXT(WEEKDAY(DATE(CalendarYear,1,24),1),"aaa")</f>
        <v>Sat</v>
      </c>
      <c r="Z3" s="29" t="str">
        <f>TEXT(WEEKDAY(DATE(CalendarYear,1,25),1),"aaa")</f>
        <v>Sun</v>
      </c>
      <c r="AA3" s="29" t="str">
        <f>TEXT(WEEKDAY(DATE(CalendarYear,1,26),1),"aaa")</f>
        <v>Mon</v>
      </c>
      <c r="AB3" s="29" t="str">
        <f>TEXT(WEEKDAY(DATE(CalendarYear,1,27),1),"aaa")</f>
        <v>Tue</v>
      </c>
      <c r="AC3" s="29" t="str">
        <f>TEXT(WEEKDAY(DATE(CalendarYear,1,28),1),"aaa")</f>
        <v>Wed</v>
      </c>
      <c r="AD3" s="29" t="str">
        <f>TEXT(WEEKDAY(DATE(CalendarYear,1,29),1),"aaa")</f>
        <v>Thu</v>
      </c>
      <c r="AE3" s="29" t="str">
        <f>TEXT(WEEKDAY(DATE(CalendarYear,1,30),1),"aaa")</f>
        <v>Fri</v>
      </c>
      <c r="AF3" s="30" t="str">
        <f>TEXT(WEEKDAY(DATE(CalendarYear,1,31),1),"aaa")</f>
        <v>Sat</v>
      </c>
      <c r="AG3" s="79"/>
      <c r="AH3" s="5"/>
    </row>
    <row r="4" spans="1:34" s="10" customFormat="1" x14ac:dyDescent="0.25">
      <c r="A4" s="38" t="s">
        <v>2</v>
      </c>
      <c r="B4" s="7" t="s">
        <v>3</v>
      </c>
      <c r="C4" s="7" t="s">
        <v>4</v>
      </c>
      <c r="D4" s="7" t="s">
        <v>5</v>
      </c>
      <c r="E4" s="7" t="s">
        <v>6</v>
      </c>
      <c r="F4" s="7" t="s">
        <v>7</v>
      </c>
      <c r="G4" s="7" t="s">
        <v>8</v>
      </c>
      <c r="H4" s="7" t="s">
        <v>9</v>
      </c>
      <c r="I4" s="7" t="s">
        <v>10</v>
      </c>
      <c r="J4" s="7" t="s">
        <v>11</v>
      </c>
      <c r="K4" s="7" t="s">
        <v>12</v>
      </c>
      <c r="L4" s="7" t="s">
        <v>13</v>
      </c>
      <c r="M4" s="7" t="s">
        <v>14</v>
      </c>
      <c r="N4" s="7" t="s">
        <v>15</v>
      </c>
      <c r="O4" s="7" t="s">
        <v>16</v>
      </c>
      <c r="P4" s="7" t="s">
        <v>17</v>
      </c>
      <c r="Q4" s="7" t="s">
        <v>18</v>
      </c>
      <c r="R4" s="7" t="s">
        <v>19</v>
      </c>
      <c r="S4" s="7" t="s">
        <v>20</v>
      </c>
      <c r="T4" s="7" t="s">
        <v>21</v>
      </c>
      <c r="U4" s="7" t="s">
        <v>22</v>
      </c>
      <c r="V4" s="7" t="s">
        <v>23</v>
      </c>
      <c r="W4" s="7" t="s">
        <v>24</v>
      </c>
      <c r="X4" s="7" t="s">
        <v>25</v>
      </c>
      <c r="Y4" s="7" t="s">
        <v>26</v>
      </c>
      <c r="Z4" s="7" t="s">
        <v>27</v>
      </c>
      <c r="AA4" s="7" t="s">
        <v>28</v>
      </c>
      <c r="AB4" s="7" t="s">
        <v>29</v>
      </c>
      <c r="AC4" s="7" t="s">
        <v>30</v>
      </c>
      <c r="AD4" s="7" t="s">
        <v>31</v>
      </c>
      <c r="AE4" s="7" t="s">
        <v>32</v>
      </c>
      <c r="AF4" s="7" t="s">
        <v>33</v>
      </c>
      <c r="AG4" s="7" t="s">
        <v>34</v>
      </c>
      <c r="AH4" s="9"/>
    </row>
    <row r="5" spans="1:34" s="10" customFormat="1" x14ac:dyDescent="0.25">
      <c r="A5" s="44" t="s">
        <v>57</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11">
        <f>COUNTA(tblJanuary[[#This Row],[1]:[31]])</f>
        <v>0</v>
      </c>
      <c r="AH5" s="9"/>
    </row>
    <row r="6" spans="1:34" s="10" customFormat="1" x14ac:dyDescent="0.25">
      <c r="A6" s="44" t="s">
        <v>58</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11">
        <f>COUNTA(tblJanuary[[#This Row],[1]:[31]])</f>
        <v>0</v>
      </c>
      <c r="AH6" s="9"/>
    </row>
    <row r="7" spans="1:34" s="13" customFormat="1" x14ac:dyDescent="0.25">
      <c r="A7" s="44" t="s">
        <v>59</v>
      </c>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11">
        <f>COUNTA(tblJanuary[[#This Row],[1]:[31]])</f>
        <v>0</v>
      </c>
      <c r="AH7" s="12"/>
    </row>
    <row r="8" spans="1:34" s="13" customFormat="1" x14ac:dyDescent="0.25">
      <c r="A8" s="44" t="s">
        <v>60</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11">
        <f>COUNTA(tblJanuary[[#This Row],[1]:[31]])</f>
        <v>0</v>
      </c>
      <c r="AH8" s="12"/>
    </row>
    <row r="9" spans="1:34" s="13" customFormat="1" x14ac:dyDescent="0.25">
      <c r="A9" s="44" t="s">
        <v>61</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COUNTA(tblJanuary[[#This Row],[1]:[31]])</f>
        <v>0</v>
      </c>
      <c r="AH9" s="12"/>
    </row>
    <row r="10" spans="1:34" s="13" customFormat="1" x14ac:dyDescent="0.25">
      <c r="A10" s="44" t="s">
        <v>62</v>
      </c>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11">
        <f>COUNTA(tblJanuary[[#This Row],[1]:[31]])</f>
        <v>0</v>
      </c>
      <c r="AH10" s="12"/>
    </row>
    <row r="11" spans="1:34" s="13" customFormat="1" x14ac:dyDescent="0.25">
      <c r="A11" s="44" t="s">
        <v>63</v>
      </c>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11">
        <f>COUNTA(tblJanuary[[#This Row],[1]:[31]])</f>
        <v>0</v>
      </c>
      <c r="AH11" s="12"/>
    </row>
    <row r="12" spans="1:34" s="13" customFormat="1" x14ac:dyDescent="0.25">
      <c r="A12" s="44" t="s">
        <v>64</v>
      </c>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11">
        <f>COUNTA(tblJanuary[[#This Row],[1]:[31]])</f>
        <v>0</v>
      </c>
      <c r="AH12" s="12"/>
    </row>
    <row r="13" spans="1:34" s="13" customFormat="1" x14ac:dyDescent="0.25">
      <c r="A13" s="44" t="s">
        <v>65</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11">
        <f>COUNTA(tblJanuary[[#This Row],[1]:[31]])</f>
        <v>0</v>
      </c>
      <c r="AH13" s="12"/>
    </row>
    <row r="14" spans="1:34" s="13" customFormat="1" x14ac:dyDescent="0.25">
      <c r="A14" s="44" t="s">
        <v>66</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11">
        <f>COUNTA(tblJanuary[[#This Row],[1]:[31]])</f>
        <v>0</v>
      </c>
      <c r="AH14" s="12"/>
    </row>
    <row r="15" spans="1:34" s="13" customFormat="1" x14ac:dyDescent="0.25">
      <c r="A15" s="44" t="s">
        <v>67</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11">
        <f>COUNTA(tblJanuary[[#This Row],[1]:[31]])</f>
        <v>0</v>
      </c>
      <c r="AH15" s="12"/>
    </row>
    <row r="16" spans="1:34" s="13" customFormat="1" x14ac:dyDescent="0.25">
      <c r="A16" s="44" t="s">
        <v>68</v>
      </c>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11">
        <f>COUNTA(tblJanuary[[#This Row],[1]:[31]])</f>
        <v>0</v>
      </c>
      <c r="AH16" s="12"/>
    </row>
    <row r="17" spans="1:34" s="13" customFormat="1" x14ac:dyDescent="0.25">
      <c r="A17" s="44" t="s">
        <v>69</v>
      </c>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11">
        <f>COUNTA(tblJanuary[[#This Row],[1]:[31]])</f>
        <v>0</v>
      </c>
      <c r="AH17" s="12"/>
    </row>
    <row r="18" spans="1:34" s="13" customFormat="1" x14ac:dyDescent="0.25">
      <c r="A18" s="44" t="s">
        <v>70</v>
      </c>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11">
        <f>COUNTA(tblJanuary[[#This Row],[1]:[31]])</f>
        <v>0</v>
      </c>
      <c r="AH18" s="12"/>
    </row>
    <row r="19" spans="1:34" s="13" customFormat="1" x14ac:dyDescent="0.25">
      <c r="A19" s="44" t="s">
        <v>71</v>
      </c>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11">
        <f>COUNTA(tblJanuary[[#This Row],[1]:[31]])</f>
        <v>0</v>
      </c>
      <c r="AH19" s="12"/>
    </row>
    <row r="20" spans="1:34" s="13" customFormat="1" x14ac:dyDescent="0.25">
      <c r="A20" s="44" t="s">
        <v>72</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11">
        <f>COUNTA(tblJanuary[[#This Row],[1]:[31]])</f>
        <v>0</v>
      </c>
      <c r="AH20" s="12"/>
    </row>
    <row r="21" spans="1:34" s="13" customFormat="1" x14ac:dyDescent="0.25">
      <c r="A21" s="44" t="s">
        <v>73</v>
      </c>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11">
        <f>COUNTA(tblJanuary[[#This Row],[1]:[31]])</f>
        <v>0</v>
      </c>
      <c r="AH21" s="12"/>
    </row>
    <row r="22" spans="1:34" s="13" customFormat="1" x14ac:dyDescent="0.25">
      <c r="A22" s="44" t="s">
        <v>74</v>
      </c>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11">
        <f>COUNTA(tblJanuary[[#This Row],[1]:[31]])</f>
        <v>0</v>
      </c>
      <c r="AH22" s="12"/>
    </row>
    <row r="23" spans="1:34" s="13" customFormat="1" x14ac:dyDescent="0.25">
      <c r="A23" s="44" t="s">
        <v>75</v>
      </c>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11">
        <f>COUNTA(tblJanuary[[#This Row],[1]:[31]])</f>
        <v>0</v>
      </c>
      <c r="AH23" s="12"/>
    </row>
    <row r="24" spans="1:34" s="13" customFormat="1" x14ac:dyDescent="0.25">
      <c r="A24" s="44" t="s">
        <v>76</v>
      </c>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11">
        <f>COUNTA(tblJanuary[[#This Row],[1]:[31]])</f>
        <v>0</v>
      </c>
      <c r="AH24" s="12"/>
    </row>
    <row r="25" spans="1:34" s="13" customFormat="1" x14ac:dyDescent="0.25">
      <c r="A25" s="44" t="s">
        <v>77</v>
      </c>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11">
        <f>COUNTA(tblJanuary[[#This Row],[1]:[31]])</f>
        <v>0</v>
      </c>
      <c r="AH25" s="12"/>
    </row>
    <row r="26" spans="1:34" s="13" customFormat="1" x14ac:dyDescent="0.25">
      <c r="A26" s="44" t="s">
        <v>78</v>
      </c>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11">
        <f>COUNTA(tblJanuary[[#This Row],[1]:[31]])</f>
        <v>0</v>
      </c>
      <c r="AH26" s="12"/>
    </row>
    <row r="27" spans="1:34" s="13" customFormat="1" x14ac:dyDescent="0.25">
      <c r="A27" s="44" t="s">
        <v>79</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11">
        <f>COUNTA(tblJanuary[[#This Row],[1]:[31]])</f>
        <v>0</v>
      </c>
      <c r="AH27" s="12"/>
    </row>
    <row r="28" spans="1:34" s="13" customFormat="1" x14ac:dyDescent="0.25">
      <c r="A28" s="44" t="s">
        <v>80</v>
      </c>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11">
        <f>COUNTA(tblJanuary[[#This Row],[1]:[31]])</f>
        <v>0</v>
      </c>
      <c r="AH28" s="12"/>
    </row>
    <row r="29" spans="1:34" s="13" customFormat="1" x14ac:dyDescent="0.25">
      <c r="A29" s="44" t="s">
        <v>81</v>
      </c>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11">
        <f>COUNTA(tblJanuary[[#This Row],[1]:[31]])</f>
        <v>0</v>
      </c>
      <c r="AH29" s="12"/>
    </row>
    <row r="30" spans="1:34" s="13" customFormat="1" x14ac:dyDescent="0.25">
      <c r="A30" s="44" t="s">
        <v>82</v>
      </c>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11">
        <f>COUNTA(tblJanuary[[#This Row],[1]:[31]])</f>
        <v>0</v>
      </c>
      <c r="AH30" s="12"/>
    </row>
    <row r="31" spans="1:34" x14ac:dyDescent="0.25">
      <c r="A31" s="48" t="str">
        <f>MonthName&amp;" Total"</f>
        <v>January Total</v>
      </c>
      <c r="B31" s="49">
        <f>SUBTOTAL(103,tblJanuary[1])</f>
        <v>0</v>
      </c>
      <c r="C31" s="49">
        <f>SUBTOTAL(103,tblJanuary[2])</f>
        <v>0</v>
      </c>
      <c r="D31" s="49">
        <f>SUBTOTAL(103,tblJanuary[3])</f>
        <v>0</v>
      </c>
      <c r="E31" s="49">
        <f>SUBTOTAL(103,tblJanuary[4])</f>
        <v>0</v>
      </c>
      <c r="F31" s="49">
        <f>SUBTOTAL(103,tblJanuary[5])</f>
        <v>0</v>
      </c>
      <c r="G31" s="49">
        <f>SUBTOTAL(103,tblJanuary[6])</f>
        <v>0</v>
      </c>
      <c r="H31" s="49">
        <f>SUBTOTAL(103,tblJanuary[7])</f>
        <v>0</v>
      </c>
      <c r="I31" s="49">
        <f>SUBTOTAL(103,tblJanuary[8])</f>
        <v>0</v>
      </c>
      <c r="J31" s="49">
        <f>SUBTOTAL(103,tblJanuary[9])</f>
        <v>0</v>
      </c>
      <c r="K31" s="49">
        <f>SUBTOTAL(103,tblJanuary[10])</f>
        <v>0</v>
      </c>
      <c r="L31" s="49">
        <f>SUBTOTAL(103,tblJanuary[11])</f>
        <v>0</v>
      </c>
      <c r="M31" s="49">
        <f>SUBTOTAL(103,tblJanuary[12])</f>
        <v>0</v>
      </c>
      <c r="N31" s="49">
        <f>SUBTOTAL(103,tblJanuary[13])</f>
        <v>0</v>
      </c>
      <c r="O31" s="49">
        <f>SUBTOTAL(103,tblJanuary[14])</f>
        <v>0</v>
      </c>
      <c r="P31" s="49">
        <f>SUBTOTAL(103,tblJanuary[15])</f>
        <v>0</v>
      </c>
      <c r="Q31" s="49">
        <f>SUBTOTAL(103,tblJanuary[16])</f>
        <v>0</v>
      </c>
      <c r="R31" s="49">
        <f>SUBTOTAL(103,tblJanuary[17])</f>
        <v>0</v>
      </c>
      <c r="S31" s="49">
        <f>SUBTOTAL(103,tblJanuary[18])</f>
        <v>0</v>
      </c>
      <c r="T31" s="49">
        <f>SUBTOTAL(103,tblJanuary[19])</f>
        <v>0</v>
      </c>
      <c r="U31" s="49">
        <f>SUBTOTAL(103,tblJanuary[20])</f>
        <v>0</v>
      </c>
      <c r="V31" s="49">
        <f>SUBTOTAL(103,tblJanuary[21])</f>
        <v>0</v>
      </c>
      <c r="W31" s="49">
        <f>SUBTOTAL(103,tblJanuary[22])</f>
        <v>0</v>
      </c>
      <c r="X31" s="49">
        <f>SUBTOTAL(103,tblJanuary[23])</f>
        <v>0</v>
      </c>
      <c r="Y31" s="49">
        <f>SUBTOTAL(103,tblJanuary[24])</f>
        <v>0</v>
      </c>
      <c r="Z31" s="49">
        <f>SUBTOTAL(103,tblJanuary[25])</f>
        <v>0</v>
      </c>
      <c r="AA31" s="49">
        <f>SUBTOTAL(103,tblJanuary[26])</f>
        <v>0</v>
      </c>
      <c r="AB31" s="49">
        <f>SUBTOTAL(103,tblJanuary[27])</f>
        <v>0</v>
      </c>
      <c r="AC31" s="49">
        <f>SUBTOTAL(103,tblJanuary[28])</f>
        <v>0</v>
      </c>
      <c r="AD31" s="49">
        <f>SUBTOTAL(103,tblJanuary[29])</f>
        <v>0</v>
      </c>
      <c r="AE31" s="49">
        <f>SUBTOTAL(103,tblJanuary[30])</f>
        <v>0</v>
      </c>
      <c r="AF31" s="49">
        <f>SUBTOTAL(103,tblJanuary[31])</f>
        <v>0</v>
      </c>
      <c r="AG31" s="49">
        <f>SUBTOTAL(109,tblJanuary[Total Days])</f>
        <v>0</v>
      </c>
    </row>
    <row r="32" spans="1:34" customFormat="1" x14ac:dyDescent="0.25">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row>
    <row r="33" spans="1:33" customFormat="1" x14ac:dyDescent="0.25">
      <c r="A33" s="8"/>
      <c r="B33" s="42" t="s">
        <v>45</v>
      </c>
      <c r="C33" s="42"/>
      <c r="D33" s="42"/>
      <c r="E33" s="42"/>
      <c r="F33" s="43"/>
      <c r="G33" s="26" t="s">
        <v>36</v>
      </c>
      <c r="H33" s="39" t="s">
        <v>41</v>
      </c>
      <c r="I33" s="40"/>
      <c r="J33" s="40"/>
      <c r="K33" s="22" t="s">
        <v>39</v>
      </c>
      <c r="L33" s="39" t="s">
        <v>42</v>
      </c>
      <c r="M33" s="40"/>
      <c r="N33" s="40"/>
      <c r="O33" s="23" t="s">
        <v>35</v>
      </c>
      <c r="P33" s="39" t="s">
        <v>43</v>
      </c>
      <c r="Q33" s="40"/>
      <c r="R33" s="40"/>
      <c r="S33" s="24" t="s">
        <v>87</v>
      </c>
      <c r="T33" s="39" t="s">
        <v>88</v>
      </c>
      <c r="U33" s="41"/>
      <c r="V33" s="40"/>
      <c r="W33" s="25"/>
      <c r="X33" s="39" t="s">
        <v>44</v>
      </c>
      <c r="Y33" s="40"/>
      <c r="Z33" s="41"/>
      <c r="AA33" s="15"/>
      <c r="AB33" s="15"/>
      <c r="AC33" s="15"/>
      <c r="AD33" s="15"/>
      <c r="AE33" s="15"/>
      <c r="AF33" s="15"/>
      <c r="AG33" s="14"/>
    </row>
    <row r="34" spans="1:33" customFormat="1" x14ac:dyDescent="0.25"/>
    <row r="35" spans="1:33" customFormat="1" x14ac:dyDescent="0.25"/>
    <row r="36" spans="1:33" customFormat="1" x14ac:dyDescent="0.25"/>
    <row r="37" spans="1:33" customFormat="1" ht="15" customHeight="1" x14ac:dyDescent="0.25"/>
    <row r="38" spans="1:33" customFormat="1" ht="15" customHeight="1" x14ac:dyDescent="0.25"/>
    <row r="39" spans="1:33" customFormat="1" ht="15" customHeight="1" x14ac:dyDescent="0.25"/>
    <row r="40" spans="1:33" customFormat="1" ht="15" customHeight="1" x14ac:dyDescent="0.25"/>
    <row r="41" spans="1:33" customFormat="1" ht="15" customHeight="1" x14ac:dyDescent="0.25"/>
    <row r="42" spans="1:33" customFormat="1" ht="15" customHeight="1" x14ac:dyDescent="0.25"/>
    <row r="43" spans="1:33" customFormat="1" ht="15" customHeight="1" x14ac:dyDescent="0.25"/>
    <row r="44" spans="1:33" customFormat="1" ht="15" customHeight="1" x14ac:dyDescent="0.25"/>
    <row r="45" spans="1:33" customFormat="1" ht="15" customHeight="1" x14ac:dyDescent="0.25"/>
    <row r="46" spans="1:33" customFormat="1" ht="15" customHeight="1" x14ac:dyDescent="0.25"/>
    <row r="47" spans="1:33" customFormat="1" ht="15" customHeight="1" x14ac:dyDescent="0.25"/>
    <row r="48" spans="1:33" customFormat="1" ht="15" customHeight="1" x14ac:dyDescent="0.25"/>
    <row r="49" customFormat="1" ht="15" customHeight="1" x14ac:dyDescent="0.25"/>
    <row r="50" customFormat="1" ht="15" customHeight="1" x14ac:dyDescent="0.25"/>
    <row r="51" customFormat="1" ht="15" customHeight="1" x14ac:dyDescent="0.25"/>
    <row r="52" customFormat="1" ht="15" customHeight="1" x14ac:dyDescent="0.25"/>
    <row r="53" customFormat="1" ht="15" customHeight="1" x14ac:dyDescent="0.25"/>
    <row r="54" customFormat="1" ht="15" customHeight="1" x14ac:dyDescent="0.25"/>
    <row r="55" customFormat="1" ht="15" customHeight="1" x14ac:dyDescent="0.25"/>
    <row r="56" customFormat="1" ht="15" customHeight="1" x14ac:dyDescent="0.25"/>
    <row r="57" customFormat="1" ht="15" customHeight="1" x14ac:dyDescent="0.25"/>
    <row r="58" customFormat="1" ht="15" customHeight="1" x14ac:dyDescent="0.25"/>
    <row r="59" customFormat="1" ht="15" customHeight="1" x14ac:dyDescent="0.25"/>
    <row r="60" customFormat="1" ht="15" customHeight="1" x14ac:dyDescent="0.25"/>
    <row r="61" customFormat="1" ht="15" customHeight="1" x14ac:dyDescent="0.25"/>
    <row r="62" customFormat="1" ht="15" customHeight="1" x14ac:dyDescent="0.25"/>
    <row r="63" customFormat="1" ht="15" customHeight="1" x14ac:dyDescent="0.25"/>
    <row r="64" customFormat="1" ht="15" customHeight="1" x14ac:dyDescent="0.25"/>
    <row r="65" customFormat="1" ht="15" customHeight="1" x14ac:dyDescent="0.25"/>
    <row r="66" customFormat="1" ht="15" customHeight="1" x14ac:dyDescent="0.25"/>
    <row r="67" customFormat="1" ht="15" customHeight="1" x14ac:dyDescent="0.25"/>
    <row r="68" customFormat="1" ht="15" customHeight="1" x14ac:dyDescent="0.25"/>
    <row r="69" customFormat="1" ht="15" customHeight="1" x14ac:dyDescent="0.25"/>
    <row r="70" customFormat="1" ht="15" customHeight="1" x14ac:dyDescent="0.25"/>
    <row r="71" customFormat="1" ht="15" customHeight="1" x14ac:dyDescent="0.25"/>
    <row r="72" customFormat="1" ht="15" customHeight="1" x14ac:dyDescent="0.25"/>
    <row r="73" customFormat="1" ht="15" customHeight="1" x14ac:dyDescent="0.25"/>
    <row r="74" customFormat="1" ht="15" customHeight="1" x14ac:dyDescent="0.25"/>
    <row r="75" customFormat="1" ht="15" customHeight="1" x14ac:dyDescent="0.25"/>
    <row r="76" customFormat="1" ht="15" customHeight="1" x14ac:dyDescent="0.25"/>
    <row r="77" customFormat="1" ht="15" customHeight="1" x14ac:dyDescent="0.25"/>
    <row r="78" customFormat="1" ht="15" customHeight="1" x14ac:dyDescent="0.25"/>
    <row r="79" customFormat="1" ht="15" customHeight="1" x14ac:dyDescent="0.25"/>
    <row r="80" customFormat="1" ht="15" customHeight="1" x14ac:dyDescent="0.25"/>
    <row r="81" customFormat="1" ht="15" customHeight="1" x14ac:dyDescent="0.25"/>
    <row r="82" customFormat="1" ht="15" customHeight="1" x14ac:dyDescent="0.25"/>
    <row r="83" customFormat="1" ht="15" customHeight="1" x14ac:dyDescent="0.25"/>
    <row r="84" customFormat="1" ht="15" customHeight="1" x14ac:dyDescent="0.25"/>
    <row r="85" customFormat="1" ht="15" customHeight="1" x14ac:dyDescent="0.25"/>
    <row r="86" customFormat="1" ht="15" customHeight="1" x14ac:dyDescent="0.25"/>
    <row r="87" customFormat="1" ht="15" customHeight="1" x14ac:dyDescent="0.25"/>
    <row r="88" customFormat="1" ht="15" customHeight="1" x14ac:dyDescent="0.25"/>
    <row r="89" customFormat="1" ht="15" customHeight="1" x14ac:dyDescent="0.25"/>
    <row r="90" customFormat="1" ht="15" customHeight="1" x14ac:dyDescent="0.25"/>
    <row r="91" customFormat="1" ht="15" customHeight="1" x14ac:dyDescent="0.25"/>
    <row r="92" customFormat="1" ht="15" customHeight="1" x14ac:dyDescent="0.25"/>
    <row r="93" customFormat="1" ht="15" customHeight="1" x14ac:dyDescent="0.25"/>
    <row r="94" customFormat="1" ht="15" customHeight="1" x14ac:dyDescent="0.25"/>
    <row r="95" customFormat="1" ht="15" customHeight="1" x14ac:dyDescent="0.25"/>
    <row r="96" customFormat="1" ht="15" customHeight="1" x14ac:dyDescent="0.25"/>
    <row r="97" customFormat="1" ht="15" customHeight="1" x14ac:dyDescent="0.25"/>
    <row r="98" customFormat="1" ht="15" customHeight="1" x14ac:dyDescent="0.25"/>
    <row r="99" customFormat="1" ht="15" customHeight="1" x14ac:dyDescent="0.25"/>
    <row r="100" customFormat="1" ht="15" customHeight="1" x14ac:dyDescent="0.25"/>
    <row r="101" customFormat="1" ht="15" customHeight="1" x14ac:dyDescent="0.25"/>
    <row r="102" customFormat="1" ht="15" customHeight="1" x14ac:dyDescent="0.25"/>
    <row r="103" customFormat="1" ht="15" customHeight="1" x14ac:dyDescent="0.25"/>
    <row r="104" customFormat="1" ht="15" customHeight="1" x14ac:dyDescent="0.25"/>
    <row r="105" customFormat="1" ht="15" customHeight="1" x14ac:dyDescent="0.25"/>
    <row r="106" customFormat="1" ht="15" customHeight="1" x14ac:dyDescent="0.25"/>
    <row r="107" customFormat="1" ht="15" customHeight="1" x14ac:dyDescent="0.25"/>
    <row r="108" customFormat="1" ht="15" customHeight="1" x14ac:dyDescent="0.25"/>
    <row r="109" customFormat="1" ht="15" customHeight="1" x14ac:dyDescent="0.25"/>
    <row r="110" customFormat="1" ht="15" customHeight="1" x14ac:dyDescent="0.25"/>
    <row r="111" customFormat="1" ht="15" customHeight="1" x14ac:dyDescent="0.25"/>
    <row r="112" customFormat="1" ht="15" customHeight="1" x14ac:dyDescent="0.25"/>
    <row r="113" customFormat="1" ht="15" customHeight="1" x14ac:dyDescent="0.25"/>
    <row r="114" customFormat="1" ht="15" customHeight="1" x14ac:dyDescent="0.25"/>
    <row r="115" customFormat="1" ht="15" customHeight="1" x14ac:dyDescent="0.25"/>
    <row r="116" customFormat="1" ht="15" customHeight="1" x14ac:dyDescent="0.25"/>
    <row r="117" customFormat="1" ht="15" customHeight="1" x14ac:dyDescent="0.25"/>
    <row r="118" customFormat="1" ht="15" customHeight="1" x14ac:dyDescent="0.25"/>
    <row r="119" customFormat="1" ht="15" customHeight="1" x14ac:dyDescent="0.25"/>
    <row r="120" customFormat="1" ht="15" customHeight="1" x14ac:dyDescent="0.25"/>
    <row r="121" customFormat="1" ht="15" customHeight="1" x14ac:dyDescent="0.25"/>
    <row r="122" customFormat="1" ht="15" customHeight="1" x14ac:dyDescent="0.25"/>
    <row r="123" customFormat="1" ht="15" customHeight="1" x14ac:dyDescent="0.25"/>
    <row r="124" customFormat="1" ht="15" customHeight="1" x14ac:dyDescent="0.25"/>
    <row r="125" customFormat="1" ht="15" customHeight="1" x14ac:dyDescent="0.25"/>
    <row r="126" customFormat="1" ht="15" customHeight="1" x14ac:dyDescent="0.25"/>
    <row r="127" customFormat="1" ht="15" customHeight="1" x14ac:dyDescent="0.25"/>
    <row r="128" customFormat="1" ht="15" customHeight="1" x14ac:dyDescent="0.25"/>
    <row r="129" customFormat="1" ht="15" customHeight="1" x14ac:dyDescent="0.25"/>
    <row r="130" customFormat="1" ht="15" customHeight="1" x14ac:dyDescent="0.25"/>
    <row r="131" customFormat="1" ht="15" customHeight="1" x14ac:dyDescent="0.25"/>
    <row r="132" customFormat="1" ht="15" customHeight="1" x14ac:dyDescent="0.25"/>
    <row r="133" customFormat="1" ht="15" customHeight="1" x14ac:dyDescent="0.25"/>
    <row r="134" customFormat="1" ht="15" customHeight="1" x14ac:dyDescent="0.25"/>
    <row r="135" customFormat="1" ht="15" customHeight="1" x14ac:dyDescent="0.25"/>
    <row r="136" customFormat="1" ht="15" customHeight="1" x14ac:dyDescent="0.25"/>
    <row r="137" customFormat="1" ht="15" customHeight="1" x14ac:dyDescent="0.25"/>
    <row r="138" customFormat="1" ht="15" customHeight="1" x14ac:dyDescent="0.25"/>
    <row r="139" customFormat="1" ht="15" customHeight="1" x14ac:dyDescent="0.25"/>
    <row r="140" customFormat="1" ht="15" customHeight="1" x14ac:dyDescent="0.25"/>
    <row r="141" customFormat="1" ht="15" customHeight="1" x14ac:dyDescent="0.25"/>
    <row r="142" customFormat="1" ht="15" customHeight="1" x14ac:dyDescent="0.25"/>
    <row r="143" customFormat="1" ht="15" customHeight="1" x14ac:dyDescent="0.25"/>
    <row r="144" customFormat="1" ht="15" customHeight="1" x14ac:dyDescent="0.25"/>
    <row r="145" customFormat="1" ht="15" customHeight="1" x14ac:dyDescent="0.25"/>
    <row r="146" customFormat="1" ht="15" customHeight="1" x14ac:dyDescent="0.25"/>
    <row r="147" customFormat="1" ht="15" customHeight="1" x14ac:dyDescent="0.25"/>
    <row r="148" customFormat="1" ht="15" customHeight="1" x14ac:dyDescent="0.25"/>
    <row r="149" customFormat="1" ht="15" customHeight="1" x14ac:dyDescent="0.25"/>
    <row r="150" customFormat="1" ht="15" customHeight="1" x14ac:dyDescent="0.25"/>
    <row r="151" customFormat="1" ht="15" customHeight="1" x14ac:dyDescent="0.25"/>
    <row r="152" customFormat="1" ht="15" customHeight="1" x14ac:dyDescent="0.25"/>
    <row r="153" customFormat="1" ht="15" customHeight="1" x14ac:dyDescent="0.25"/>
    <row r="154" customFormat="1" ht="15" customHeight="1" x14ac:dyDescent="0.25"/>
    <row r="155" customFormat="1" ht="15" customHeight="1" x14ac:dyDescent="0.25"/>
    <row r="156" customFormat="1" ht="15" customHeight="1" x14ac:dyDescent="0.25"/>
    <row r="157" customFormat="1" ht="15" customHeight="1" x14ac:dyDescent="0.25"/>
    <row r="158" customFormat="1" ht="15" customHeight="1" x14ac:dyDescent="0.25"/>
    <row r="159" customFormat="1" ht="15" customHeight="1" x14ac:dyDescent="0.25"/>
    <row r="160" customFormat="1" ht="15" customHeight="1" x14ac:dyDescent="0.25"/>
    <row r="161" customFormat="1" ht="15" customHeight="1" x14ac:dyDescent="0.25"/>
    <row r="162" customFormat="1" ht="15" customHeight="1" x14ac:dyDescent="0.25"/>
    <row r="163" customFormat="1" ht="15" customHeight="1" x14ac:dyDescent="0.25"/>
    <row r="164" customFormat="1" ht="15" customHeight="1" x14ac:dyDescent="0.25"/>
    <row r="165" customFormat="1" ht="15" customHeight="1" x14ac:dyDescent="0.25"/>
    <row r="166" customFormat="1" ht="15" customHeight="1" x14ac:dyDescent="0.25"/>
    <row r="167" customFormat="1" ht="15" customHeight="1" x14ac:dyDescent="0.25"/>
    <row r="168" customFormat="1" ht="15" customHeight="1" x14ac:dyDescent="0.25"/>
    <row r="169" customFormat="1" ht="15" customHeight="1" x14ac:dyDescent="0.25"/>
    <row r="170" customFormat="1" ht="15" customHeight="1" x14ac:dyDescent="0.25"/>
    <row r="171" customFormat="1" ht="15" customHeight="1" x14ac:dyDescent="0.25"/>
    <row r="172" customFormat="1" ht="15" customHeight="1" x14ac:dyDescent="0.25"/>
    <row r="173" customFormat="1" ht="15" customHeight="1" x14ac:dyDescent="0.25"/>
    <row r="174" customFormat="1" ht="15" customHeight="1" x14ac:dyDescent="0.25"/>
    <row r="175" customFormat="1" ht="15" customHeight="1" x14ac:dyDescent="0.25"/>
    <row r="176" customFormat="1" ht="15" customHeight="1" x14ac:dyDescent="0.25"/>
    <row r="177" customFormat="1" ht="15" customHeight="1" x14ac:dyDescent="0.25"/>
    <row r="178" customFormat="1" ht="15" customHeight="1" x14ac:dyDescent="0.25"/>
    <row r="179" customFormat="1" ht="15" customHeight="1" x14ac:dyDescent="0.25"/>
    <row r="180" customFormat="1" ht="15" customHeight="1" x14ac:dyDescent="0.25"/>
    <row r="181" customFormat="1" ht="15" customHeight="1" x14ac:dyDescent="0.25"/>
    <row r="182" customFormat="1" ht="15" customHeight="1" x14ac:dyDescent="0.25"/>
    <row r="183" customFormat="1" ht="15" customHeight="1" x14ac:dyDescent="0.25"/>
    <row r="184" customFormat="1" ht="15" customHeight="1" x14ac:dyDescent="0.25"/>
    <row r="185" customFormat="1" ht="15" customHeight="1" x14ac:dyDescent="0.25"/>
    <row r="186" customFormat="1" ht="15" customHeight="1" x14ac:dyDescent="0.25"/>
    <row r="187" customFormat="1" ht="15" customHeight="1" x14ac:dyDescent="0.25"/>
    <row r="188" customFormat="1" ht="15" customHeight="1" x14ac:dyDescent="0.25"/>
    <row r="189" customFormat="1" ht="15" customHeight="1" x14ac:dyDescent="0.25"/>
    <row r="190" customFormat="1" ht="15" customHeight="1" x14ac:dyDescent="0.25"/>
    <row r="191" customFormat="1" ht="15" customHeight="1" x14ac:dyDescent="0.25"/>
    <row r="192" customFormat="1" ht="15" customHeight="1" x14ac:dyDescent="0.25"/>
    <row r="193" customFormat="1" ht="15" customHeight="1" x14ac:dyDescent="0.25"/>
    <row r="194" customFormat="1" ht="15" customHeight="1" x14ac:dyDescent="0.25"/>
    <row r="195" customFormat="1" ht="15" customHeight="1" x14ac:dyDescent="0.25"/>
    <row r="196" customFormat="1" ht="15" customHeight="1" x14ac:dyDescent="0.25"/>
    <row r="197" customFormat="1" ht="15" customHeight="1" x14ac:dyDescent="0.25"/>
    <row r="198" customFormat="1" ht="15" customHeight="1" x14ac:dyDescent="0.25"/>
    <row r="199" customFormat="1" ht="15" customHeight="1" x14ac:dyDescent="0.25"/>
    <row r="200" customFormat="1" ht="15" customHeight="1" x14ac:dyDescent="0.25"/>
    <row r="201" customFormat="1" ht="15" customHeight="1" x14ac:dyDescent="0.25"/>
    <row r="202" customFormat="1" ht="15" customHeight="1" x14ac:dyDescent="0.25"/>
    <row r="203" customFormat="1" ht="15" customHeight="1" x14ac:dyDescent="0.25"/>
    <row r="204" customFormat="1" ht="15" customHeight="1" x14ac:dyDescent="0.25"/>
    <row r="205" customFormat="1" ht="15" customHeight="1" x14ac:dyDescent="0.25"/>
    <row r="206" customFormat="1" ht="15" customHeight="1" x14ac:dyDescent="0.25"/>
    <row r="207" customFormat="1" ht="15" customHeight="1" x14ac:dyDescent="0.25"/>
    <row r="208" customFormat="1" ht="15" customHeight="1" x14ac:dyDescent="0.25"/>
    <row r="209" customFormat="1" ht="15" customHeight="1" x14ac:dyDescent="0.25"/>
    <row r="210" customFormat="1" ht="15" customHeight="1" x14ac:dyDescent="0.25"/>
    <row r="211" customFormat="1" ht="15" customHeight="1" x14ac:dyDescent="0.25"/>
    <row r="212" customFormat="1" ht="15" customHeight="1" x14ac:dyDescent="0.25"/>
    <row r="213" customFormat="1" ht="15" customHeight="1" x14ac:dyDescent="0.25"/>
    <row r="214" customFormat="1" ht="15" customHeight="1" x14ac:dyDescent="0.25"/>
    <row r="215" customFormat="1" ht="15" customHeight="1" x14ac:dyDescent="0.25"/>
    <row r="216" customFormat="1" ht="15" customHeight="1" x14ac:dyDescent="0.25"/>
    <row r="217" customFormat="1" ht="15" customHeight="1" x14ac:dyDescent="0.25"/>
    <row r="218" customFormat="1" ht="15" customHeight="1" x14ac:dyDescent="0.25"/>
    <row r="219" customFormat="1" ht="15" customHeight="1" x14ac:dyDescent="0.25"/>
    <row r="220" customFormat="1" ht="15" customHeight="1" x14ac:dyDescent="0.25"/>
    <row r="221" customFormat="1" ht="15" customHeight="1" x14ac:dyDescent="0.25"/>
    <row r="222" customFormat="1" ht="15" customHeight="1" x14ac:dyDescent="0.25"/>
    <row r="223" customFormat="1" ht="15" customHeight="1" x14ac:dyDescent="0.25"/>
    <row r="224" customFormat="1" ht="15" customHeight="1" x14ac:dyDescent="0.25"/>
    <row r="225" customFormat="1" ht="15" customHeight="1" x14ac:dyDescent="0.25"/>
    <row r="226" customFormat="1" ht="15" customHeight="1" x14ac:dyDescent="0.25"/>
    <row r="227" customFormat="1" ht="15" customHeight="1" x14ac:dyDescent="0.25"/>
    <row r="228" customFormat="1" ht="15" customHeight="1" x14ac:dyDescent="0.25"/>
    <row r="229" customFormat="1" ht="15" customHeight="1" x14ac:dyDescent="0.25"/>
    <row r="230" customFormat="1" ht="15" customHeight="1" x14ac:dyDescent="0.25"/>
    <row r="231" customFormat="1" ht="15" customHeight="1" x14ac:dyDescent="0.25"/>
    <row r="232" customFormat="1" ht="15" customHeight="1" x14ac:dyDescent="0.25"/>
    <row r="233" customFormat="1" ht="15" customHeight="1" x14ac:dyDescent="0.25"/>
    <row r="234" customFormat="1" ht="15" customHeight="1" x14ac:dyDescent="0.25"/>
    <row r="235" customFormat="1" ht="15" customHeight="1" x14ac:dyDescent="0.25"/>
    <row r="236" customFormat="1" ht="15" customHeight="1" x14ac:dyDescent="0.25"/>
    <row r="237" customFormat="1" ht="15" customHeight="1" x14ac:dyDescent="0.25"/>
    <row r="238" customFormat="1" ht="15" customHeight="1" x14ac:dyDescent="0.25"/>
    <row r="239" customFormat="1" ht="15" customHeight="1" x14ac:dyDescent="0.25"/>
    <row r="240" customFormat="1" ht="15" customHeight="1" x14ac:dyDescent="0.25"/>
    <row r="241" customFormat="1" ht="15" customHeight="1" x14ac:dyDescent="0.25"/>
    <row r="242" customFormat="1" ht="15" customHeight="1" x14ac:dyDescent="0.25"/>
    <row r="243" customFormat="1" ht="15" customHeight="1" x14ac:dyDescent="0.25"/>
    <row r="244" customFormat="1" ht="15" customHeight="1" x14ac:dyDescent="0.25"/>
    <row r="245" customFormat="1" ht="15" customHeight="1" x14ac:dyDescent="0.25"/>
    <row r="246" customFormat="1" ht="15" customHeight="1" x14ac:dyDescent="0.25"/>
    <row r="247" customFormat="1" ht="15" customHeight="1" x14ac:dyDescent="0.25"/>
    <row r="248" customFormat="1" ht="15" customHeight="1" x14ac:dyDescent="0.25"/>
    <row r="249" customFormat="1" ht="15" customHeight="1" x14ac:dyDescent="0.25"/>
    <row r="250" customFormat="1" ht="15" customHeight="1" x14ac:dyDescent="0.25"/>
    <row r="251" customFormat="1" ht="15" customHeight="1" x14ac:dyDescent="0.25"/>
    <row r="252" customFormat="1" ht="15" customHeight="1" x14ac:dyDescent="0.25"/>
    <row r="253" customFormat="1" ht="15" customHeight="1" x14ac:dyDescent="0.25"/>
    <row r="254" customFormat="1" ht="15" customHeight="1" x14ac:dyDescent="0.25"/>
    <row r="255" customFormat="1" ht="15" customHeight="1" x14ac:dyDescent="0.25"/>
    <row r="256" customFormat="1" ht="15" customHeight="1" x14ac:dyDescent="0.25"/>
    <row r="257" customFormat="1" ht="15" customHeight="1" x14ac:dyDescent="0.25"/>
    <row r="258" customFormat="1" ht="15" customHeight="1" x14ac:dyDescent="0.25"/>
    <row r="259" customFormat="1" ht="15" customHeight="1" x14ac:dyDescent="0.25"/>
    <row r="260" customFormat="1" ht="15" customHeight="1" x14ac:dyDescent="0.25"/>
    <row r="261" customFormat="1" ht="15" customHeight="1" x14ac:dyDescent="0.25"/>
    <row r="262" customFormat="1" ht="15" customHeight="1" x14ac:dyDescent="0.25"/>
    <row r="263" customFormat="1" ht="15" customHeight="1" x14ac:dyDescent="0.25"/>
    <row r="264" customFormat="1" ht="15" customHeight="1" x14ac:dyDescent="0.25"/>
    <row r="265" customFormat="1" ht="15" customHeight="1" x14ac:dyDescent="0.25"/>
    <row r="266" customFormat="1" ht="15" customHeight="1" x14ac:dyDescent="0.25"/>
    <row r="267" customFormat="1" ht="15" customHeight="1" x14ac:dyDescent="0.25"/>
    <row r="268" customFormat="1" ht="15" customHeight="1" x14ac:dyDescent="0.25"/>
    <row r="269" customFormat="1" ht="15" customHeight="1" x14ac:dyDescent="0.25"/>
    <row r="270" customFormat="1" ht="15" customHeight="1" x14ac:dyDescent="0.25"/>
    <row r="271" customFormat="1" ht="15" customHeight="1" x14ac:dyDescent="0.25"/>
    <row r="272" customFormat="1" ht="15" customHeight="1" x14ac:dyDescent="0.25"/>
    <row r="273" customFormat="1" ht="15" customHeight="1" x14ac:dyDescent="0.25"/>
    <row r="274" customFormat="1" ht="15" customHeight="1" x14ac:dyDescent="0.25"/>
    <row r="275" customFormat="1" ht="15" customHeight="1" x14ac:dyDescent="0.25"/>
    <row r="276" customFormat="1" ht="15" customHeight="1" x14ac:dyDescent="0.25"/>
    <row r="277" customFormat="1" ht="15" customHeight="1" x14ac:dyDescent="0.25"/>
    <row r="278" customFormat="1" ht="15" customHeight="1" x14ac:dyDescent="0.25"/>
    <row r="279" customFormat="1" ht="15" customHeight="1" x14ac:dyDescent="0.25"/>
    <row r="280" customFormat="1" ht="15" customHeight="1" x14ac:dyDescent="0.25"/>
    <row r="281" customFormat="1" ht="15" customHeight="1" x14ac:dyDescent="0.25"/>
    <row r="282" customFormat="1" ht="15" customHeight="1" x14ac:dyDescent="0.25"/>
    <row r="283" customFormat="1" ht="15" customHeight="1" x14ac:dyDescent="0.25"/>
    <row r="284" customFormat="1" ht="15" customHeight="1" x14ac:dyDescent="0.25"/>
    <row r="285" customFormat="1" ht="15" customHeight="1" x14ac:dyDescent="0.25"/>
    <row r="286" customFormat="1" ht="15" customHeight="1" x14ac:dyDescent="0.25"/>
    <row r="287" customFormat="1" ht="15" customHeight="1" x14ac:dyDescent="0.25"/>
    <row r="288" customFormat="1" ht="15" customHeight="1" x14ac:dyDescent="0.25"/>
    <row r="289" customFormat="1" ht="15" customHeight="1" x14ac:dyDescent="0.25"/>
    <row r="290" customFormat="1" ht="15" customHeight="1" x14ac:dyDescent="0.25"/>
    <row r="291" customFormat="1" ht="15" customHeight="1" x14ac:dyDescent="0.25"/>
    <row r="292" customFormat="1" ht="15" customHeight="1" x14ac:dyDescent="0.25"/>
    <row r="293" customFormat="1" ht="15" customHeight="1" x14ac:dyDescent="0.25"/>
    <row r="294" customFormat="1" ht="15" customHeight="1" x14ac:dyDescent="0.25"/>
    <row r="295" customFormat="1" ht="15" customHeight="1" x14ac:dyDescent="0.25"/>
    <row r="296" customFormat="1" ht="15" customHeight="1" x14ac:dyDescent="0.25"/>
    <row r="297" customFormat="1" ht="15" customHeight="1" x14ac:dyDescent="0.25"/>
    <row r="298" customFormat="1" ht="15" customHeight="1" x14ac:dyDescent="0.25"/>
    <row r="299" customFormat="1" ht="15" customHeight="1" x14ac:dyDescent="0.25"/>
    <row r="300" customFormat="1" ht="15" customHeight="1" x14ac:dyDescent="0.25"/>
    <row r="301" customFormat="1" ht="15" customHeight="1" x14ac:dyDescent="0.25"/>
    <row r="302" customFormat="1" ht="15" customHeight="1" x14ac:dyDescent="0.25"/>
    <row r="303" customFormat="1" ht="15" customHeight="1" x14ac:dyDescent="0.25"/>
    <row r="304" customFormat="1" ht="15" customHeight="1" x14ac:dyDescent="0.25"/>
    <row r="305" customFormat="1" ht="15" customHeight="1" x14ac:dyDescent="0.25"/>
    <row r="306" customFormat="1" ht="15" customHeight="1" x14ac:dyDescent="0.25"/>
    <row r="307" customFormat="1" ht="15" customHeight="1" x14ac:dyDescent="0.25"/>
    <row r="308" customFormat="1" ht="15" customHeight="1" x14ac:dyDescent="0.25"/>
    <row r="309" customFormat="1" ht="15" customHeight="1" x14ac:dyDescent="0.25"/>
    <row r="310" customFormat="1" ht="15" customHeight="1" x14ac:dyDescent="0.25"/>
    <row r="311" customFormat="1" ht="15" customHeight="1" x14ac:dyDescent="0.25"/>
    <row r="312" customFormat="1" ht="15" customHeight="1" x14ac:dyDescent="0.25"/>
    <row r="313" customFormat="1" ht="15" customHeight="1" x14ac:dyDescent="0.25"/>
    <row r="314" customFormat="1" ht="15" customHeight="1" x14ac:dyDescent="0.25"/>
    <row r="315" customFormat="1" ht="15" customHeight="1" x14ac:dyDescent="0.25"/>
    <row r="316" customFormat="1" ht="15" customHeight="1" x14ac:dyDescent="0.25"/>
    <row r="317" customFormat="1" ht="15" customHeight="1" x14ac:dyDescent="0.25"/>
    <row r="318" customFormat="1" ht="15" customHeight="1" x14ac:dyDescent="0.25"/>
    <row r="319" customFormat="1" ht="15" customHeight="1" x14ac:dyDescent="0.25"/>
    <row r="320" customFormat="1" ht="15" customHeight="1" x14ac:dyDescent="0.25"/>
    <row r="321" customFormat="1" ht="15" customHeight="1" x14ac:dyDescent="0.25"/>
    <row r="322" customFormat="1" ht="15" customHeight="1" x14ac:dyDescent="0.25"/>
    <row r="323" customFormat="1" ht="15" customHeight="1" x14ac:dyDescent="0.25"/>
    <row r="324" customFormat="1" ht="15" customHeight="1" x14ac:dyDescent="0.25"/>
    <row r="325" customFormat="1" ht="15" customHeight="1" x14ac:dyDescent="0.25"/>
    <row r="326" customFormat="1" ht="15" customHeight="1" x14ac:dyDescent="0.25"/>
    <row r="327" customFormat="1" ht="15" customHeight="1" x14ac:dyDescent="0.25"/>
    <row r="328" customFormat="1" ht="15" customHeight="1" x14ac:dyDescent="0.25"/>
    <row r="329" customFormat="1" ht="15" customHeight="1" x14ac:dyDescent="0.25"/>
    <row r="330" customFormat="1" ht="15" customHeight="1" x14ac:dyDescent="0.25"/>
    <row r="331" customFormat="1" ht="15" customHeight="1" x14ac:dyDescent="0.25"/>
    <row r="332" customFormat="1" ht="15" customHeight="1" x14ac:dyDescent="0.25"/>
    <row r="333" customFormat="1" ht="15" customHeight="1" x14ac:dyDescent="0.25"/>
    <row r="334" customFormat="1" ht="15" customHeight="1" x14ac:dyDescent="0.25"/>
    <row r="335" customFormat="1" ht="15" customHeight="1" x14ac:dyDescent="0.25"/>
    <row r="336" customFormat="1" ht="15" customHeight="1" x14ac:dyDescent="0.25"/>
    <row r="337" customFormat="1" ht="15" customHeight="1" x14ac:dyDescent="0.25"/>
    <row r="338" customFormat="1" ht="15" customHeight="1" x14ac:dyDescent="0.25"/>
    <row r="339" customFormat="1" ht="15" customHeight="1" x14ac:dyDescent="0.25"/>
    <row r="340" customFormat="1" ht="15" customHeight="1" x14ac:dyDescent="0.25"/>
    <row r="341" customFormat="1" ht="15" customHeight="1" x14ac:dyDescent="0.25"/>
    <row r="342" customFormat="1" ht="15" customHeight="1" x14ac:dyDescent="0.25"/>
    <row r="343" customFormat="1" ht="15" customHeight="1" x14ac:dyDescent="0.25"/>
    <row r="344" customFormat="1" ht="15" customHeight="1" x14ac:dyDescent="0.25"/>
    <row r="345" customFormat="1" ht="15" customHeight="1" x14ac:dyDescent="0.25"/>
    <row r="346" customFormat="1" ht="15" customHeight="1" x14ac:dyDescent="0.25"/>
    <row r="347" customFormat="1" ht="15" customHeight="1" x14ac:dyDescent="0.25"/>
    <row r="348" customFormat="1" ht="15" customHeight="1" x14ac:dyDescent="0.25"/>
    <row r="349" customFormat="1" ht="15" customHeight="1" x14ac:dyDescent="0.25"/>
    <row r="350" customFormat="1" ht="15" customHeight="1" x14ac:dyDescent="0.25"/>
    <row r="351" customFormat="1" ht="15" customHeight="1" x14ac:dyDescent="0.25"/>
    <row r="352" customFormat="1" ht="15" customHeight="1" x14ac:dyDescent="0.25"/>
    <row r="353" customFormat="1" ht="15" customHeight="1" x14ac:dyDescent="0.25"/>
    <row r="354" customFormat="1" ht="15" customHeight="1" x14ac:dyDescent="0.25"/>
    <row r="355" customFormat="1" ht="15" customHeight="1" x14ac:dyDescent="0.25"/>
    <row r="356" customFormat="1" ht="15" customHeight="1" x14ac:dyDescent="0.25"/>
    <row r="357" customFormat="1" ht="15" customHeight="1" x14ac:dyDescent="0.25"/>
    <row r="358" customFormat="1" ht="15" customHeight="1" x14ac:dyDescent="0.25"/>
    <row r="359" customFormat="1" ht="15" customHeight="1" x14ac:dyDescent="0.25"/>
    <row r="360" customFormat="1" ht="15" customHeight="1" x14ac:dyDescent="0.25"/>
    <row r="361" customFormat="1" ht="15" customHeight="1" x14ac:dyDescent="0.25"/>
    <row r="362" customFormat="1" ht="15" customHeight="1" x14ac:dyDescent="0.25"/>
    <row r="363" customFormat="1" ht="15" customHeight="1" x14ac:dyDescent="0.25"/>
    <row r="364" customFormat="1" ht="15" customHeight="1" x14ac:dyDescent="0.25"/>
    <row r="365" customFormat="1" ht="15" customHeight="1" x14ac:dyDescent="0.25"/>
    <row r="366" customFormat="1" ht="15" customHeight="1" x14ac:dyDescent="0.25"/>
    <row r="367" customFormat="1" ht="15" customHeight="1" x14ac:dyDescent="0.25"/>
    <row r="368" customFormat="1" ht="15" customHeight="1" x14ac:dyDescent="0.25"/>
    <row r="369" customFormat="1" ht="15" customHeight="1" x14ac:dyDescent="0.25"/>
    <row r="370" customFormat="1" ht="15" customHeight="1" x14ac:dyDescent="0.25"/>
    <row r="371" customFormat="1" ht="15" customHeight="1" x14ac:dyDescent="0.25"/>
    <row r="372" customFormat="1" ht="15" customHeight="1" x14ac:dyDescent="0.25"/>
    <row r="373" customFormat="1" ht="15" customHeight="1" x14ac:dyDescent="0.25"/>
    <row r="374" customFormat="1" ht="15" customHeight="1" x14ac:dyDescent="0.25"/>
    <row r="375" customFormat="1" ht="15" customHeight="1" x14ac:dyDescent="0.25"/>
    <row r="376" customFormat="1" ht="15" customHeight="1" x14ac:dyDescent="0.25"/>
    <row r="377" customFormat="1" ht="15" customHeight="1" x14ac:dyDescent="0.25"/>
    <row r="378" customFormat="1" ht="15" customHeight="1" x14ac:dyDescent="0.25"/>
    <row r="379" customFormat="1" ht="15" customHeight="1" x14ac:dyDescent="0.25"/>
    <row r="380" customFormat="1" ht="15" customHeight="1" x14ac:dyDescent="0.25"/>
    <row r="381" customFormat="1" ht="15" customHeight="1" x14ac:dyDescent="0.25"/>
    <row r="382" customFormat="1" ht="15" customHeight="1" x14ac:dyDescent="0.25"/>
    <row r="383" customFormat="1" ht="15" customHeight="1" x14ac:dyDescent="0.25"/>
    <row r="384" customFormat="1" ht="15" customHeight="1" x14ac:dyDescent="0.25"/>
    <row r="385" customFormat="1" ht="15" customHeight="1" x14ac:dyDescent="0.25"/>
    <row r="386" customFormat="1" ht="15" customHeight="1" x14ac:dyDescent="0.25"/>
    <row r="387" customFormat="1" ht="15" customHeight="1" x14ac:dyDescent="0.25"/>
    <row r="388" customFormat="1" ht="15" customHeight="1" x14ac:dyDescent="0.25"/>
    <row r="389" customFormat="1" ht="15" customHeight="1" x14ac:dyDescent="0.25"/>
    <row r="390" customFormat="1" ht="15" customHeight="1" x14ac:dyDescent="0.25"/>
    <row r="391" customFormat="1" ht="15" customHeight="1" x14ac:dyDescent="0.25"/>
    <row r="392" customFormat="1" ht="15" customHeight="1" x14ac:dyDescent="0.25"/>
    <row r="393" customFormat="1" ht="15" customHeight="1" x14ac:dyDescent="0.25"/>
    <row r="394" customFormat="1" ht="15" customHeight="1" x14ac:dyDescent="0.25"/>
    <row r="395" customFormat="1" ht="15" customHeight="1" x14ac:dyDescent="0.25"/>
    <row r="396" customFormat="1" ht="15" customHeight="1" x14ac:dyDescent="0.25"/>
    <row r="397" customFormat="1" ht="15" customHeight="1" x14ac:dyDescent="0.25"/>
    <row r="398" customFormat="1" ht="15" customHeight="1" x14ac:dyDescent="0.25"/>
    <row r="399" customFormat="1" ht="15" customHeight="1" x14ac:dyDescent="0.25"/>
    <row r="400" customFormat="1" ht="15" customHeight="1" x14ac:dyDescent="0.25"/>
    <row r="401" customFormat="1" ht="15" customHeight="1" x14ac:dyDescent="0.25"/>
    <row r="402" customFormat="1" ht="15" customHeight="1" x14ac:dyDescent="0.25"/>
    <row r="403" customFormat="1" ht="15" customHeight="1" x14ac:dyDescent="0.25"/>
    <row r="404" customFormat="1" ht="15" customHeight="1" x14ac:dyDescent="0.25"/>
    <row r="405" customFormat="1" ht="15" customHeight="1" x14ac:dyDescent="0.25"/>
    <row r="406" customFormat="1" ht="15" customHeight="1" x14ac:dyDescent="0.25"/>
    <row r="407" customFormat="1" ht="15" customHeight="1" x14ac:dyDescent="0.25"/>
    <row r="408" customFormat="1" ht="15" customHeight="1" x14ac:dyDescent="0.25"/>
    <row r="409" customFormat="1" ht="15" customHeight="1" x14ac:dyDescent="0.25"/>
    <row r="410" customFormat="1" ht="15" customHeight="1" x14ac:dyDescent="0.25"/>
    <row r="411" customFormat="1" ht="15" customHeight="1" x14ac:dyDescent="0.25"/>
    <row r="412" customFormat="1" ht="15" customHeight="1" x14ac:dyDescent="0.25"/>
    <row r="413" customFormat="1" ht="15" customHeight="1" x14ac:dyDescent="0.25"/>
    <row r="414" customFormat="1" ht="15" customHeight="1" x14ac:dyDescent="0.25"/>
    <row r="415" customFormat="1" ht="15" customHeight="1" x14ac:dyDescent="0.25"/>
    <row r="416" customFormat="1" ht="15" customHeight="1" x14ac:dyDescent="0.25"/>
    <row r="417" customFormat="1" ht="15" customHeight="1" x14ac:dyDescent="0.25"/>
    <row r="418" customFormat="1" ht="15" customHeight="1" x14ac:dyDescent="0.25"/>
    <row r="419" customFormat="1" ht="15" customHeight="1" x14ac:dyDescent="0.25"/>
    <row r="420" customFormat="1" ht="15" customHeight="1" x14ac:dyDescent="0.25"/>
    <row r="421" customFormat="1" ht="15" customHeight="1" x14ac:dyDescent="0.25"/>
    <row r="422" customFormat="1" ht="15" customHeight="1" x14ac:dyDescent="0.25"/>
    <row r="423" customFormat="1" ht="15" customHeight="1" x14ac:dyDescent="0.25"/>
    <row r="424" customFormat="1" ht="15" customHeight="1" x14ac:dyDescent="0.25"/>
    <row r="425" customFormat="1" ht="15" customHeight="1" x14ac:dyDescent="0.25"/>
    <row r="426" customFormat="1" ht="15" customHeight="1" x14ac:dyDescent="0.25"/>
    <row r="427" customFormat="1" ht="15" customHeight="1" x14ac:dyDescent="0.25"/>
    <row r="428" customFormat="1" ht="15" customHeight="1" x14ac:dyDescent="0.25"/>
    <row r="429" customFormat="1" ht="15" customHeight="1" x14ac:dyDescent="0.25"/>
    <row r="430" customFormat="1" ht="15" customHeight="1" x14ac:dyDescent="0.25"/>
    <row r="431" customFormat="1" ht="15" customHeight="1" x14ac:dyDescent="0.25"/>
    <row r="432" customFormat="1" ht="15" customHeight="1" x14ac:dyDescent="0.25"/>
    <row r="433" customFormat="1" ht="15" customHeight="1" x14ac:dyDescent="0.25"/>
    <row r="434" customFormat="1" ht="15" customHeight="1" x14ac:dyDescent="0.25"/>
    <row r="435" customFormat="1" ht="15" customHeight="1" x14ac:dyDescent="0.25"/>
    <row r="436" customFormat="1" ht="15" customHeight="1" x14ac:dyDescent="0.25"/>
    <row r="437" customFormat="1" ht="15" customHeight="1" x14ac:dyDescent="0.25"/>
    <row r="438" customFormat="1" ht="15" customHeight="1" x14ac:dyDescent="0.25"/>
    <row r="439" customFormat="1" ht="15" customHeight="1" x14ac:dyDescent="0.25"/>
    <row r="440" customFormat="1" ht="15" customHeight="1" x14ac:dyDescent="0.25"/>
    <row r="441" customFormat="1" ht="15" customHeight="1" x14ac:dyDescent="0.25"/>
    <row r="442" customFormat="1" ht="15" customHeight="1" x14ac:dyDescent="0.25"/>
    <row r="443" customFormat="1" ht="15" customHeight="1" x14ac:dyDescent="0.25"/>
    <row r="444" customFormat="1" ht="15" customHeight="1" x14ac:dyDescent="0.25"/>
    <row r="445" customFormat="1" ht="15" customHeight="1" x14ac:dyDescent="0.25"/>
    <row r="446" customFormat="1" ht="15" customHeight="1" x14ac:dyDescent="0.25"/>
    <row r="447" customFormat="1" ht="15" customHeight="1" x14ac:dyDescent="0.25"/>
    <row r="448" customFormat="1" ht="15" customHeight="1" x14ac:dyDescent="0.25"/>
    <row r="449" customFormat="1" ht="15" customHeight="1" x14ac:dyDescent="0.25"/>
    <row r="450" customFormat="1" ht="15" customHeight="1" x14ac:dyDescent="0.25"/>
    <row r="451" customFormat="1" ht="15" customHeight="1" x14ac:dyDescent="0.25"/>
    <row r="452" customFormat="1" ht="15" customHeight="1" x14ac:dyDescent="0.25"/>
    <row r="453" customFormat="1" ht="15" customHeight="1" x14ac:dyDescent="0.25"/>
    <row r="454" customFormat="1" ht="15" customHeight="1" x14ac:dyDescent="0.25"/>
    <row r="455" customFormat="1" ht="15" customHeight="1" x14ac:dyDescent="0.25"/>
    <row r="456" customFormat="1" ht="15" customHeight="1" x14ac:dyDescent="0.25"/>
    <row r="457" customFormat="1" ht="15" customHeight="1" x14ac:dyDescent="0.25"/>
    <row r="458" customFormat="1" ht="15" customHeight="1" x14ac:dyDescent="0.25"/>
    <row r="459" customFormat="1" ht="15" customHeight="1" x14ac:dyDescent="0.25"/>
    <row r="460" customFormat="1" ht="15" customHeight="1" x14ac:dyDescent="0.25"/>
    <row r="461" customFormat="1" ht="15" customHeight="1" x14ac:dyDescent="0.25"/>
    <row r="462" customFormat="1" ht="15" customHeight="1" x14ac:dyDescent="0.25"/>
    <row r="463" customFormat="1" ht="15" customHeight="1" x14ac:dyDescent="0.25"/>
    <row r="464" customFormat="1" ht="15" customHeight="1" x14ac:dyDescent="0.25"/>
    <row r="465" customFormat="1" ht="15" customHeight="1" x14ac:dyDescent="0.25"/>
    <row r="466" customFormat="1" ht="15" customHeight="1" x14ac:dyDescent="0.25"/>
    <row r="467" customFormat="1" ht="15" customHeight="1" x14ac:dyDescent="0.25"/>
    <row r="468" customFormat="1" ht="15" customHeight="1" x14ac:dyDescent="0.25"/>
    <row r="469" customFormat="1" ht="15" customHeight="1" x14ac:dyDescent="0.25"/>
    <row r="470" customFormat="1" ht="15" customHeight="1" x14ac:dyDescent="0.25"/>
    <row r="471" customFormat="1" ht="15" customHeight="1" x14ac:dyDescent="0.25"/>
    <row r="472" customFormat="1" ht="15" customHeight="1" x14ac:dyDescent="0.25"/>
    <row r="473" customFormat="1" ht="15" customHeight="1" x14ac:dyDescent="0.25"/>
    <row r="474" customFormat="1" ht="15" customHeight="1" x14ac:dyDescent="0.25"/>
    <row r="475" customFormat="1" ht="15" customHeight="1" x14ac:dyDescent="0.25"/>
    <row r="476" customFormat="1" ht="15" customHeight="1" x14ac:dyDescent="0.25"/>
    <row r="477" customFormat="1" ht="15" customHeight="1" x14ac:dyDescent="0.25"/>
    <row r="478" customFormat="1" ht="15" customHeight="1" x14ac:dyDescent="0.25"/>
    <row r="479" customFormat="1" ht="15" customHeight="1" x14ac:dyDescent="0.25"/>
    <row r="480" customFormat="1" ht="15" customHeight="1" x14ac:dyDescent="0.25"/>
    <row r="481" customFormat="1" ht="15" customHeight="1" x14ac:dyDescent="0.25"/>
    <row r="482" customFormat="1" ht="15" customHeight="1" x14ac:dyDescent="0.25"/>
    <row r="483" customFormat="1" ht="15" customHeight="1" x14ac:dyDescent="0.25"/>
    <row r="484" customFormat="1" ht="15" customHeight="1" x14ac:dyDescent="0.25"/>
    <row r="485" customFormat="1" ht="15" customHeight="1" x14ac:dyDescent="0.25"/>
    <row r="486" customFormat="1" ht="15" customHeight="1" x14ac:dyDescent="0.25"/>
    <row r="487" customFormat="1" ht="15" customHeight="1" x14ac:dyDescent="0.25"/>
    <row r="488" customFormat="1" ht="15" customHeight="1" x14ac:dyDescent="0.25"/>
    <row r="489" customFormat="1" ht="15" customHeight="1" x14ac:dyDescent="0.25"/>
    <row r="490" customFormat="1" ht="15" customHeight="1" x14ac:dyDescent="0.25"/>
    <row r="491" customFormat="1" ht="15" customHeight="1" x14ac:dyDescent="0.25"/>
    <row r="492" customFormat="1" ht="15" customHeight="1" x14ac:dyDescent="0.25"/>
    <row r="493" customFormat="1" ht="15" customHeight="1" x14ac:dyDescent="0.25"/>
    <row r="494" customFormat="1" ht="15" customHeight="1" x14ac:dyDescent="0.25"/>
    <row r="495" customFormat="1" ht="15" customHeight="1" x14ac:dyDescent="0.25"/>
    <row r="496" customFormat="1" ht="15" customHeight="1" x14ac:dyDescent="0.25"/>
    <row r="497" customFormat="1" ht="15" customHeight="1" x14ac:dyDescent="0.25"/>
    <row r="498" customFormat="1" ht="15" customHeight="1" x14ac:dyDescent="0.25"/>
    <row r="499" customFormat="1" ht="15" customHeight="1" x14ac:dyDescent="0.25"/>
    <row r="500" customFormat="1" ht="15" customHeight="1" x14ac:dyDescent="0.25"/>
    <row r="501" customFormat="1" ht="15" customHeight="1" x14ac:dyDescent="0.25"/>
    <row r="502" customFormat="1" ht="15" customHeight="1" x14ac:dyDescent="0.25"/>
    <row r="503" customFormat="1" ht="15" customHeight="1" x14ac:dyDescent="0.25"/>
    <row r="504" customFormat="1" ht="15" customHeight="1" x14ac:dyDescent="0.25"/>
    <row r="505" customFormat="1" ht="15" customHeight="1" x14ac:dyDescent="0.25"/>
    <row r="506" customFormat="1" ht="15" customHeight="1" x14ac:dyDescent="0.25"/>
    <row r="507" customFormat="1" ht="15" customHeight="1" x14ac:dyDescent="0.25"/>
    <row r="508" customFormat="1" ht="15" customHeight="1" x14ac:dyDescent="0.25"/>
    <row r="509" customFormat="1" ht="15" customHeight="1" x14ac:dyDescent="0.25"/>
    <row r="510" customFormat="1" ht="15" customHeight="1" x14ac:dyDescent="0.25"/>
    <row r="511" customFormat="1" ht="15" customHeight="1" x14ac:dyDescent="0.25"/>
    <row r="512" customFormat="1" ht="15" customHeight="1" x14ac:dyDescent="0.25"/>
    <row r="513" customFormat="1" ht="15" customHeight="1" x14ac:dyDescent="0.25"/>
    <row r="514" customFormat="1" ht="15" customHeight="1" x14ac:dyDescent="0.25"/>
    <row r="515" customFormat="1" ht="15" customHeight="1" x14ac:dyDescent="0.25"/>
    <row r="516" customFormat="1" ht="15" customHeight="1" x14ac:dyDescent="0.25"/>
    <row r="517" customFormat="1" ht="15" customHeight="1" x14ac:dyDescent="0.25"/>
    <row r="518" customFormat="1" ht="15" customHeight="1" x14ac:dyDescent="0.25"/>
    <row r="519" customFormat="1" ht="15" customHeight="1" x14ac:dyDescent="0.25"/>
    <row r="520" customFormat="1" ht="15" customHeight="1" x14ac:dyDescent="0.25"/>
    <row r="521" customFormat="1" ht="15" customHeight="1" x14ac:dyDescent="0.25"/>
    <row r="522" customFormat="1" ht="15" customHeight="1" x14ac:dyDescent="0.25"/>
    <row r="523" customFormat="1" ht="15" customHeight="1" x14ac:dyDescent="0.25"/>
    <row r="524" customFormat="1" ht="15" customHeight="1" x14ac:dyDescent="0.25"/>
    <row r="525" customFormat="1" ht="15" customHeight="1" x14ac:dyDescent="0.25"/>
    <row r="526" customFormat="1" ht="15" customHeight="1" x14ac:dyDescent="0.25"/>
    <row r="527" customFormat="1" ht="15" customHeight="1" x14ac:dyDescent="0.25"/>
    <row r="528" customFormat="1" ht="15" customHeight="1" x14ac:dyDescent="0.25"/>
    <row r="529" customFormat="1" ht="15" customHeight="1" x14ac:dyDescent="0.25"/>
    <row r="530" customFormat="1" ht="15" customHeight="1" x14ac:dyDescent="0.25"/>
    <row r="531" customFormat="1" ht="15" customHeight="1" x14ac:dyDescent="0.25"/>
    <row r="532" customFormat="1" ht="15" customHeight="1" x14ac:dyDescent="0.25"/>
    <row r="533" customFormat="1" ht="15" customHeight="1" x14ac:dyDescent="0.25"/>
    <row r="534" customFormat="1" ht="15" customHeight="1" x14ac:dyDescent="0.25"/>
    <row r="535" customFormat="1" ht="15" customHeight="1" x14ac:dyDescent="0.25"/>
    <row r="536" customFormat="1" ht="15" customHeight="1" x14ac:dyDescent="0.25"/>
    <row r="537" customFormat="1" ht="15" customHeight="1" x14ac:dyDescent="0.25"/>
    <row r="538" customFormat="1" ht="15" customHeight="1" x14ac:dyDescent="0.25"/>
    <row r="539" customFormat="1" ht="15" customHeight="1" x14ac:dyDescent="0.25"/>
    <row r="540" customFormat="1" ht="15" customHeight="1" x14ac:dyDescent="0.25"/>
    <row r="541" customFormat="1" ht="15" customHeight="1" x14ac:dyDescent="0.25"/>
    <row r="542" customFormat="1" ht="15" customHeight="1" x14ac:dyDescent="0.25"/>
    <row r="543" customFormat="1" ht="15" customHeight="1" x14ac:dyDescent="0.25"/>
    <row r="544" customFormat="1" ht="15" customHeight="1" x14ac:dyDescent="0.25"/>
    <row r="545" customFormat="1" ht="15" customHeight="1" x14ac:dyDescent="0.25"/>
    <row r="546" customFormat="1" ht="15" customHeight="1" x14ac:dyDescent="0.25"/>
    <row r="547" customFormat="1" ht="15" customHeight="1" x14ac:dyDescent="0.25"/>
    <row r="548" customFormat="1" ht="15" customHeight="1" x14ac:dyDescent="0.25"/>
    <row r="549" customFormat="1" ht="15" customHeight="1" x14ac:dyDescent="0.25"/>
    <row r="550" customFormat="1" ht="15" customHeight="1" x14ac:dyDescent="0.25"/>
    <row r="551" customFormat="1" ht="15" customHeight="1" x14ac:dyDescent="0.25"/>
    <row r="552" customFormat="1" ht="15" customHeight="1" x14ac:dyDescent="0.25"/>
    <row r="553" customFormat="1" ht="15" customHeight="1" x14ac:dyDescent="0.25"/>
    <row r="554" customFormat="1" ht="15" customHeight="1" x14ac:dyDescent="0.25"/>
    <row r="555" customFormat="1" ht="15" customHeight="1" x14ac:dyDescent="0.25"/>
    <row r="556" customFormat="1" ht="15" customHeight="1" x14ac:dyDescent="0.25"/>
    <row r="557" customFormat="1" ht="15" customHeight="1" x14ac:dyDescent="0.25"/>
    <row r="558" customFormat="1" ht="15" customHeight="1" x14ac:dyDescent="0.25"/>
    <row r="559" customFormat="1" ht="15" customHeight="1" x14ac:dyDescent="0.25"/>
    <row r="560" customFormat="1" ht="15" customHeight="1" x14ac:dyDescent="0.25"/>
    <row r="561" customFormat="1" ht="15" customHeight="1" x14ac:dyDescent="0.25"/>
    <row r="562" customFormat="1" ht="15" customHeight="1" x14ac:dyDescent="0.25"/>
    <row r="563" customFormat="1" ht="15" customHeight="1" x14ac:dyDescent="0.25"/>
    <row r="564" customFormat="1" ht="15" customHeight="1" x14ac:dyDescent="0.25"/>
    <row r="565" customFormat="1" ht="15" customHeight="1" x14ac:dyDescent="0.25"/>
    <row r="566" customFormat="1" ht="15" customHeight="1" x14ac:dyDescent="0.25"/>
    <row r="567" customFormat="1" ht="15" customHeight="1" x14ac:dyDescent="0.25"/>
    <row r="568" customFormat="1" ht="15" customHeight="1" x14ac:dyDescent="0.25"/>
    <row r="569" customFormat="1" ht="15" customHeight="1" x14ac:dyDescent="0.25"/>
    <row r="570" customFormat="1" ht="15" customHeight="1" x14ac:dyDescent="0.25"/>
    <row r="571" customFormat="1" ht="15" customHeight="1" x14ac:dyDescent="0.25"/>
    <row r="572" customFormat="1" ht="15" customHeight="1" x14ac:dyDescent="0.25"/>
    <row r="573" customFormat="1" ht="15" customHeight="1" x14ac:dyDescent="0.25"/>
    <row r="574" customFormat="1" ht="15" customHeight="1" x14ac:dyDescent="0.25"/>
    <row r="575" customFormat="1" ht="15" customHeight="1" x14ac:dyDescent="0.25"/>
    <row r="576" customFormat="1" ht="15" customHeight="1" x14ac:dyDescent="0.25"/>
    <row r="577" customFormat="1" ht="15" customHeight="1" x14ac:dyDescent="0.25"/>
    <row r="578" customFormat="1" ht="15" customHeight="1" x14ac:dyDescent="0.25"/>
    <row r="579" customFormat="1" ht="15" customHeight="1" x14ac:dyDescent="0.25"/>
    <row r="580" customFormat="1" ht="15" customHeight="1" x14ac:dyDescent="0.25"/>
    <row r="581" customFormat="1" ht="15" customHeight="1" x14ac:dyDescent="0.25"/>
    <row r="582" customFormat="1" ht="15" customHeight="1" x14ac:dyDescent="0.25"/>
    <row r="583" customFormat="1" ht="15" customHeight="1" x14ac:dyDescent="0.25"/>
    <row r="584" customFormat="1" ht="15" customHeight="1" x14ac:dyDescent="0.25"/>
    <row r="585" customFormat="1" ht="15" customHeight="1" x14ac:dyDescent="0.25"/>
    <row r="586" customFormat="1" ht="15" customHeight="1" x14ac:dyDescent="0.25"/>
    <row r="587" customFormat="1" ht="15" customHeight="1" x14ac:dyDescent="0.25"/>
    <row r="588" customFormat="1" ht="15" customHeight="1" x14ac:dyDescent="0.25"/>
    <row r="589" customFormat="1" ht="15" customHeight="1" x14ac:dyDescent="0.25"/>
    <row r="590" customFormat="1" ht="15" customHeight="1" x14ac:dyDescent="0.25"/>
    <row r="591" customFormat="1" ht="15" customHeight="1" x14ac:dyDescent="0.25"/>
    <row r="592" customFormat="1" ht="15" customHeight="1" x14ac:dyDescent="0.25"/>
    <row r="593" customFormat="1" ht="15" customHeight="1" x14ac:dyDescent="0.25"/>
    <row r="594" customFormat="1" ht="15" customHeight="1" x14ac:dyDescent="0.25"/>
    <row r="595" customFormat="1" ht="15" customHeight="1" x14ac:dyDescent="0.25"/>
    <row r="596" customFormat="1" ht="15" customHeight="1" x14ac:dyDescent="0.25"/>
    <row r="597" customFormat="1" ht="15" customHeight="1" x14ac:dyDescent="0.25"/>
    <row r="598" customFormat="1" ht="15" customHeight="1" x14ac:dyDescent="0.25"/>
    <row r="599" customFormat="1" ht="15" customHeight="1" x14ac:dyDescent="0.25"/>
    <row r="600" customFormat="1" ht="15" customHeight="1" x14ac:dyDescent="0.25"/>
    <row r="601" customFormat="1" ht="15" customHeight="1" x14ac:dyDescent="0.25"/>
    <row r="602" customFormat="1" ht="15" customHeight="1" x14ac:dyDescent="0.25"/>
    <row r="603" customFormat="1" ht="15" customHeight="1" x14ac:dyDescent="0.25"/>
    <row r="604" customFormat="1" ht="15" customHeight="1" x14ac:dyDescent="0.25"/>
    <row r="605" customFormat="1" ht="15" customHeight="1" x14ac:dyDescent="0.25"/>
    <row r="606" customFormat="1" ht="15" customHeight="1" x14ac:dyDescent="0.25"/>
    <row r="607" customFormat="1" ht="15" customHeight="1" x14ac:dyDescent="0.25"/>
    <row r="608" customFormat="1" ht="15" customHeight="1" x14ac:dyDescent="0.25"/>
    <row r="609" customFormat="1" ht="15" customHeight="1" x14ac:dyDescent="0.25"/>
    <row r="610" customFormat="1" ht="15" customHeight="1" x14ac:dyDescent="0.25"/>
    <row r="611" customFormat="1" ht="15" customHeight="1" x14ac:dyDescent="0.25"/>
    <row r="612" customFormat="1" ht="15" customHeight="1" x14ac:dyDescent="0.25"/>
    <row r="613" customFormat="1" ht="15" customHeight="1" x14ac:dyDescent="0.25"/>
    <row r="614" customFormat="1" ht="15" customHeight="1" x14ac:dyDescent="0.25"/>
    <row r="615" customFormat="1" ht="15" customHeight="1" x14ac:dyDescent="0.25"/>
    <row r="616" customFormat="1" ht="15" customHeight="1" x14ac:dyDescent="0.25"/>
    <row r="617" customFormat="1" ht="15" customHeight="1" x14ac:dyDescent="0.25"/>
    <row r="618" customFormat="1" ht="15" customHeight="1" x14ac:dyDescent="0.25"/>
    <row r="619" customFormat="1" ht="15" customHeight="1" x14ac:dyDescent="0.25"/>
    <row r="620" customFormat="1" ht="15" customHeight="1" x14ac:dyDescent="0.25"/>
    <row r="621" customFormat="1" ht="15" customHeight="1" x14ac:dyDescent="0.25"/>
    <row r="622" customFormat="1" ht="15" customHeight="1" x14ac:dyDescent="0.25"/>
    <row r="623" customFormat="1" ht="15" customHeight="1" x14ac:dyDescent="0.25"/>
    <row r="624" customFormat="1" ht="15" customHeight="1" x14ac:dyDescent="0.25"/>
    <row r="625" customFormat="1" ht="15" customHeight="1" x14ac:dyDescent="0.25"/>
    <row r="626" customFormat="1" ht="15" customHeight="1" x14ac:dyDescent="0.25"/>
    <row r="627" customFormat="1" ht="15" customHeight="1" x14ac:dyDescent="0.25"/>
    <row r="628" customFormat="1" ht="15" customHeight="1" x14ac:dyDescent="0.25"/>
    <row r="629" customFormat="1" ht="15" customHeight="1" x14ac:dyDescent="0.25"/>
    <row r="630" customFormat="1" ht="15" customHeight="1" x14ac:dyDescent="0.25"/>
    <row r="631" customFormat="1" ht="15" customHeight="1" x14ac:dyDescent="0.25"/>
    <row r="632" customFormat="1" ht="15" customHeight="1" x14ac:dyDescent="0.25"/>
    <row r="633" customFormat="1" ht="15" customHeight="1" x14ac:dyDescent="0.25"/>
    <row r="634" customFormat="1" ht="15" customHeight="1" x14ac:dyDescent="0.25"/>
    <row r="635" customFormat="1" ht="15" customHeight="1" x14ac:dyDescent="0.25"/>
    <row r="636" customFormat="1" ht="15" customHeight="1" x14ac:dyDescent="0.25"/>
    <row r="637" customFormat="1" ht="15" customHeight="1" x14ac:dyDescent="0.25"/>
    <row r="638" customFormat="1" ht="15" customHeight="1" x14ac:dyDescent="0.25"/>
    <row r="639" customFormat="1" ht="15" customHeight="1" x14ac:dyDescent="0.25"/>
    <row r="640" customFormat="1" ht="15" customHeight="1" x14ac:dyDescent="0.25"/>
    <row r="641" customFormat="1" ht="15" customHeight="1" x14ac:dyDescent="0.25"/>
    <row r="642" customFormat="1" ht="15" customHeight="1" x14ac:dyDescent="0.25"/>
    <row r="643" customFormat="1" ht="15" customHeight="1" x14ac:dyDescent="0.25"/>
    <row r="644" customFormat="1" ht="15" customHeight="1" x14ac:dyDescent="0.25"/>
    <row r="645" customFormat="1" ht="15" customHeight="1" x14ac:dyDescent="0.25"/>
    <row r="646" customFormat="1" ht="15" customHeight="1" x14ac:dyDescent="0.25"/>
    <row r="647" customFormat="1" ht="15" customHeight="1" x14ac:dyDescent="0.25"/>
    <row r="648" customFormat="1" ht="15" customHeight="1" x14ac:dyDescent="0.25"/>
    <row r="649" customFormat="1" ht="15" customHeight="1" x14ac:dyDescent="0.25"/>
    <row r="650" customFormat="1" ht="15" customHeight="1" x14ac:dyDescent="0.25"/>
    <row r="651" customFormat="1" ht="15" customHeight="1" x14ac:dyDescent="0.25"/>
    <row r="652" customFormat="1" ht="15" customHeight="1" x14ac:dyDescent="0.25"/>
    <row r="653" customFormat="1" ht="15" customHeight="1" x14ac:dyDescent="0.25"/>
    <row r="654" customFormat="1" ht="15" customHeight="1" x14ac:dyDescent="0.25"/>
    <row r="655" customFormat="1" ht="15" customHeight="1" x14ac:dyDescent="0.25"/>
    <row r="656" customFormat="1" ht="15" customHeight="1" x14ac:dyDescent="0.25"/>
    <row r="657" customFormat="1" ht="15" customHeight="1" x14ac:dyDescent="0.25"/>
    <row r="658" customFormat="1" ht="15" customHeight="1" x14ac:dyDescent="0.25"/>
    <row r="659" customFormat="1" ht="15" customHeight="1" x14ac:dyDescent="0.25"/>
    <row r="660" customFormat="1" ht="15" customHeight="1" x14ac:dyDescent="0.25"/>
    <row r="661" customFormat="1" ht="15" customHeight="1" x14ac:dyDescent="0.25"/>
    <row r="662" customFormat="1" ht="15" customHeight="1" x14ac:dyDescent="0.25"/>
    <row r="663" customFormat="1" ht="15" customHeight="1" x14ac:dyDescent="0.25"/>
    <row r="664" customFormat="1" ht="15" customHeight="1" x14ac:dyDescent="0.25"/>
    <row r="665" customFormat="1" ht="15" customHeight="1" x14ac:dyDescent="0.25"/>
    <row r="666" customFormat="1" ht="15" customHeight="1" x14ac:dyDescent="0.25"/>
    <row r="667" customFormat="1" ht="15" customHeight="1" x14ac:dyDescent="0.25"/>
    <row r="668" customFormat="1" ht="15" customHeight="1" x14ac:dyDescent="0.25"/>
    <row r="669" customFormat="1" ht="15" customHeight="1" x14ac:dyDescent="0.25"/>
    <row r="670" customFormat="1" ht="15" customHeight="1" x14ac:dyDescent="0.25"/>
    <row r="671" customFormat="1" ht="15" customHeight="1" x14ac:dyDescent="0.25"/>
    <row r="672" customFormat="1" ht="15" customHeight="1" x14ac:dyDescent="0.25"/>
    <row r="673" customFormat="1" ht="15" customHeight="1" x14ac:dyDescent="0.25"/>
    <row r="674" customFormat="1" ht="15" customHeight="1" x14ac:dyDescent="0.25"/>
    <row r="675" customFormat="1" ht="15" customHeight="1" x14ac:dyDescent="0.25"/>
    <row r="676" customFormat="1" ht="15" customHeight="1" x14ac:dyDescent="0.25"/>
    <row r="677" customFormat="1" ht="15" customHeight="1" x14ac:dyDescent="0.25"/>
    <row r="678" customFormat="1" ht="15" customHeight="1" x14ac:dyDescent="0.25"/>
    <row r="679" customFormat="1" ht="15" customHeight="1" x14ac:dyDescent="0.25"/>
    <row r="680" customFormat="1" ht="15" customHeight="1" x14ac:dyDescent="0.25"/>
    <row r="681" customFormat="1" ht="15" customHeight="1" x14ac:dyDescent="0.25"/>
    <row r="682" customFormat="1" ht="15" customHeight="1" x14ac:dyDescent="0.25"/>
    <row r="683" customFormat="1" ht="15" customHeight="1" x14ac:dyDescent="0.25"/>
    <row r="684" customFormat="1" ht="15" customHeight="1" x14ac:dyDescent="0.25"/>
    <row r="685" customFormat="1" ht="15" customHeight="1" x14ac:dyDescent="0.25"/>
    <row r="686" customFormat="1" ht="15" customHeight="1" x14ac:dyDescent="0.25"/>
    <row r="687" customFormat="1" ht="15" customHeight="1" x14ac:dyDescent="0.25"/>
    <row r="688" customFormat="1" ht="15" customHeight="1" x14ac:dyDescent="0.25"/>
    <row r="689" customFormat="1" ht="15" customHeight="1" x14ac:dyDescent="0.25"/>
    <row r="690" customFormat="1" ht="15" customHeight="1" x14ac:dyDescent="0.25"/>
    <row r="691" customFormat="1" ht="15" customHeight="1" x14ac:dyDescent="0.25"/>
    <row r="692" customFormat="1" ht="15" customHeight="1" x14ac:dyDescent="0.25"/>
    <row r="693" customFormat="1" ht="15" customHeight="1" x14ac:dyDescent="0.25"/>
    <row r="694" customFormat="1" ht="15" customHeight="1" x14ac:dyDescent="0.25"/>
    <row r="695" customFormat="1" ht="15" customHeight="1" x14ac:dyDescent="0.25"/>
    <row r="696" customFormat="1" ht="15" customHeight="1" x14ac:dyDescent="0.25"/>
    <row r="697" customFormat="1" ht="15" customHeight="1" x14ac:dyDescent="0.25"/>
    <row r="698" customFormat="1" ht="15" customHeight="1" x14ac:dyDescent="0.25"/>
    <row r="699" customFormat="1" ht="15" customHeight="1" x14ac:dyDescent="0.25"/>
    <row r="700" customFormat="1" ht="15" customHeight="1" x14ac:dyDescent="0.25"/>
    <row r="701" customFormat="1" ht="15" customHeight="1" x14ac:dyDescent="0.25"/>
    <row r="702" customFormat="1" ht="15" customHeight="1" x14ac:dyDescent="0.25"/>
    <row r="703" customFormat="1" ht="15" customHeight="1" x14ac:dyDescent="0.25"/>
    <row r="704" customFormat="1" ht="15" customHeight="1" x14ac:dyDescent="0.25"/>
    <row r="705" customFormat="1" ht="15" customHeight="1" x14ac:dyDescent="0.25"/>
    <row r="706" customFormat="1" ht="15" customHeight="1" x14ac:dyDescent="0.25"/>
    <row r="707" customFormat="1" ht="15" customHeight="1" x14ac:dyDescent="0.25"/>
    <row r="708" customFormat="1" ht="15" customHeight="1" x14ac:dyDescent="0.25"/>
    <row r="709" customFormat="1" ht="15" customHeight="1" x14ac:dyDescent="0.25"/>
    <row r="710" customFormat="1" ht="15" customHeight="1" x14ac:dyDescent="0.25"/>
    <row r="711" customFormat="1" ht="15" customHeight="1" x14ac:dyDescent="0.25"/>
    <row r="712" customFormat="1" ht="15" customHeight="1" x14ac:dyDescent="0.25"/>
    <row r="713" customFormat="1" ht="15" customHeight="1" x14ac:dyDescent="0.25"/>
    <row r="714" customFormat="1" ht="15" customHeight="1" x14ac:dyDescent="0.25"/>
    <row r="715" customFormat="1" ht="15" customHeight="1" x14ac:dyDescent="0.25"/>
    <row r="716" customFormat="1" ht="15" customHeight="1" x14ac:dyDescent="0.25"/>
    <row r="717" customFormat="1" ht="15" customHeight="1" x14ac:dyDescent="0.25"/>
    <row r="718" customFormat="1" ht="15" customHeight="1" x14ac:dyDescent="0.25"/>
    <row r="719" customFormat="1" ht="15" customHeight="1" x14ac:dyDescent="0.25"/>
    <row r="720" customFormat="1" ht="15" customHeight="1" x14ac:dyDescent="0.25"/>
    <row r="721" customFormat="1" ht="15" customHeight="1" x14ac:dyDescent="0.25"/>
    <row r="722" customFormat="1" ht="15" customHeight="1" x14ac:dyDescent="0.25"/>
    <row r="723" customFormat="1" ht="15" customHeight="1" x14ac:dyDescent="0.25"/>
    <row r="724" customFormat="1" ht="15" customHeight="1" x14ac:dyDescent="0.25"/>
    <row r="725" customFormat="1" ht="15" customHeight="1" x14ac:dyDescent="0.25"/>
    <row r="726" customFormat="1" ht="15" customHeight="1" x14ac:dyDescent="0.25"/>
    <row r="727" customFormat="1" ht="15" customHeight="1" x14ac:dyDescent="0.25"/>
    <row r="728" customFormat="1" ht="15" customHeight="1" x14ac:dyDescent="0.25"/>
    <row r="729" customFormat="1" ht="15" customHeight="1" x14ac:dyDescent="0.25"/>
    <row r="730" customFormat="1" ht="15" customHeight="1" x14ac:dyDescent="0.25"/>
    <row r="731" customFormat="1" ht="15" customHeight="1" x14ac:dyDescent="0.25"/>
    <row r="732" customFormat="1" ht="15" customHeight="1" x14ac:dyDescent="0.25"/>
    <row r="733" customFormat="1" ht="15" customHeight="1" x14ac:dyDescent="0.25"/>
    <row r="734" customFormat="1" ht="15" customHeight="1" x14ac:dyDescent="0.25"/>
    <row r="735" customFormat="1" ht="15" customHeight="1" x14ac:dyDescent="0.25"/>
    <row r="736" customFormat="1" ht="15" customHeight="1" x14ac:dyDescent="0.25"/>
    <row r="737" customFormat="1" ht="15" customHeight="1" x14ac:dyDescent="0.25"/>
    <row r="738" customFormat="1" ht="15" customHeight="1" x14ac:dyDescent="0.25"/>
    <row r="739" customFormat="1" ht="15" customHeight="1" x14ac:dyDescent="0.25"/>
    <row r="740" customFormat="1" ht="15" customHeight="1" x14ac:dyDescent="0.25"/>
    <row r="741" customFormat="1" ht="15" customHeight="1" x14ac:dyDescent="0.25"/>
    <row r="742" customFormat="1" ht="15" customHeight="1" x14ac:dyDescent="0.25"/>
    <row r="743" customFormat="1" ht="15" customHeight="1" x14ac:dyDescent="0.25"/>
    <row r="744" customFormat="1" ht="15" customHeight="1" x14ac:dyDescent="0.25"/>
    <row r="745" customFormat="1" ht="15" customHeight="1" x14ac:dyDescent="0.25"/>
    <row r="746" customFormat="1" ht="15" customHeight="1" x14ac:dyDescent="0.25"/>
    <row r="747" customFormat="1" ht="15" customHeight="1" x14ac:dyDescent="0.25"/>
    <row r="748" customFormat="1" ht="15" customHeight="1" x14ac:dyDescent="0.25"/>
    <row r="749" customFormat="1" ht="15" customHeight="1" x14ac:dyDescent="0.25"/>
    <row r="750" customFormat="1" ht="15" customHeight="1" x14ac:dyDescent="0.25"/>
    <row r="751" customFormat="1" ht="15" customHeight="1" x14ac:dyDescent="0.25"/>
    <row r="752" customFormat="1" ht="15" customHeight="1" x14ac:dyDescent="0.25"/>
    <row r="753" customFormat="1" ht="15" customHeight="1" x14ac:dyDescent="0.25"/>
    <row r="754" customFormat="1" ht="15" customHeight="1" x14ac:dyDescent="0.25"/>
    <row r="755" customFormat="1" ht="15" customHeight="1" x14ac:dyDescent="0.25"/>
    <row r="756" customFormat="1" ht="15" customHeight="1" x14ac:dyDescent="0.25"/>
    <row r="757" customFormat="1" ht="15" customHeight="1" x14ac:dyDescent="0.25"/>
    <row r="758" customFormat="1" ht="15" customHeight="1" x14ac:dyDescent="0.25"/>
    <row r="759" customFormat="1" ht="15" customHeight="1" x14ac:dyDescent="0.25"/>
    <row r="760" customFormat="1" ht="15" customHeight="1" x14ac:dyDescent="0.25"/>
    <row r="761" customFormat="1" ht="15" customHeight="1" x14ac:dyDescent="0.25"/>
    <row r="762" customFormat="1" ht="15" customHeight="1" x14ac:dyDescent="0.25"/>
    <row r="763" customFormat="1" ht="15" customHeight="1" x14ac:dyDescent="0.25"/>
    <row r="764" customFormat="1" ht="15" customHeight="1" x14ac:dyDescent="0.25"/>
    <row r="765" customFormat="1" ht="15" customHeight="1" x14ac:dyDescent="0.25"/>
    <row r="766" customFormat="1" ht="15" customHeight="1" x14ac:dyDescent="0.25"/>
    <row r="767" customFormat="1" ht="15" customHeight="1" x14ac:dyDescent="0.25"/>
    <row r="768" customFormat="1" ht="15" customHeight="1" x14ac:dyDescent="0.25"/>
    <row r="769" customFormat="1" ht="15" customHeight="1" x14ac:dyDescent="0.25"/>
    <row r="770" customFormat="1" ht="15" customHeight="1" x14ac:dyDescent="0.25"/>
    <row r="771" customFormat="1" ht="15" customHeight="1" x14ac:dyDescent="0.25"/>
    <row r="772" customFormat="1" ht="15" customHeight="1" x14ac:dyDescent="0.25"/>
    <row r="773" customFormat="1" ht="15" customHeight="1" x14ac:dyDescent="0.25"/>
    <row r="774" customFormat="1" ht="15" customHeight="1" x14ac:dyDescent="0.25"/>
    <row r="775" customFormat="1" ht="15" customHeight="1" x14ac:dyDescent="0.25"/>
    <row r="776" customFormat="1" ht="15" customHeight="1" x14ac:dyDescent="0.25"/>
    <row r="777" customFormat="1" ht="15" customHeight="1" x14ac:dyDescent="0.25"/>
    <row r="778" customFormat="1" ht="15" customHeight="1" x14ac:dyDescent="0.25"/>
    <row r="779" customFormat="1" ht="15" customHeight="1" x14ac:dyDescent="0.25"/>
    <row r="780" customFormat="1" ht="15" customHeight="1" x14ac:dyDescent="0.25"/>
    <row r="781" customFormat="1" ht="15" customHeight="1" x14ac:dyDescent="0.25"/>
    <row r="782" customFormat="1" ht="15" customHeight="1" x14ac:dyDescent="0.25"/>
    <row r="783" customFormat="1" ht="15" customHeight="1" x14ac:dyDescent="0.25"/>
    <row r="784" customFormat="1" ht="15" customHeight="1" x14ac:dyDescent="0.25"/>
    <row r="785" customFormat="1" ht="15" customHeight="1" x14ac:dyDescent="0.25"/>
    <row r="786" customFormat="1" ht="15" customHeight="1" x14ac:dyDescent="0.25"/>
    <row r="787" customFormat="1" ht="15" customHeight="1" x14ac:dyDescent="0.25"/>
    <row r="788" customFormat="1" ht="15" customHeight="1" x14ac:dyDescent="0.25"/>
    <row r="789" customFormat="1" ht="15" customHeight="1" x14ac:dyDescent="0.25"/>
    <row r="790" customFormat="1" ht="15" customHeight="1" x14ac:dyDescent="0.25"/>
    <row r="791" customFormat="1" ht="15" customHeight="1" x14ac:dyDescent="0.25"/>
    <row r="792" customFormat="1" ht="15" customHeight="1" x14ac:dyDescent="0.25"/>
    <row r="793" customFormat="1" ht="15" customHeight="1" x14ac:dyDescent="0.25"/>
    <row r="794" customFormat="1" ht="15" customHeight="1" x14ac:dyDescent="0.25"/>
    <row r="795" customFormat="1" ht="15" customHeight="1" x14ac:dyDescent="0.25"/>
    <row r="796" customFormat="1" ht="15" customHeight="1" x14ac:dyDescent="0.25"/>
    <row r="797" customFormat="1" ht="15" customHeight="1" x14ac:dyDescent="0.25"/>
    <row r="798" customFormat="1" ht="15" customHeight="1" x14ac:dyDescent="0.25"/>
    <row r="799" customFormat="1" ht="15" customHeight="1" x14ac:dyDescent="0.25"/>
    <row r="800" customFormat="1" ht="15" customHeight="1" x14ac:dyDescent="0.25"/>
    <row r="801" customFormat="1" ht="15" customHeight="1" x14ac:dyDescent="0.25"/>
    <row r="802" customFormat="1" ht="15" customHeight="1" x14ac:dyDescent="0.25"/>
    <row r="803" customFormat="1" ht="15" customHeight="1" x14ac:dyDescent="0.25"/>
    <row r="804" customFormat="1" ht="15" customHeight="1" x14ac:dyDescent="0.25"/>
    <row r="805" customFormat="1" ht="15" customHeight="1" x14ac:dyDescent="0.25"/>
    <row r="806" customFormat="1" ht="15" customHeight="1" x14ac:dyDescent="0.25"/>
    <row r="807" customFormat="1" ht="15" customHeight="1" x14ac:dyDescent="0.25"/>
    <row r="808" customFormat="1" ht="15" customHeight="1" x14ac:dyDescent="0.25"/>
    <row r="809" customFormat="1" ht="15" customHeight="1" x14ac:dyDescent="0.25"/>
    <row r="810" customFormat="1" ht="15" customHeight="1" x14ac:dyDescent="0.25"/>
    <row r="811" customFormat="1" ht="15" customHeight="1" x14ac:dyDescent="0.25"/>
    <row r="812" customFormat="1" ht="15" customHeight="1" x14ac:dyDescent="0.25"/>
    <row r="813" customFormat="1" ht="15" customHeight="1" x14ac:dyDescent="0.25"/>
    <row r="814" customFormat="1" ht="15" customHeight="1" x14ac:dyDescent="0.25"/>
    <row r="815" customFormat="1" ht="15" customHeight="1" x14ac:dyDescent="0.25"/>
    <row r="816" customFormat="1" ht="15" customHeight="1" x14ac:dyDescent="0.25"/>
    <row r="817" customFormat="1" ht="15" customHeight="1" x14ac:dyDescent="0.25"/>
    <row r="818" customFormat="1" ht="15" customHeight="1" x14ac:dyDescent="0.25"/>
    <row r="819" customFormat="1" ht="15" customHeight="1" x14ac:dyDescent="0.25"/>
    <row r="820" customFormat="1" ht="15" customHeight="1" x14ac:dyDescent="0.25"/>
    <row r="821" customFormat="1" ht="15" customHeight="1" x14ac:dyDescent="0.25"/>
    <row r="822" customFormat="1" ht="15" customHeight="1" x14ac:dyDescent="0.25"/>
    <row r="823" customFormat="1" ht="15" customHeight="1" x14ac:dyDescent="0.25"/>
    <row r="824" customFormat="1" ht="15" customHeight="1" x14ac:dyDescent="0.25"/>
    <row r="825" customFormat="1" ht="15" customHeight="1" x14ac:dyDescent="0.25"/>
    <row r="826" customFormat="1" ht="15" customHeight="1" x14ac:dyDescent="0.25"/>
    <row r="827" customFormat="1" ht="15" customHeight="1" x14ac:dyDescent="0.25"/>
    <row r="828" customFormat="1" ht="15" customHeight="1" x14ac:dyDescent="0.25"/>
    <row r="829" customFormat="1" ht="15" customHeight="1" x14ac:dyDescent="0.25"/>
    <row r="830" customFormat="1" ht="15" customHeight="1" x14ac:dyDescent="0.25"/>
    <row r="831" customFormat="1" ht="15" customHeight="1" x14ac:dyDescent="0.25"/>
    <row r="832" customFormat="1" ht="15" customHeight="1" x14ac:dyDescent="0.25"/>
    <row r="833" customFormat="1" ht="15" customHeight="1" x14ac:dyDescent="0.25"/>
    <row r="834" customFormat="1" ht="15" customHeight="1" x14ac:dyDescent="0.25"/>
    <row r="835" customFormat="1" ht="15" customHeight="1" x14ac:dyDescent="0.25"/>
    <row r="836" customFormat="1" ht="15" customHeight="1" x14ac:dyDescent="0.25"/>
    <row r="837" customFormat="1" ht="15" customHeight="1" x14ac:dyDescent="0.25"/>
    <row r="838" customFormat="1" ht="15" customHeight="1" x14ac:dyDescent="0.25"/>
    <row r="839" customFormat="1" ht="15" customHeight="1" x14ac:dyDescent="0.25"/>
    <row r="840" customFormat="1" ht="15" customHeight="1" x14ac:dyDescent="0.25"/>
    <row r="841" customFormat="1" ht="15" customHeight="1" x14ac:dyDescent="0.25"/>
    <row r="842" customFormat="1" ht="15" customHeight="1" x14ac:dyDescent="0.25"/>
    <row r="843" customFormat="1" ht="15" customHeight="1" x14ac:dyDescent="0.25"/>
    <row r="844" customFormat="1" ht="15" customHeight="1" x14ac:dyDescent="0.25"/>
    <row r="845" customFormat="1" ht="15" customHeight="1" x14ac:dyDescent="0.25"/>
    <row r="846" customFormat="1" ht="15" customHeight="1" x14ac:dyDescent="0.25"/>
    <row r="847" customFormat="1" ht="15" customHeight="1" x14ac:dyDescent="0.25"/>
    <row r="848" customFormat="1" ht="15" customHeight="1" x14ac:dyDescent="0.25"/>
    <row r="849" customFormat="1" ht="15" customHeight="1" x14ac:dyDescent="0.25"/>
    <row r="850" customFormat="1" ht="15" customHeight="1" x14ac:dyDescent="0.25"/>
    <row r="851" customFormat="1" ht="15" customHeight="1" x14ac:dyDescent="0.25"/>
    <row r="852" customFormat="1" ht="15" customHeight="1" x14ac:dyDescent="0.25"/>
    <row r="853" customFormat="1" ht="15" customHeight="1" x14ac:dyDescent="0.25"/>
    <row r="854" customFormat="1" ht="15" customHeight="1" x14ac:dyDescent="0.25"/>
    <row r="855" customFormat="1" ht="15" customHeight="1" x14ac:dyDescent="0.25"/>
    <row r="856" customFormat="1" ht="15" customHeight="1" x14ac:dyDescent="0.25"/>
    <row r="857" customFormat="1" ht="15" customHeight="1" x14ac:dyDescent="0.25"/>
    <row r="858" customFormat="1" ht="15" customHeight="1" x14ac:dyDescent="0.25"/>
    <row r="859" customFormat="1" ht="15" customHeight="1" x14ac:dyDescent="0.25"/>
    <row r="860" customFormat="1" ht="15" customHeight="1" x14ac:dyDescent="0.25"/>
    <row r="861" customFormat="1" ht="15" customHeight="1" x14ac:dyDescent="0.25"/>
    <row r="862" customFormat="1" ht="15" customHeight="1" x14ac:dyDescent="0.25"/>
    <row r="863" customFormat="1" ht="15" customHeight="1" x14ac:dyDescent="0.25"/>
    <row r="864" customFormat="1" ht="15" customHeight="1" x14ac:dyDescent="0.25"/>
    <row r="865" customFormat="1" ht="15" customHeight="1" x14ac:dyDescent="0.25"/>
    <row r="866" customFormat="1" ht="15" customHeight="1" x14ac:dyDescent="0.25"/>
    <row r="867" customFormat="1" ht="15" customHeight="1" x14ac:dyDescent="0.25"/>
    <row r="868" customFormat="1" ht="15" customHeight="1" x14ac:dyDescent="0.25"/>
    <row r="869" customFormat="1" ht="15" customHeight="1" x14ac:dyDescent="0.25"/>
    <row r="870" customFormat="1" ht="15" customHeight="1" x14ac:dyDescent="0.25"/>
    <row r="871" customFormat="1" ht="15" customHeight="1" x14ac:dyDescent="0.25"/>
    <row r="872" customFormat="1" ht="15" customHeight="1" x14ac:dyDescent="0.25"/>
    <row r="873" customFormat="1" ht="15" customHeight="1" x14ac:dyDescent="0.25"/>
    <row r="874" customFormat="1" ht="15" customHeight="1" x14ac:dyDescent="0.25"/>
    <row r="875" customFormat="1" ht="15" customHeight="1" x14ac:dyDescent="0.25"/>
    <row r="876" customFormat="1" ht="15" customHeight="1" x14ac:dyDescent="0.25"/>
    <row r="877" customFormat="1" ht="15" customHeight="1" x14ac:dyDescent="0.25"/>
    <row r="878" customFormat="1" ht="15" customHeight="1" x14ac:dyDescent="0.25"/>
    <row r="879" customFormat="1" ht="15" customHeight="1" x14ac:dyDescent="0.25"/>
    <row r="880" customFormat="1" ht="15" customHeight="1" x14ac:dyDescent="0.25"/>
    <row r="881" customFormat="1" ht="15" customHeight="1" x14ac:dyDescent="0.25"/>
    <row r="882" customFormat="1" ht="15" customHeight="1" x14ac:dyDescent="0.25"/>
    <row r="883" customFormat="1" ht="15" customHeight="1" x14ac:dyDescent="0.25"/>
    <row r="884" customFormat="1" ht="15" customHeight="1" x14ac:dyDescent="0.25"/>
    <row r="885" customFormat="1" ht="15" customHeight="1" x14ac:dyDescent="0.25"/>
    <row r="886" customFormat="1" ht="15" customHeight="1" x14ac:dyDescent="0.25"/>
    <row r="887" customFormat="1" ht="15" customHeight="1" x14ac:dyDescent="0.25"/>
    <row r="888" customFormat="1" ht="15" customHeight="1" x14ac:dyDescent="0.25"/>
    <row r="889" customFormat="1" ht="15" customHeight="1" x14ac:dyDescent="0.25"/>
    <row r="890" customFormat="1" ht="15" customHeight="1" x14ac:dyDescent="0.25"/>
    <row r="891" customFormat="1" ht="15" customHeight="1" x14ac:dyDescent="0.25"/>
    <row r="892" customFormat="1" ht="15" customHeight="1" x14ac:dyDescent="0.25"/>
    <row r="893" customFormat="1" ht="15" customHeight="1" x14ac:dyDescent="0.25"/>
    <row r="894" customFormat="1" ht="15" customHeight="1" x14ac:dyDescent="0.25"/>
    <row r="895" customFormat="1" ht="15" customHeight="1" x14ac:dyDescent="0.25"/>
    <row r="896" customFormat="1" ht="15" customHeight="1" x14ac:dyDescent="0.25"/>
    <row r="897" customFormat="1" ht="15" customHeight="1" x14ac:dyDescent="0.25"/>
    <row r="898" customFormat="1" ht="15" customHeight="1" x14ac:dyDescent="0.25"/>
    <row r="899" customFormat="1" ht="15" customHeight="1" x14ac:dyDescent="0.25"/>
    <row r="900" customFormat="1" ht="15" customHeight="1" x14ac:dyDescent="0.25"/>
    <row r="901" customFormat="1" ht="15" customHeight="1" x14ac:dyDescent="0.25"/>
    <row r="902" customFormat="1" ht="15" customHeight="1" x14ac:dyDescent="0.25"/>
    <row r="903" customFormat="1" ht="15" customHeight="1" x14ac:dyDescent="0.25"/>
    <row r="904" customFormat="1" ht="15" customHeight="1" x14ac:dyDescent="0.25"/>
    <row r="905" customFormat="1" ht="15" customHeight="1" x14ac:dyDescent="0.25"/>
    <row r="906" customFormat="1" ht="15" customHeight="1" x14ac:dyDescent="0.25"/>
    <row r="907" customFormat="1" ht="15" customHeight="1" x14ac:dyDescent="0.25"/>
    <row r="908" customFormat="1" ht="15" customHeight="1" x14ac:dyDescent="0.25"/>
    <row r="909" customFormat="1" ht="15" customHeight="1" x14ac:dyDescent="0.25"/>
    <row r="910" customFormat="1" ht="15" customHeight="1" x14ac:dyDescent="0.25"/>
    <row r="911" customFormat="1" ht="15" customHeight="1" x14ac:dyDescent="0.25"/>
    <row r="912" customFormat="1" ht="15" customHeight="1" x14ac:dyDescent="0.25"/>
    <row r="913" customFormat="1" ht="15" customHeight="1" x14ac:dyDescent="0.25"/>
    <row r="914" customFormat="1" ht="15" customHeight="1" x14ac:dyDescent="0.25"/>
    <row r="915" customFormat="1" ht="15" customHeight="1" x14ac:dyDescent="0.25"/>
    <row r="916" customFormat="1" ht="15" customHeight="1" x14ac:dyDescent="0.25"/>
    <row r="917" customFormat="1" ht="15" customHeight="1" x14ac:dyDescent="0.25"/>
    <row r="918" customFormat="1" ht="15" customHeight="1" x14ac:dyDescent="0.25"/>
    <row r="919" customFormat="1" ht="15" customHeight="1" x14ac:dyDescent="0.25"/>
    <row r="920" customFormat="1" ht="15" customHeight="1" x14ac:dyDescent="0.25"/>
    <row r="921" customFormat="1" ht="15" customHeight="1" x14ac:dyDescent="0.25"/>
    <row r="922" customFormat="1" ht="15" customHeight="1" x14ac:dyDescent="0.25"/>
    <row r="923" customFormat="1" ht="15" customHeight="1" x14ac:dyDescent="0.25"/>
    <row r="924" customFormat="1" ht="15" customHeight="1" x14ac:dyDescent="0.25"/>
    <row r="925" customFormat="1" ht="15" customHeight="1" x14ac:dyDescent="0.25"/>
    <row r="926" customFormat="1" ht="15" customHeight="1" x14ac:dyDescent="0.25"/>
    <row r="927" customFormat="1" ht="15" customHeight="1" x14ac:dyDescent="0.25"/>
    <row r="928" customFormat="1" ht="15" customHeight="1" x14ac:dyDescent="0.25"/>
    <row r="929" customFormat="1" ht="15" customHeight="1" x14ac:dyDescent="0.25"/>
    <row r="930" customFormat="1" ht="15" customHeight="1" x14ac:dyDescent="0.25"/>
    <row r="931" customFormat="1" ht="15" customHeight="1" x14ac:dyDescent="0.25"/>
    <row r="932" customFormat="1" ht="15" customHeight="1" x14ac:dyDescent="0.25"/>
    <row r="933" customFormat="1" ht="15" customHeight="1" x14ac:dyDescent="0.25"/>
    <row r="934" customFormat="1" ht="15" customHeight="1" x14ac:dyDescent="0.25"/>
    <row r="935" customFormat="1" ht="15" customHeight="1" x14ac:dyDescent="0.25"/>
    <row r="936" customFormat="1" ht="15" customHeight="1" x14ac:dyDescent="0.25"/>
    <row r="937" customFormat="1" ht="15" customHeight="1" x14ac:dyDescent="0.25"/>
    <row r="938" customFormat="1" ht="15" customHeight="1" x14ac:dyDescent="0.25"/>
    <row r="939" customFormat="1" ht="15" customHeight="1" x14ac:dyDescent="0.25"/>
    <row r="940" customFormat="1" ht="15" customHeight="1" x14ac:dyDescent="0.25"/>
    <row r="941" customFormat="1" ht="15" customHeight="1" x14ac:dyDescent="0.25"/>
    <row r="942" customFormat="1" ht="15" customHeight="1" x14ac:dyDescent="0.25"/>
    <row r="943" customFormat="1" ht="15" customHeight="1" x14ac:dyDescent="0.25"/>
    <row r="944" customFormat="1" ht="15" customHeight="1" x14ac:dyDescent="0.25"/>
    <row r="945" customFormat="1" ht="15" customHeight="1" x14ac:dyDescent="0.25"/>
    <row r="946" customFormat="1" ht="15" customHeight="1" x14ac:dyDescent="0.25"/>
    <row r="947" customFormat="1" ht="15" customHeight="1" x14ac:dyDescent="0.25"/>
    <row r="948" customFormat="1" ht="15" customHeight="1" x14ac:dyDescent="0.25"/>
    <row r="949" customFormat="1" ht="15" customHeight="1" x14ac:dyDescent="0.25"/>
    <row r="950" customFormat="1" ht="15" customHeight="1" x14ac:dyDescent="0.25"/>
    <row r="951" customFormat="1" ht="15" customHeight="1" x14ac:dyDescent="0.25"/>
    <row r="952" customFormat="1" ht="15" customHeight="1" x14ac:dyDescent="0.25"/>
    <row r="953" customFormat="1" ht="15" customHeight="1" x14ac:dyDescent="0.25"/>
    <row r="954" customFormat="1" ht="15" customHeight="1" x14ac:dyDescent="0.25"/>
    <row r="955" customFormat="1" ht="15" customHeight="1" x14ac:dyDescent="0.25"/>
    <row r="956" customFormat="1" ht="15" customHeight="1" x14ac:dyDescent="0.25"/>
    <row r="957" customFormat="1" ht="15" customHeight="1" x14ac:dyDescent="0.25"/>
    <row r="958" customFormat="1" ht="15" customHeight="1" x14ac:dyDescent="0.25"/>
    <row r="959" customFormat="1" ht="15" customHeight="1" x14ac:dyDescent="0.25"/>
    <row r="960" customFormat="1" ht="15" customHeight="1" x14ac:dyDescent="0.25"/>
    <row r="961" customFormat="1" ht="15" customHeight="1" x14ac:dyDescent="0.25"/>
    <row r="962" customFormat="1" ht="15" customHeight="1" x14ac:dyDescent="0.25"/>
    <row r="963" customFormat="1" ht="15" customHeight="1" x14ac:dyDescent="0.25"/>
    <row r="964" customFormat="1" ht="15" customHeight="1" x14ac:dyDescent="0.25"/>
    <row r="965" customFormat="1" ht="15" customHeight="1" x14ac:dyDescent="0.25"/>
    <row r="966" customFormat="1" ht="15" customHeight="1" x14ac:dyDescent="0.25"/>
    <row r="967" customFormat="1" ht="15" customHeight="1" x14ac:dyDescent="0.25"/>
    <row r="968" customFormat="1" ht="15" customHeight="1" x14ac:dyDescent="0.25"/>
    <row r="969" customFormat="1" ht="15" customHeight="1" x14ac:dyDescent="0.25"/>
    <row r="970" customFormat="1" ht="15" customHeight="1" x14ac:dyDescent="0.25"/>
    <row r="971" customFormat="1" ht="15" customHeight="1" x14ac:dyDescent="0.25"/>
    <row r="972" customFormat="1" ht="15" customHeight="1" x14ac:dyDescent="0.25"/>
    <row r="973" customFormat="1" ht="15" customHeight="1" x14ac:dyDescent="0.25"/>
    <row r="974" customFormat="1" ht="15" customHeight="1" x14ac:dyDescent="0.25"/>
    <row r="975" customFormat="1" ht="15" customHeight="1" x14ac:dyDescent="0.25"/>
    <row r="976" customFormat="1" ht="15" customHeight="1" x14ac:dyDescent="0.25"/>
    <row r="977" customFormat="1" ht="15" customHeight="1" x14ac:dyDescent="0.25"/>
    <row r="978" customFormat="1" ht="15" customHeight="1" x14ac:dyDescent="0.25"/>
    <row r="979" customFormat="1" ht="15" customHeight="1" x14ac:dyDescent="0.25"/>
    <row r="980" customFormat="1" ht="15" customHeight="1" x14ac:dyDescent="0.25"/>
    <row r="981" customFormat="1" ht="15" customHeight="1" x14ac:dyDescent="0.25"/>
    <row r="982" customFormat="1" ht="15" customHeight="1" x14ac:dyDescent="0.25"/>
    <row r="983" customFormat="1" ht="15" customHeight="1" x14ac:dyDescent="0.25"/>
    <row r="984" customFormat="1" ht="15" customHeight="1" x14ac:dyDescent="0.25"/>
    <row r="985" customFormat="1" ht="15" customHeight="1" x14ac:dyDescent="0.25"/>
    <row r="986" customFormat="1" ht="15" customHeight="1" x14ac:dyDescent="0.25"/>
    <row r="987" customFormat="1" ht="15" customHeight="1" x14ac:dyDescent="0.25"/>
    <row r="988" customFormat="1" ht="15" customHeight="1" x14ac:dyDescent="0.25"/>
    <row r="989" customFormat="1" ht="15" customHeight="1" x14ac:dyDescent="0.25"/>
    <row r="990" customFormat="1" ht="15" customHeight="1" x14ac:dyDescent="0.25"/>
    <row r="991" customFormat="1" ht="15" customHeight="1" x14ac:dyDescent="0.25"/>
    <row r="992" customFormat="1" ht="15" customHeight="1" x14ac:dyDescent="0.25"/>
    <row r="993" customFormat="1" ht="15" customHeight="1" x14ac:dyDescent="0.25"/>
    <row r="994" customFormat="1" ht="15" customHeight="1" x14ac:dyDescent="0.25"/>
    <row r="995" customFormat="1" ht="15" customHeight="1" x14ac:dyDescent="0.25"/>
    <row r="996" customFormat="1" ht="15" customHeight="1" x14ac:dyDescent="0.25"/>
    <row r="997" customFormat="1" ht="15" customHeight="1" x14ac:dyDescent="0.25"/>
    <row r="998" customFormat="1" ht="15" customHeight="1" x14ac:dyDescent="0.25"/>
    <row r="999" customFormat="1" ht="15" customHeight="1" x14ac:dyDescent="0.25"/>
    <row r="1000" customFormat="1" ht="15" customHeight="1" x14ac:dyDescent="0.25"/>
    <row r="1001" customFormat="1" ht="15" customHeight="1" x14ac:dyDescent="0.25"/>
    <row r="1002" customFormat="1" ht="15" customHeight="1" x14ac:dyDescent="0.25"/>
    <row r="1003" customFormat="1" ht="15" customHeight="1" x14ac:dyDescent="0.25"/>
    <row r="1004" customFormat="1" ht="15" customHeight="1" x14ac:dyDescent="0.25"/>
    <row r="1005" customFormat="1" ht="15" customHeight="1" x14ac:dyDescent="0.25"/>
    <row r="1006" customFormat="1" ht="15" customHeight="1" x14ac:dyDescent="0.25"/>
    <row r="1007" customFormat="1" ht="15" customHeight="1" x14ac:dyDescent="0.25"/>
    <row r="1008" customFormat="1" ht="15" customHeight="1" x14ac:dyDescent="0.25"/>
    <row r="1009" customFormat="1" ht="15" customHeight="1" x14ac:dyDescent="0.25"/>
    <row r="1010" customFormat="1" ht="15" customHeight="1" x14ac:dyDescent="0.25"/>
    <row r="1011" customFormat="1" ht="15" customHeight="1" x14ac:dyDescent="0.25"/>
    <row r="1012" customFormat="1" ht="15" customHeight="1" x14ac:dyDescent="0.25"/>
    <row r="1013" customFormat="1" ht="15" customHeight="1" x14ac:dyDescent="0.25"/>
    <row r="1014" customFormat="1" ht="15" customHeight="1" x14ac:dyDescent="0.25"/>
    <row r="1015" customFormat="1" ht="15" customHeight="1" x14ac:dyDescent="0.25"/>
    <row r="1016" customFormat="1" ht="15" customHeight="1" x14ac:dyDescent="0.25"/>
    <row r="1017" customFormat="1" ht="15" customHeight="1" x14ac:dyDescent="0.25"/>
    <row r="1018" customFormat="1" ht="15" customHeight="1" x14ac:dyDescent="0.25"/>
    <row r="1019" customFormat="1" ht="15" customHeight="1" x14ac:dyDescent="0.25"/>
    <row r="1020" customFormat="1" ht="15" customHeight="1" x14ac:dyDescent="0.25"/>
    <row r="1021" customFormat="1" ht="15" customHeight="1" x14ac:dyDescent="0.25"/>
    <row r="1022" customFormat="1" ht="15" customHeight="1" x14ac:dyDescent="0.25"/>
    <row r="1023" customFormat="1" ht="15" customHeight="1" x14ac:dyDescent="0.25"/>
    <row r="1024" customFormat="1" ht="15" customHeight="1" x14ac:dyDescent="0.25"/>
    <row r="1025" customFormat="1" ht="15" customHeight="1" x14ac:dyDescent="0.25"/>
    <row r="1026" customFormat="1" ht="15" customHeight="1" x14ac:dyDescent="0.25"/>
    <row r="1027" customFormat="1" ht="15" customHeight="1" x14ac:dyDescent="0.25"/>
    <row r="1028" customFormat="1" ht="15" customHeight="1" x14ac:dyDescent="0.25"/>
    <row r="1029" customFormat="1" ht="15" customHeight="1" x14ac:dyDescent="0.25"/>
    <row r="1030" customFormat="1" ht="15" customHeight="1" x14ac:dyDescent="0.25"/>
    <row r="1031" customFormat="1" ht="15" customHeight="1" x14ac:dyDescent="0.25"/>
    <row r="1032" customFormat="1" ht="15" customHeight="1" x14ac:dyDescent="0.25"/>
    <row r="1033" customFormat="1" ht="15" customHeight="1" x14ac:dyDescent="0.25"/>
    <row r="1034" customFormat="1" ht="15" customHeight="1" x14ac:dyDescent="0.25"/>
    <row r="1035" customFormat="1" ht="15" customHeight="1" x14ac:dyDescent="0.25"/>
    <row r="1036" customFormat="1" ht="15" customHeight="1" x14ac:dyDescent="0.25"/>
    <row r="1037" customFormat="1" ht="15" customHeight="1" x14ac:dyDescent="0.25"/>
    <row r="1038" customFormat="1" ht="15" customHeight="1" x14ac:dyDescent="0.25"/>
    <row r="1039" customFormat="1" ht="15" customHeight="1" x14ac:dyDescent="0.25"/>
    <row r="1040" customFormat="1" ht="15" customHeight="1" x14ac:dyDescent="0.25"/>
    <row r="1041" customFormat="1" ht="15" customHeight="1" x14ac:dyDescent="0.25"/>
    <row r="1042" customFormat="1" ht="15" customHeight="1" x14ac:dyDescent="0.25"/>
    <row r="1043" customFormat="1" ht="15" customHeight="1" x14ac:dyDescent="0.25"/>
    <row r="1044" customFormat="1" ht="15" customHeight="1" x14ac:dyDescent="0.25"/>
    <row r="1045" customFormat="1" ht="15" customHeight="1" x14ac:dyDescent="0.25"/>
    <row r="1046" customFormat="1" ht="15" customHeight="1" x14ac:dyDescent="0.25"/>
    <row r="1047" customFormat="1" ht="15" customHeight="1" x14ac:dyDescent="0.25"/>
    <row r="1048" customFormat="1" ht="15" customHeight="1" x14ac:dyDescent="0.25"/>
    <row r="1049" customFormat="1" ht="15" customHeight="1" x14ac:dyDescent="0.25"/>
    <row r="1050" customFormat="1" ht="15" customHeight="1" x14ac:dyDescent="0.25"/>
    <row r="1051" customFormat="1" ht="15" customHeight="1" x14ac:dyDescent="0.25"/>
    <row r="1052" customFormat="1" ht="15" customHeight="1" x14ac:dyDescent="0.25"/>
    <row r="1053" customFormat="1" ht="15" customHeight="1" x14ac:dyDescent="0.25"/>
    <row r="1054" customFormat="1" ht="15" customHeight="1" x14ac:dyDescent="0.25"/>
    <row r="1055" customFormat="1" ht="15" customHeight="1" x14ac:dyDescent="0.25"/>
    <row r="1056" customFormat="1" ht="15" customHeight="1" x14ac:dyDescent="0.25"/>
    <row r="1057" customFormat="1" ht="15" customHeight="1" x14ac:dyDescent="0.25"/>
    <row r="1058" customFormat="1" ht="15" customHeight="1" x14ac:dyDescent="0.25"/>
    <row r="1059" customFormat="1" ht="15" customHeight="1" x14ac:dyDescent="0.25"/>
    <row r="1060" customFormat="1" ht="15" customHeight="1" x14ac:dyDescent="0.25"/>
    <row r="1061" customFormat="1" ht="15" customHeight="1" x14ac:dyDescent="0.25"/>
    <row r="1062" customFormat="1" ht="15" customHeight="1" x14ac:dyDescent="0.25"/>
    <row r="1063" customFormat="1" ht="15" customHeight="1" x14ac:dyDescent="0.25"/>
    <row r="1064" customFormat="1" ht="15" customHeight="1" x14ac:dyDescent="0.25"/>
    <row r="1065" customFormat="1" ht="15" customHeight="1" x14ac:dyDescent="0.25"/>
    <row r="1066" customFormat="1" ht="15" customHeight="1" x14ac:dyDescent="0.25"/>
    <row r="1067" customFormat="1" ht="15" customHeight="1" x14ac:dyDescent="0.25"/>
    <row r="1068" customFormat="1" ht="15" customHeight="1" x14ac:dyDescent="0.25"/>
    <row r="1069" customFormat="1" ht="15" customHeight="1" x14ac:dyDescent="0.25"/>
    <row r="1070" customFormat="1" ht="15" customHeight="1" x14ac:dyDescent="0.25"/>
    <row r="1071" customFormat="1" ht="15" customHeight="1" x14ac:dyDescent="0.25"/>
    <row r="1072" customFormat="1" ht="15" customHeight="1" x14ac:dyDescent="0.25"/>
    <row r="1073" customFormat="1" ht="15" customHeight="1" x14ac:dyDescent="0.25"/>
    <row r="1074" customFormat="1" ht="15" customHeight="1" x14ac:dyDescent="0.25"/>
    <row r="1075" customFormat="1" ht="15" customHeight="1" x14ac:dyDescent="0.25"/>
    <row r="1076" customFormat="1" ht="15" customHeight="1" x14ac:dyDescent="0.25"/>
    <row r="1077" customFormat="1" ht="15" customHeight="1" x14ac:dyDescent="0.25"/>
    <row r="1078" customFormat="1" ht="15" customHeight="1" x14ac:dyDescent="0.25"/>
    <row r="1079" customFormat="1" ht="15" customHeight="1" x14ac:dyDescent="0.25"/>
    <row r="1080" customFormat="1" ht="15" customHeight="1" x14ac:dyDescent="0.25"/>
    <row r="1081" customFormat="1" ht="15" customHeight="1" x14ac:dyDescent="0.25"/>
    <row r="1082" customFormat="1" ht="15" customHeight="1" x14ac:dyDescent="0.25"/>
    <row r="1083" customFormat="1" ht="15" customHeight="1" x14ac:dyDescent="0.25"/>
    <row r="1084" customFormat="1" ht="15" customHeight="1" x14ac:dyDescent="0.25"/>
    <row r="1085" customFormat="1" ht="15" customHeight="1" x14ac:dyDescent="0.25"/>
    <row r="1086" customFormat="1" ht="15" customHeight="1" x14ac:dyDescent="0.25"/>
    <row r="1087" customFormat="1" ht="15" customHeight="1" x14ac:dyDescent="0.25"/>
    <row r="1088" customFormat="1" ht="15" customHeight="1" x14ac:dyDescent="0.25"/>
    <row r="1089" customFormat="1" ht="15" customHeight="1" x14ac:dyDescent="0.25"/>
    <row r="1090" customFormat="1" ht="15" customHeight="1" x14ac:dyDescent="0.25"/>
    <row r="1091" customFormat="1" ht="15" customHeight="1" x14ac:dyDescent="0.25"/>
    <row r="1092" customFormat="1" ht="15" customHeight="1" x14ac:dyDescent="0.25"/>
    <row r="1093" customFormat="1" ht="15" customHeight="1" x14ac:dyDescent="0.25"/>
    <row r="1094" customFormat="1" ht="15" customHeight="1" x14ac:dyDescent="0.25"/>
    <row r="1095" customFormat="1" ht="15" customHeight="1" x14ac:dyDescent="0.25"/>
    <row r="1096" customFormat="1" ht="15" customHeight="1" x14ac:dyDescent="0.25"/>
    <row r="1097" customFormat="1" ht="15" customHeight="1" x14ac:dyDescent="0.25"/>
    <row r="1098" customFormat="1" ht="15" customHeight="1" x14ac:dyDescent="0.25"/>
    <row r="1099" customFormat="1" ht="15" customHeight="1" x14ac:dyDescent="0.25"/>
    <row r="1100" customFormat="1" ht="15" customHeight="1" x14ac:dyDescent="0.25"/>
    <row r="1101" customFormat="1" ht="15" customHeight="1" x14ac:dyDescent="0.25"/>
    <row r="1102" customFormat="1" ht="15" customHeight="1" x14ac:dyDescent="0.25"/>
    <row r="1103" customFormat="1" ht="15" customHeight="1" x14ac:dyDescent="0.25"/>
    <row r="1104" customFormat="1" ht="15" customHeight="1" x14ac:dyDescent="0.25"/>
    <row r="1105" customFormat="1" ht="15" customHeight="1" x14ac:dyDescent="0.25"/>
    <row r="1106" customFormat="1" ht="15" customHeight="1" x14ac:dyDescent="0.25"/>
    <row r="1107" customFormat="1" ht="15" customHeight="1" x14ac:dyDescent="0.25"/>
    <row r="1108" customFormat="1" ht="15" customHeight="1" x14ac:dyDescent="0.25"/>
    <row r="1109" customFormat="1" ht="15" customHeight="1" x14ac:dyDescent="0.25"/>
    <row r="1110" customFormat="1" ht="15" customHeight="1" x14ac:dyDescent="0.25"/>
    <row r="1111" customFormat="1" ht="15" customHeight="1" x14ac:dyDescent="0.25"/>
    <row r="1112" customFormat="1" ht="15" customHeight="1" x14ac:dyDescent="0.25"/>
    <row r="1113" customFormat="1" ht="15" customHeight="1" x14ac:dyDescent="0.25"/>
    <row r="1114" customFormat="1" ht="15" customHeight="1" x14ac:dyDescent="0.25"/>
    <row r="1115" customFormat="1" ht="15" customHeight="1" x14ac:dyDescent="0.25"/>
    <row r="1116" customFormat="1" ht="15" customHeight="1" x14ac:dyDescent="0.25"/>
    <row r="1117" customFormat="1" ht="15" customHeight="1" x14ac:dyDescent="0.25"/>
    <row r="1118" customFormat="1" ht="15" customHeight="1" x14ac:dyDescent="0.25"/>
    <row r="1119" customFormat="1" ht="15" customHeight="1" x14ac:dyDescent="0.25"/>
    <row r="1120" customFormat="1" ht="15" customHeight="1" x14ac:dyDescent="0.25"/>
    <row r="1121" customFormat="1" ht="15" customHeight="1" x14ac:dyDescent="0.25"/>
    <row r="1122" customFormat="1" ht="15" customHeight="1" x14ac:dyDescent="0.25"/>
    <row r="1123" customFormat="1" ht="15" customHeight="1" x14ac:dyDescent="0.25"/>
    <row r="1124" customFormat="1" ht="15" customHeight="1" x14ac:dyDescent="0.25"/>
    <row r="1125" customFormat="1" ht="15" customHeight="1" x14ac:dyDescent="0.25"/>
    <row r="1126" customFormat="1" ht="15" customHeight="1" x14ac:dyDescent="0.25"/>
    <row r="1127" customFormat="1" ht="15" customHeight="1" x14ac:dyDescent="0.25"/>
    <row r="1128" customFormat="1" ht="15" customHeight="1" x14ac:dyDescent="0.25"/>
    <row r="1129" customFormat="1" ht="15" customHeight="1" x14ac:dyDescent="0.25"/>
    <row r="1130" customFormat="1" ht="15" customHeight="1" x14ac:dyDescent="0.25"/>
    <row r="1131" customFormat="1" ht="15" customHeight="1" x14ac:dyDescent="0.25"/>
    <row r="1132" customFormat="1" ht="15" customHeight="1" x14ac:dyDescent="0.25"/>
    <row r="1133" customFormat="1" ht="15" customHeight="1" x14ac:dyDescent="0.25"/>
    <row r="1134" customFormat="1" ht="15" customHeight="1" x14ac:dyDescent="0.25"/>
    <row r="1135" customFormat="1" ht="15" customHeight="1" x14ac:dyDescent="0.25"/>
    <row r="1136" customFormat="1" ht="15" customHeight="1" x14ac:dyDescent="0.25"/>
    <row r="1137" customFormat="1" ht="15" customHeight="1" x14ac:dyDescent="0.25"/>
    <row r="1138" customFormat="1" ht="15" customHeight="1" x14ac:dyDescent="0.25"/>
    <row r="1139" customFormat="1" ht="15" customHeight="1" x14ac:dyDescent="0.25"/>
    <row r="1140" customFormat="1" ht="15" customHeight="1" x14ac:dyDescent="0.25"/>
    <row r="1141" customFormat="1" ht="15" customHeight="1" x14ac:dyDescent="0.25"/>
    <row r="1142" customFormat="1" ht="15" customHeight="1" x14ac:dyDescent="0.25"/>
    <row r="1143" customFormat="1" ht="15" customHeight="1" x14ac:dyDescent="0.25"/>
    <row r="1144" customFormat="1" ht="15" customHeight="1" x14ac:dyDescent="0.25"/>
    <row r="1145" customFormat="1" ht="15" customHeight="1" x14ac:dyDescent="0.25"/>
    <row r="1146" customFormat="1" ht="15" customHeight="1" x14ac:dyDescent="0.25"/>
    <row r="1147" customFormat="1" ht="15" customHeight="1" x14ac:dyDescent="0.25"/>
    <row r="1148" customFormat="1" ht="15" customHeight="1" x14ac:dyDescent="0.25"/>
    <row r="1149" customFormat="1" ht="15" customHeight="1" x14ac:dyDescent="0.25"/>
    <row r="1150" customFormat="1" ht="15" customHeight="1" x14ac:dyDescent="0.25"/>
    <row r="1151" customFormat="1" ht="15" customHeight="1" x14ac:dyDescent="0.25"/>
    <row r="1152" customFormat="1" ht="15" customHeight="1" x14ac:dyDescent="0.25"/>
    <row r="1153" customFormat="1" ht="15" customHeight="1" x14ac:dyDescent="0.25"/>
    <row r="1154" customFormat="1" ht="15" customHeight="1" x14ac:dyDescent="0.25"/>
    <row r="1155" customFormat="1" ht="15" customHeight="1" x14ac:dyDescent="0.25"/>
    <row r="1156" customFormat="1" ht="15" customHeight="1" x14ac:dyDescent="0.25"/>
    <row r="1157" customFormat="1" ht="15" customHeight="1" x14ac:dyDescent="0.25"/>
    <row r="1158" customFormat="1" ht="15" customHeight="1" x14ac:dyDescent="0.25"/>
    <row r="1159" customFormat="1" ht="15" customHeight="1" x14ac:dyDescent="0.25"/>
    <row r="1160" customFormat="1" ht="15" customHeight="1" x14ac:dyDescent="0.25"/>
    <row r="1161" customFormat="1" ht="15" customHeight="1" x14ac:dyDescent="0.25"/>
    <row r="1162" customFormat="1" ht="15" customHeight="1" x14ac:dyDescent="0.25"/>
    <row r="1163" customFormat="1" ht="15" customHeight="1" x14ac:dyDescent="0.25"/>
    <row r="1164" customFormat="1" ht="15" customHeight="1" x14ac:dyDescent="0.25"/>
    <row r="1165" customFormat="1" ht="15" customHeight="1" x14ac:dyDescent="0.25"/>
    <row r="1166" customFormat="1" ht="15" customHeight="1" x14ac:dyDescent="0.25"/>
    <row r="1167" customFormat="1" ht="15" customHeight="1" x14ac:dyDescent="0.25"/>
    <row r="1168" customFormat="1" ht="15" customHeight="1" x14ac:dyDescent="0.25"/>
    <row r="1169" customFormat="1" ht="15" customHeight="1" x14ac:dyDescent="0.25"/>
    <row r="1170" customFormat="1" ht="15" customHeight="1" x14ac:dyDescent="0.25"/>
    <row r="1171" customFormat="1" ht="15" customHeight="1" x14ac:dyDescent="0.25"/>
    <row r="1172" customFormat="1" ht="15" customHeight="1" x14ac:dyDescent="0.25"/>
    <row r="1173" customFormat="1" ht="15" customHeight="1" x14ac:dyDescent="0.25"/>
    <row r="1174" customFormat="1" ht="15" customHeight="1" x14ac:dyDescent="0.25"/>
    <row r="1175" customFormat="1" ht="15" customHeight="1" x14ac:dyDescent="0.25"/>
    <row r="1176" customFormat="1" ht="15" customHeight="1" x14ac:dyDescent="0.25"/>
    <row r="1177" customFormat="1" ht="15" customHeight="1" x14ac:dyDescent="0.25"/>
    <row r="1178" customFormat="1" ht="15" customHeight="1" x14ac:dyDescent="0.25"/>
    <row r="1179" customFormat="1" ht="15" customHeight="1" x14ac:dyDescent="0.25"/>
    <row r="1180" customFormat="1" ht="15" customHeight="1" x14ac:dyDescent="0.25"/>
    <row r="1181" customFormat="1" ht="15" customHeight="1" x14ac:dyDescent="0.25"/>
    <row r="1182" customFormat="1" ht="15" customHeight="1" x14ac:dyDescent="0.25"/>
    <row r="1183" customFormat="1" ht="15" customHeight="1" x14ac:dyDescent="0.25"/>
    <row r="1184" customFormat="1" ht="15" customHeight="1" x14ac:dyDescent="0.25"/>
    <row r="1185" customFormat="1" ht="15" customHeight="1" x14ac:dyDescent="0.25"/>
    <row r="1186" customFormat="1" ht="15" customHeight="1" x14ac:dyDescent="0.25"/>
    <row r="1187" customFormat="1" ht="15" customHeight="1" x14ac:dyDescent="0.25"/>
    <row r="1188" customFormat="1" ht="15" customHeight="1" x14ac:dyDescent="0.25"/>
    <row r="1189" customFormat="1" ht="15" customHeight="1" x14ac:dyDescent="0.25"/>
    <row r="1190" customFormat="1" ht="15" customHeight="1" x14ac:dyDescent="0.25"/>
    <row r="1191" customFormat="1" ht="15" customHeight="1" x14ac:dyDescent="0.25"/>
    <row r="1192" customFormat="1" ht="15" customHeight="1" x14ac:dyDescent="0.25"/>
    <row r="1193" customFormat="1" ht="15" customHeight="1" x14ac:dyDescent="0.25"/>
    <row r="1194" customFormat="1" ht="15" customHeight="1" x14ac:dyDescent="0.25"/>
    <row r="1195" customFormat="1" ht="15" customHeight="1" x14ac:dyDescent="0.25"/>
    <row r="1196" customFormat="1" ht="15" customHeight="1" x14ac:dyDescent="0.25"/>
    <row r="1197" customFormat="1" ht="15" customHeight="1" x14ac:dyDescent="0.25"/>
    <row r="1198" customFormat="1" ht="15" customHeight="1" x14ac:dyDescent="0.25"/>
    <row r="1199" customFormat="1" ht="15" customHeight="1" x14ac:dyDescent="0.25"/>
    <row r="1200" customFormat="1" ht="15" customHeight="1" x14ac:dyDescent="0.25"/>
    <row r="1201" customFormat="1" ht="15" customHeight="1" x14ac:dyDescent="0.25"/>
    <row r="1202" customFormat="1" ht="15" customHeight="1" x14ac:dyDescent="0.25"/>
    <row r="1203" customFormat="1" ht="15" customHeight="1" x14ac:dyDescent="0.25"/>
    <row r="1204" customFormat="1" ht="15" customHeight="1" x14ac:dyDescent="0.25"/>
    <row r="1205" customFormat="1" ht="15" customHeight="1" x14ac:dyDescent="0.25"/>
    <row r="1206" customFormat="1" ht="15" customHeight="1" x14ac:dyDescent="0.25"/>
    <row r="1207" customFormat="1" ht="15" customHeight="1" x14ac:dyDescent="0.25"/>
    <row r="1208" customFormat="1" ht="15" customHeight="1" x14ac:dyDescent="0.25"/>
    <row r="1209" customFormat="1" ht="15" customHeight="1" x14ac:dyDescent="0.25"/>
    <row r="1210" customFormat="1" ht="15" customHeight="1" x14ac:dyDescent="0.25"/>
    <row r="1211" customFormat="1" ht="15" customHeight="1" x14ac:dyDescent="0.25"/>
    <row r="1212" customFormat="1" ht="15" customHeight="1" x14ac:dyDescent="0.25"/>
    <row r="1213" customFormat="1" ht="15" customHeight="1" x14ac:dyDescent="0.25"/>
    <row r="1214" customFormat="1" ht="15" customHeight="1" x14ac:dyDescent="0.25"/>
    <row r="1215" customFormat="1" ht="15" customHeight="1" x14ac:dyDescent="0.25"/>
    <row r="1216" customFormat="1" ht="15" customHeight="1" x14ac:dyDescent="0.25"/>
    <row r="1217" customFormat="1" ht="15" customHeight="1" x14ac:dyDescent="0.25"/>
    <row r="1218" customFormat="1" ht="15" customHeight="1" x14ac:dyDescent="0.25"/>
    <row r="1219" customFormat="1" ht="15" customHeight="1" x14ac:dyDescent="0.25"/>
    <row r="1220" customFormat="1" ht="15" customHeight="1" x14ac:dyDescent="0.25"/>
    <row r="1221" customFormat="1" ht="15" customHeight="1" x14ac:dyDescent="0.25"/>
    <row r="1222" customFormat="1" ht="15" customHeight="1" x14ac:dyDescent="0.25"/>
    <row r="1223" customFormat="1" ht="15" customHeight="1" x14ac:dyDescent="0.25"/>
    <row r="1224" customFormat="1" ht="15" customHeight="1" x14ac:dyDescent="0.25"/>
    <row r="1225" customFormat="1" ht="15" customHeight="1" x14ac:dyDescent="0.25"/>
    <row r="1226" customFormat="1" ht="15" customHeight="1" x14ac:dyDescent="0.25"/>
    <row r="1227" customFormat="1" ht="15" customHeight="1" x14ac:dyDescent="0.25"/>
    <row r="1228" customFormat="1" ht="15" customHeight="1" x14ac:dyDescent="0.25"/>
    <row r="1229" customFormat="1" ht="15" customHeight="1" x14ac:dyDescent="0.25"/>
    <row r="1230" customFormat="1" ht="15" customHeight="1" x14ac:dyDescent="0.25"/>
    <row r="1231" customFormat="1" ht="15" customHeight="1" x14ac:dyDescent="0.25"/>
    <row r="1232" customFormat="1" ht="15" customHeight="1" x14ac:dyDescent="0.25"/>
    <row r="1233" customFormat="1" ht="15" customHeight="1" x14ac:dyDescent="0.25"/>
    <row r="1234" customFormat="1" ht="15" customHeight="1" x14ac:dyDescent="0.25"/>
    <row r="1235" customFormat="1" ht="15" customHeight="1" x14ac:dyDescent="0.25"/>
    <row r="1236" customFormat="1" ht="15" customHeight="1" x14ac:dyDescent="0.25"/>
    <row r="1237" customFormat="1" ht="15" customHeight="1" x14ac:dyDescent="0.25"/>
    <row r="1238" customFormat="1" ht="15" customHeight="1" x14ac:dyDescent="0.25"/>
    <row r="1239" customFormat="1" ht="15" customHeight="1" x14ac:dyDescent="0.25"/>
    <row r="1240" customFormat="1" ht="15" customHeight="1" x14ac:dyDescent="0.25"/>
    <row r="1241" customFormat="1" ht="15" customHeight="1" x14ac:dyDescent="0.25"/>
    <row r="1242" customFormat="1" ht="15" customHeight="1" x14ac:dyDescent="0.25"/>
    <row r="1243" customFormat="1" ht="15" customHeight="1" x14ac:dyDescent="0.25"/>
    <row r="1244" customFormat="1" ht="15" customHeight="1" x14ac:dyDescent="0.25"/>
    <row r="1245" customFormat="1" ht="15" customHeight="1" x14ac:dyDescent="0.25"/>
    <row r="1246" customFormat="1" ht="15" customHeight="1" x14ac:dyDescent="0.25"/>
    <row r="1247" customFormat="1" ht="15" customHeight="1" x14ac:dyDescent="0.25"/>
    <row r="1248" customFormat="1" ht="15" customHeight="1" x14ac:dyDescent="0.25"/>
    <row r="1249" customFormat="1" ht="15" customHeight="1" x14ac:dyDescent="0.25"/>
    <row r="1250" customFormat="1" ht="15" customHeight="1" x14ac:dyDescent="0.25"/>
    <row r="1251" customFormat="1" ht="15" customHeight="1" x14ac:dyDescent="0.25"/>
    <row r="1252" customFormat="1" ht="15" customHeight="1" x14ac:dyDescent="0.25"/>
    <row r="1253" customFormat="1" ht="15" customHeight="1" x14ac:dyDescent="0.25"/>
    <row r="1254" customFormat="1" ht="15" customHeight="1" x14ac:dyDescent="0.25"/>
    <row r="1255" customFormat="1" ht="15" customHeight="1" x14ac:dyDescent="0.25"/>
    <row r="1256" customFormat="1" ht="15" customHeight="1" x14ac:dyDescent="0.25"/>
    <row r="1257" customFormat="1" ht="15" customHeight="1" x14ac:dyDescent="0.25"/>
    <row r="1258" customFormat="1" ht="15" customHeight="1" x14ac:dyDescent="0.25"/>
    <row r="1259" customFormat="1" ht="15" customHeight="1" x14ac:dyDescent="0.25"/>
    <row r="1260" customFormat="1" ht="15" customHeight="1" x14ac:dyDescent="0.25"/>
    <row r="1261" customFormat="1" ht="15" customHeight="1" x14ac:dyDescent="0.25"/>
    <row r="1262" customFormat="1" ht="15" customHeight="1" x14ac:dyDescent="0.25"/>
    <row r="1263" customFormat="1" ht="15" customHeight="1" x14ac:dyDescent="0.25"/>
    <row r="1264" customFormat="1" ht="15" customHeight="1" x14ac:dyDescent="0.25"/>
    <row r="1265" customFormat="1" ht="15" customHeight="1" x14ac:dyDescent="0.25"/>
    <row r="1266" customFormat="1" ht="15" customHeight="1" x14ac:dyDescent="0.25"/>
    <row r="1267" customFormat="1" ht="15" customHeight="1" x14ac:dyDescent="0.25"/>
    <row r="1268" customFormat="1" ht="15" customHeight="1" x14ac:dyDescent="0.25"/>
    <row r="1269" customFormat="1" ht="15" customHeight="1" x14ac:dyDescent="0.25"/>
    <row r="1270" customFormat="1" ht="15" customHeight="1" x14ac:dyDescent="0.25"/>
    <row r="1271" customFormat="1" ht="15" customHeight="1" x14ac:dyDescent="0.25"/>
    <row r="1272" customFormat="1" ht="15" customHeight="1" x14ac:dyDescent="0.25"/>
    <row r="1273" customFormat="1" ht="15" customHeight="1" x14ac:dyDescent="0.25"/>
    <row r="1274" customFormat="1" ht="15" customHeight="1" x14ac:dyDescent="0.25"/>
    <row r="1275" customFormat="1" ht="15" customHeight="1" x14ac:dyDescent="0.25"/>
    <row r="1276" customFormat="1" ht="15" customHeight="1" x14ac:dyDescent="0.25"/>
    <row r="1277" customFormat="1" ht="15" customHeight="1" x14ac:dyDescent="0.25"/>
    <row r="1278" customFormat="1" ht="15" customHeight="1" x14ac:dyDescent="0.25"/>
    <row r="1279" customFormat="1" ht="15" customHeight="1" x14ac:dyDescent="0.25"/>
    <row r="1280" customFormat="1" ht="15" customHeight="1" x14ac:dyDescent="0.25"/>
    <row r="1281" customFormat="1" ht="15" customHeight="1" x14ac:dyDescent="0.25"/>
    <row r="1282" customFormat="1" ht="15" customHeight="1" x14ac:dyDescent="0.25"/>
    <row r="1283" customFormat="1" ht="15" customHeight="1" x14ac:dyDescent="0.25"/>
    <row r="1284" customFormat="1" ht="15" customHeight="1" x14ac:dyDescent="0.25"/>
    <row r="1285" customFormat="1" ht="15" customHeight="1" x14ac:dyDescent="0.25"/>
    <row r="1286" customFormat="1" ht="15" customHeight="1" x14ac:dyDescent="0.25"/>
    <row r="1287" customFormat="1" ht="15" customHeight="1" x14ac:dyDescent="0.25"/>
    <row r="1288" customFormat="1" ht="15" customHeight="1" x14ac:dyDescent="0.25"/>
    <row r="1289" customFormat="1" ht="15" customHeight="1" x14ac:dyDescent="0.25"/>
    <row r="1290" customFormat="1" ht="15" customHeight="1" x14ac:dyDescent="0.25"/>
    <row r="1291" customFormat="1" ht="15" customHeight="1" x14ac:dyDescent="0.25"/>
    <row r="1292" customFormat="1" ht="15" customHeight="1" x14ac:dyDescent="0.25"/>
    <row r="1293" customFormat="1" ht="15" customHeight="1" x14ac:dyDescent="0.25"/>
    <row r="1294" customFormat="1" ht="15" customHeight="1" x14ac:dyDescent="0.25"/>
    <row r="1295" customFormat="1" ht="15" customHeight="1" x14ac:dyDescent="0.25"/>
    <row r="1296" customFormat="1" ht="15" customHeight="1" x14ac:dyDescent="0.25"/>
    <row r="1297" customFormat="1" ht="15" customHeight="1" x14ac:dyDescent="0.25"/>
    <row r="1298" customFormat="1" ht="15" customHeight="1" x14ac:dyDescent="0.25"/>
    <row r="1299" customFormat="1" ht="15" customHeight="1" x14ac:dyDescent="0.25"/>
    <row r="1300" customFormat="1" ht="15" customHeight="1" x14ac:dyDescent="0.25"/>
    <row r="1301" customFormat="1" ht="15" customHeight="1" x14ac:dyDescent="0.25"/>
    <row r="1302" customFormat="1" ht="15" customHeight="1" x14ac:dyDescent="0.25"/>
    <row r="1303" customFormat="1" ht="15" customHeight="1" x14ac:dyDescent="0.25"/>
    <row r="1304" customFormat="1" ht="15" customHeight="1" x14ac:dyDescent="0.25"/>
    <row r="1305" customFormat="1" ht="15" customHeight="1" x14ac:dyDescent="0.25"/>
    <row r="1306" customFormat="1" ht="15" customHeight="1" x14ac:dyDescent="0.25"/>
    <row r="1307" customFormat="1" ht="15" customHeight="1" x14ac:dyDescent="0.25"/>
    <row r="1308" customFormat="1" ht="15" customHeight="1" x14ac:dyDescent="0.25"/>
    <row r="1309" customFormat="1" ht="15" customHeight="1" x14ac:dyDescent="0.25"/>
    <row r="1310" customFormat="1" ht="15" customHeight="1" x14ac:dyDescent="0.25"/>
    <row r="1311" customFormat="1" ht="15" customHeight="1" x14ac:dyDescent="0.25"/>
    <row r="1312" customFormat="1" ht="15" customHeight="1" x14ac:dyDescent="0.25"/>
    <row r="1313" customFormat="1" ht="15" customHeight="1" x14ac:dyDescent="0.25"/>
    <row r="1314" customFormat="1" ht="15" customHeight="1" x14ac:dyDescent="0.25"/>
    <row r="1315" customFormat="1" ht="15" customHeight="1" x14ac:dyDescent="0.25"/>
    <row r="1316" customFormat="1" ht="15" customHeight="1" x14ac:dyDescent="0.25"/>
    <row r="1317" customFormat="1" ht="15" customHeight="1" x14ac:dyDescent="0.25"/>
    <row r="1318" customFormat="1" ht="15" customHeight="1" x14ac:dyDescent="0.25"/>
    <row r="1319" customFormat="1" ht="15" customHeight="1" x14ac:dyDescent="0.25"/>
    <row r="1320" customFormat="1" ht="15" customHeight="1" x14ac:dyDescent="0.25"/>
    <row r="1321" customFormat="1" ht="15" customHeight="1" x14ac:dyDescent="0.25"/>
    <row r="1322" customFormat="1" ht="15" customHeight="1" x14ac:dyDescent="0.25"/>
    <row r="1323" customFormat="1" ht="15" customHeight="1" x14ac:dyDescent="0.25"/>
    <row r="1324" customFormat="1" ht="15" customHeight="1" x14ac:dyDescent="0.25"/>
    <row r="1325" customFormat="1" ht="15" customHeight="1" x14ac:dyDescent="0.25"/>
    <row r="1326" customFormat="1" ht="15" customHeight="1" x14ac:dyDescent="0.25"/>
    <row r="1327" customFormat="1" ht="15" customHeight="1" x14ac:dyDescent="0.25"/>
    <row r="1328" customFormat="1" ht="15" customHeight="1" x14ac:dyDescent="0.25"/>
    <row r="1329" customFormat="1" ht="15" customHeight="1" x14ac:dyDescent="0.25"/>
    <row r="1330" customFormat="1" ht="15" customHeight="1" x14ac:dyDescent="0.25"/>
    <row r="1331" customFormat="1" ht="15" customHeight="1" x14ac:dyDescent="0.25"/>
    <row r="1332" customFormat="1" ht="15" customHeight="1" x14ac:dyDescent="0.25"/>
    <row r="1333" customFormat="1" ht="15" customHeight="1" x14ac:dyDescent="0.25"/>
    <row r="1334" customFormat="1" ht="15" customHeight="1" x14ac:dyDescent="0.25"/>
    <row r="1335" customFormat="1" ht="15" customHeight="1" x14ac:dyDescent="0.25"/>
    <row r="1336" customFormat="1" ht="15" customHeight="1" x14ac:dyDescent="0.25"/>
    <row r="1337" customFormat="1" ht="15" customHeight="1" x14ac:dyDescent="0.25"/>
    <row r="1338" customFormat="1" ht="15" customHeight="1" x14ac:dyDescent="0.25"/>
    <row r="1339" customFormat="1" ht="15" customHeight="1" x14ac:dyDescent="0.25"/>
    <row r="1340" customFormat="1" ht="15" customHeight="1" x14ac:dyDescent="0.25"/>
    <row r="1341" customFormat="1" ht="15" customHeight="1" x14ac:dyDescent="0.25"/>
    <row r="1342" customFormat="1" ht="15" customHeight="1" x14ac:dyDescent="0.25"/>
    <row r="1343" customFormat="1" ht="15" customHeight="1" x14ac:dyDescent="0.25"/>
    <row r="1344" customFormat="1" ht="15" customHeight="1" x14ac:dyDescent="0.25"/>
    <row r="1345" customFormat="1" ht="15" customHeight="1" x14ac:dyDescent="0.25"/>
    <row r="1346" customFormat="1" ht="15" customHeight="1" x14ac:dyDescent="0.25"/>
    <row r="1347" customFormat="1" ht="15" customHeight="1" x14ac:dyDescent="0.25"/>
    <row r="1348" customFormat="1" ht="15" customHeight="1" x14ac:dyDescent="0.25"/>
    <row r="1349" customFormat="1" ht="15" customHeight="1" x14ac:dyDescent="0.25"/>
    <row r="1350" customFormat="1" ht="15" customHeight="1" x14ac:dyDescent="0.25"/>
    <row r="1351" customFormat="1" ht="15" customHeight="1" x14ac:dyDescent="0.25"/>
    <row r="1352" customFormat="1" ht="15" customHeight="1" x14ac:dyDescent="0.25"/>
    <row r="1353" customFormat="1" ht="15" customHeight="1" x14ac:dyDescent="0.25"/>
    <row r="1354" customFormat="1" ht="15" customHeight="1" x14ac:dyDescent="0.25"/>
    <row r="1355" customFormat="1" ht="15" customHeight="1" x14ac:dyDescent="0.25"/>
    <row r="1356" customFormat="1" ht="15" customHeight="1" x14ac:dyDescent="0.25"/>
    <row r="1357" customFormat="1" ht="15" customHeight="1" x14ac:dyDescent="0.25"/>
    <row r="1358" customFormat="1" ht="15" customHeight="1" x14ac:dyDescent="0.25"/>
    <row r="1359" customFormat="1" ht="15" customHeight="1" x14ac:dyDescent="0.25"/>
    <row r="1360" customFormat="1" ht="15" customHeight="1" x14ac:dyDescent="0.25"/>
    <row r="1361" customFormat="1" ht="15" customHeight="1" x14ac:dyDescent="0.25"/>
    <row r="1362" customFormat="1" ht="15" customHeight="1" x14ac:dyDescent="0.25"/>
    <row r="1363" customFormat="1" ht="15" customHeight="1" x14ac:dyDescent="0.25"/>
    <row r="1364" customFormat="1" ht="15" customHeight="1" x14ac:dyDescent="0.25"/>
    <row r="1365" customFormat="1" ht="15" customHeight="1" x14ac:dyDescent="0.25"/>
    <row r="1366" customFormat="1" ht="15" customHeight="1" x14ac:dyDescent="0.25"/>
    <row r="1367" customFormat="1" ht="15" customHeight="1" x14ac:dyDescent="0.25"/>
    <row r="1368" customFormat="1" ht="15" customHeight="1" x14ac:dyDescent="0.25"/>
    <row r="1369" customFormat="1" ht="15" customHeight="1" x14ac:dyDescent="0.25"/>
    <row r="1370" customFormat="1" ht="15" customHeight="1" x14ac:dyDescent="0.25"/>
    <row r="1371" customFormat="1" ht="15" customHeight="1" x14ac:dyDescent="0.25"/>
    <row r="1372" customFormat="1" ht="15" customHeight="1" x14ac:dyDescent="0.25"/>
    <row r="1373" customFormat="1" ht="15" customHeight="1" x14ac:dyDescent="0.25"/>
    <row r="1374" customFormat="1" ht="15" customHeight="1" x14ac:dyDescent="0.25"/>
    <row r="1375" customFormat="1" ht="15" customHeight="1" x14ac:dyDescent="0.25"/>
    <row r="1376" customFormat="1" ht="15" customHeight="1" x14ac:dyDescent="0.25"/>
    <row r="1377" customFormat="1" ht="15" customHeight="1" x14ac:dyDescent="0.25"/>
    <row r="1378" customFormat="1" ht="15" customHeight="1" x14ac:dyDescent="0.25"/>
    <row r="1379" customFormat="1" ht="15" customHeight="1" x14ac:dyDescent="0.25"/>
    <row r="1380" customFormat="1" ht="15" customHeight="1" x14ac:dyDescent="0.25"/>
    <row r="1381" customFormat="1" ht="15" customHeight="1" x14ac:dyDescent="0.25"/>
    <row r="1382" customFormat="1" ht="15" customHeight="1" x14ac:dyDescent="0.25"/>
    <row r="1383" customFormat="1" ht="15" customHeight="1" x14ac:dyDescent="0.25"/>
    <row r="1384" customFormat="1" ht="15" customHeight="1" x14ac:dyDescent="0.25"/>
    <row r="1385" customFormat="1" ht="15" customHeight="1" x14ac:dyDescent="0.25"/>
    <row r="1386" customFormat="1" ht="15" customHeight="1" x14ac:dyDescent="0.25"/>
    <row r="1387" customFormat="1" ht="15" customHeight="1" x14ac:dyDescent="0.25"/>
    <row r="1388" customFormat="1" ht="15" customHeight="1" x14ac:dyDescent="0.25"/>
    <row r="1389" customFormat="1" ht="15" customHeight="1" x14ac:dyDescent="0.25"/>
    <row r="1390" customFormat="1" ht="15" customHeight="1" x14ac:dyDescent="0.25"/>
    <row r="1391" customFormat="1" ht="15" customHeight="1" x14ac:dyDescent="0.25"/>
    <row r="1392" customFormat="1" ht="15" customHeight="1" x14ac:dyDescent="0.25"/>
    <row r="1393" customFormat="1" ht="15" customHeight="1" x14ac:dyDescent="0.25"/>
    <row r="1394" customFormat="1" ht="15" customHeight="1" x14ac:dyDescent="0.25"/>
    <row r="1395" customFormat="1" ht="15" customHeight="1" x14ac:dyDescent="0.25"/>
    <row r="1396" customFormat="1" ht="15" customHeight="1" x14ac:dyDescent="0.25"/>
    <row r="1397" customFormat="1" ht="15" customHeight="1" x14ac:dyDescent="0.25"/>
    <row r="1398" customFormat="1" ht="15" customHeight="1" x14ac:dyDescent="0.25"/>
    <row r="1399" customFormat="1" ht="15" customHeight="1" x14ac:dyDescent="0.25"/>
    <row r="1400" customFormat="1" ht="15" customHeight="1" x14ac:dyDescent="0.25"/>
    <row r="1401" customFormat="1" ht="15" customHeight="1" x14ac:dyDescent="0.25"/>
    <row r="1402" customFormat="1" ht="15" customHeight="1" x14ac:dyDescent="0.25"/>
    <row r="1403" customFormat="1" ht="15" customHeight="1" x14ac:dyDescent="0.25"/>
    <row r="1404" customFormat="1" ht="15" customHeight="1" x14ac:dyDescent="0.25"/>
    <row r="1405" customFormat="1" ht="15" customHeight="1" x14ac:dyDescent="0.25"/>
    <row r="1406" customFormat="1" ht="15" customHeight="1" x14ac:dyDescent="0.25"/>
    <row r="1407" customFormat="1" ht="15" customHeight="1" x14ac:dyDescent="0.25"/>
    <row r="1408" customFormat="1" ht="15" customHeight="1" x14ac:dyDescent="0.25"/>
    <row r="1409" customFormat="1" ht="15" customHeight="1" x14ac:dyDescent="0.25"/>
    <row r="1410" customFormat="1" ht="15" customHeight="1" x14ac:dyDescent="0.25"/>
    <row r="1411" customFormat="1" ht="15" customHeight="1" x14ac:dyDescent="0.25"/>
    <row r="1412" customFormat="1" ht="15" customHeight="1" x14ac:dyDescent="0.25"/>
    <row r="1413" customFormat="1" ht="15" customHeight="1" x14ac:dyDescent="0.25"/>
    <row r="1414" customFormat="1" ht="15" customHeight="1" x14ac:dyDescent="0.25"/>
    <row r="1415" customFormat="1" ht="15" customHeight="1" x14ac:dyDescent="0.25"/>
    <row r="1416" customFormat="1" ht="15" customHeight="1" x14ac:dyDescent="0.25"/>
    <row r="1417" customFormat="1" ht="15" customHeight="1" x14ac:dyDescent="0.25"/>
    <row r="1418" customFormat="1" ht="15" customHeight="1" x14ac:dyDescent="0.25"/>
    <row r="1419" customFormat="1" ht="15" customHeight="1" x14ac:dyDescent="0.25"/>
    <row r="1420" customFormat="1" ht="15" customHeight="1" x14ac:dyDescent="0.25"/>
  </sheetData>
  <mergeCells count="4">
    <mergeCell ref="B2:AF2"/>
    <mergeCell ref="A32:AG32"/>
    <mergeCell ref="A2:A3"/>
    <mergeCell ref="AG2:AG3"/>
  </mergeCells>
  <conditionalFormatting sqref="B5:AF30">
    <cfRule type="expression" priority="1" stopIfTrue="1">
      <formula>B5=""</formula>
    </cfRule>
    <cfRule type="expression" dxfId="94" priority="2" stopIfTrue="1">
      <formula>B5=KeyCustom2</formula>
    </cfRule>
    <cfRule type="expression" dxfId="93" priority="3" stopIfTrue="1">
      <formula>B5=KeyCustom1</formula>
    </cfRule>
    <cfRule type="expression" dxfId="92" priority="4" stopIfTrue="1">
      <formula>B5=KeySick</formula>
    </cfRule>
    <cfRule type="expression" dxfId="91" priority="5" stopIfTrue="1">
      <formula>B5=KeyPersonal</formula>
    </cfRule>
    <cfRule type="expression" dxfId="90" priority="6" stopIfTrue="1">
      <formula>B5=KeyVacation</formula>
    </cfRule>
  </conditionalFormatting>
  <conditionalFormatting sqref="AG5:AG30">
    <cfRule type="dataBar" priority="31">
      <dataBar>
        <cfvo type="min"/>
        <cfvo type="num" val="31"/>
        <color theme="2" tint="-0.249977111117893"/>
      </dataBar>
      <extLst>
        <ext xmlns:x14="http://schemas.microsoft.com/office/spreadsheetml/2009/9/main" uri="{B025F937-C7B1-47D3-B67F-A62EFF666E3E}">
          <x14:id>{ECCE2C3C-1B01-4700-B60E-DAAAB19A9C1A}</x14:id>
        </ext>
      </extLst>
    </cfRule>
  </conditionalFormatting>
  <printOptions horizontalCentered="1"/>
  <pageMargins left="0.25" right="0.25" top="0.75" bottom="0.75" header="0.3" footer="0.3"/>
  <pageSetup scale="67" fitToHeight="0" orientation="landscape"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CCE2C3C-1B01-4700-B60E-DAAAB19A9C1A}">
            <x14:dataBar minLength="0" maxLength="100">
              <x14:cfvo type="autoMin"/>
              <x14:cfvo type="num">
                <xm:f>31</xm:f>
              </x14:cfvo>
              <x14:negativeFillColor rgb="FFFF0000"/>
              <x14:axisColor rgb="FF000000"/>
            </x14:dataBar>
          </x14:cfRule>
          <xm:sqref>AG5:AG30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2" tint="-0.249977111117893"/>
    <pageSetUpPr fitToPage="1"/>
  </sheetPr>
  <dimension ref="A1:AH41"/>
  <sheetViews>
    <sheetView showGridLines="0" zoomScaleNormal="100" workbookViewId="0">
      <pane ySplit="4" topLeftCell="A38" activePane="bottomLeft" state="frozen"/>
      <selection pane="bottomLeft" activeCell="X41" sqref="X41"/>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8" t="s">
        <v>54</v>
      </c>
      <c r="B2" s="76" t="s">
        <v>1</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9">
        <f>CalendarYear</f>
        <v>2015</v>
      </c>
    </row>
    <row r="3" spans="1:34" ht="15.75" customHeight="1" x14ac:dyDescent="0.25">
      <c r="A3" s="78"/>
      <c r="B3" s="28" t="str">
        <f>TEXT(WEEKDAY(DATE(CalendarYear,10,1),1),"aaa")</f>
        <v>Thu</v>
      </c>
      <c r="C3" s="29" t="str">
        <f>TEXT(WEEKDAY(DATE(CalendarYear,10,2),1),"aaa")</f>
        <v>Fri</v>
      </c>
      <c r="D3" s="29" t="str">
        <f>TEXT(WEEKDAY(DATE(CalendarYear,10,3),1),"aaa")</f>
        <v>Sat</v>
      </c>
      <c r="E3" s="29" t="str">
        <f>TEXT(WEEKDAY(DATE(CalendarYear,10,4),1),"aaa")</f>
        <v>Sun</v>
      </c>
      <c r="F3" s="29" t="str">
        <f>TEXT(WEEKDAY(DATE(CalendarYear,10,5),1),"aaa")</f>
        <v>Mon</v>
      </c>
      <c r="G3" s="29" t="str">
        <f>TEXT(WEEKDAY(DATE(CalendarYear,10,6),1),"aaa")</f>
        <v>Tue</v>
      </c>
      <c r="H3" s="29" t="str">
        <f>TEXT(WEEKDAY(DATE(CalendarYear,10,7),1),"aaa")</f>
        <v>Wed</v>
      </c>
      <c r="I3" s="29" t="str">
        <f>TEXT(WEEKDAY(DATE(CalendarYear,10,8),1),"aaa")</f>
        <v>Thu</v>
      </c>
      <c r="J3" s="29" t="str">
        <f>TEXT(WEEKDAY(DATE(CalendarYear,10,9),1),"aaa")</f>
        <v>Fri</v>
      </c>
      <c r="K3" s="29" t="str">
        <f>TEXT(WEEKDAY(DATE(CalendarYear,10,10),1),"aaa")</f>
        <v>Sat</v>
      </c>
      <c r="L3" s="29" t="str">
        <f>TEXT(WEEKDAY(DATE(CalendarYear,10,11),1),"aaa")</f>
        <v>Sun</v>
      </c>
      <c r="M3" s="29" t="str">
        <f>TEXT(WEEKDAY(DATE(CalendarYear,10,12),1),"aaa")</f>
        <v>Mon</v>
      </c>
      <c r="N3" s="29" t="str">
        <f>TEXT(WEEKDAY(DATE(CalendarYear,10,13),1),"aaa")</f>
        <v>Tue</v>
      </c>
      <c r="O3" s="29" t="str">
        <f>TEXT(WEEKDAY(DATE(CalendarYear,10,14),1),"aaa")</f>
        <v>Wed</v>
      </c>
      <c r="P3" s="29" t="str">
        <f>TEXT(WEEKDAY(DATE(CalendarYear,10,15),1),"aaa")</f>
        <v>Thu</v>
      </c>
      <c r="Q3" s="29" t="str">
        <f>TEXT(WEEKDAY(DATE(CalendarYear,10,16),1),"aaa")</f>
        <v>Fri</v>
      </c>
      <c r="R3" s="29" t="str">
        <f>TEXT(WEEKDAY(DATE(CalendarYear,10,17),1),"aaa")</f>
        <v>Sat</v>
      </c>
      <c r="S3" s="29" t="str">
        <f>TEXT(WEEKDAY(DATE(CalendarYear,10,18),1),"aaa")</f>
        <v>Sun</v>
      </c>
      <c r="T3" s="29" t="str">
        <f>TEXT(WEEKDAY(DATE(CalendarYear,10,19),1),"aaa")</f>
        <v>Mon</v>
      </c>
      <c r="U3" s="29" t="str">
        <f>TEXT(WEEKDAY(DATE(CalendarYear,10,20),1),"aaa")</f>
        <v>Tue</v>
      </c>
      <c r="V3" s="29" t="str">
        <f>TEXT(WEEKDAY(DATE(CalendarYear,10,21),1),"aaa")</f>
        <v>Wed</v>
      </c>
      <c r="W3" s="29" t="str">
        <f>TEXT(WEEKDAY(DATE(CalendarYear,10,22),1),"aaa")</f>
        <v>Thu</v>
      </c>
      <c r="X3" s="29" t="str">
        <f>TEXT(WEEKDAY(DATE(CalendarYear,10,23),1),"aaa")</f>
        <v>Fri</v>
      </c>
      <c r="Y3" s="29" t="str">
        <f>TEXT(WEEKDAY(DATE(CalendarYear,10,24),1),"aaa")</f>
        <v>Sat</v>
      </c>
      <c r="Z3" s="29" t="str">
        <f>TEXT(WEEKDAY(DATE(CalendarYear,10,25),1),"aaa")</f>
        <v>Sun</v>
      </c>
      <c r="AA3" s="29" t="str">
        <f>TEXT(WEEKDAY(DATE(CalendarYear,10,26),1),"aaa")</f>
        <v>Mon</v>
      </c>
      <c r="AB3" s="29" t="str">
        <f>TEXT(WEEKDAY(DATE(CalendarYear,10,27),1),"aaa")</f>
        <v>Tue</v>
      </c>
      <c r="AC3" s="29" t="str">
        <f>TEXT(WEEKDAY(DATE(CalendarYear,10,28),1),"aaa")</f>
        <v>Wed</v>
      </c>
      <c r="AD3" s="29" t="str">
        <f>TEXT(WEEKDAY(DATE(CalendarYear,10,29),1),"aaa")</f>
        <v>Thu</v>
      </c>
      <c r="AE3" s="29" t="str">
        <f>TEXT(WEEKDAY(DATE(CalendarYear,10,30),1),"aaa")</f>
        <v>Fri</v>
      </c>
      <c r="AF3" s="29" t="str">
        <f>TEXT(WEEKDAY(DATE(CalendarYear,10,31),1),"aaa")</f>
        <v>Sat</v>
      </c>
      <c r="AG3" s="79"/>
    </row>
    <row r="4" spans="1:34" s="13" customFormat="1" x14ac:dyDescent="0.25">
      <c r="A4" s="38" t="s">
        <v>2</v>
      </c>
      <c r="B4" s="45" t="s">
        <v>3</v>
      </c>
      <c r="C4" s="45" t="s">
        <v>4</v>
      </c>
      <c r="D4" s="45" t="s">
        <v>5</v>
      </c>
      <c r="E4" s="45" t="s">
        <v>6</v>
      </c>
      <c r="F4" s="45" t="s">
        <v>7</v>
      </c>
      <c r="G4" s="45" t="s">
        <v>8</v>
      </c>
      <c r="H4" s="45" t="s">
        <v>9</v>
      </c>
      <c r="I4" s="45" t="s">
        <v>10</v>
      </c>
      <c r="J4" s="45" t="s">
        <v>11</v>
      </c>
      <c r="K4" s="45" t="s">
        <v>12</v>
      </c>
      <c r="L4" s="45" t="s">
        <v>13</v>
      </c>
      <c r="M4" s="45" t="s">
        <v>14</v>
      </c>
      <c r="N4" s="45" t="s">
        <v>15</v>
      </c>
      <c r="O4" s="45" t="s">
        <v>16</v>
      </c>
      <c r="P4" s="45" t="s">
        <v>17</v>
      </c>
      <c r="Q4" s="45" t="s">
        <v>18</v>
      </c>
      <c r="R4" s="45" t="s">
        <v>19</v>
      </c>
      <c r="S4" s="45" t="s">
        <v>20</v>
      </c>
      <c r="T4" s="45" t="s">
        <v>21</v>
      </c>
      <c r="U4" s="45" t="s">
        <v>22</v>
      </c>
      <c r="V4" s="45" t="s">
        <v>23</v>
      </c>
      <c r="W4" s="45" t="s">
        <v>24</v>
      </c>
      <c r="X4" s="45" t="s">
        <v>25</v>
      </c>
      <c r="Y4" s="45" t="s">
        <v>26</v>
      </c>
      <c r="Z4" s="45" t="s">
        <v>27</v>
      </c>
      <c r="AA4" s="45" t="s">
        <v>28</v>
      </c>
      <c r="AB4" s="45" t="s">
        <v>29</v>
      </c>
      <c r="AC4" s="45" t="s">
        <v>30</v>
      </c>
      <c r="AD4" s="17" t="s">
        <v>31</v>
      </c>
      <c r="AE4" s="45" t="s">
        <v>32</v>
      </c>
      <c r="AF4" s="45" t="s">
        <v>33</v>
      </c>
      <c r="AG4" s="45" t="s">
        <v>34</v>
      </c>
      <c r="AH4" s="12"/>
    </row>
    <row r="5" spans="1:34" s="13" customFormat="1" x14ac:dyDescent="0.25">
      <c r="A5" s="44" t="s">
        <v>60</v>
      </c>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11">
        <f>COUNTA(tblOctober[[#This Row],[1]:[29]])</f>
        <v>0</v>
      </c>
      <c r="AH5" s="12"/>
    </row>
    <row r="6" spans="1:34" s="13" customFormat="1" x14ac:dyDescent="0.25">
      <c r="A6" s="44" t="s">
        <v>82</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COUNTA(tblOctober[[#This Row],[1]:[29]])</f>
        <v>0</v>
      </c>
      <c r="AH6" s="12"/>
    </row>
    <row r="7" spans="1:34" s="13" customFormat="1" x14ac:dyDescent="0.25">
      <c r="A7" s="44" t="s">
        <v>97</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COUNTA(tblOctober[[#This Row],[1]:[29]])</f>
        <v>0</v>
      </c>
      <c r="AH7" s="12"/>
    </row>
    <row r="8" spans="1:34" s="13" customFormat="1" x14ac:dyDescent="0.25">
      <c r="A8" s="44" t="s">
        <v>58</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COUNTA(tblOctober[[#This Row],[1]:[29]])</f>
        <v>0</v>
      </c>
      <c r="AH8" s="12"/>
    </row>
    <row r="9" spans="1:34" s="13" customFormat="1" x14ac:dyDescent="0.25">
      <c r="A9" s="44" t="s">
        <v>63</v>
      </c>
      <c r="B9" s="46"/>
      <c r="C9" s="46"/>
      <c r="D9" s="46"/>
      <c r="E9" s="46"/>
      <c r="F9" s="46"/>
      <c r="G9" s="46"/>
      <c r="H9" s="46"/>
      <c r="I9" s="46"/>
      <c r="J9" s="46"/>
      <c r="K9" s="46"/>
      <c r="L9" s="46"/>
      <c r="M9" s="46"/>
      <c r="N9" s="46"/>
      <c r="O9" s="46"/>
      <c r="P9" s="46"/>
      <c r="Q9" s="46"/>
      <c r="R9" s="46"/>
      <c r="S9" s="46"/>
      <c r="T9" s="46"/>
      <c r="U9" s="46"/>
      <c r="V9" s="46"/>
      <c r="W9" s="46" t="s">
        <v>36</v>
      </c>
      <c r="X9" s="46" t="s">
        <v>36</v>
      </c>
      <c r="Y9" s="46"/>
      <c r="Z9" s="46"/>
      <c r="AA9" s="46"/>
      <c r="AB9" s="46"/>
      <c r="AC9" s="46"/>
      <c r="AD9" s="46"/>
      <c r="AE9" s="46"/>
      <c r="AF9" s="46"/>
      <c r="AG9" s="11">
        <f>COUNTA(tblOctober[[#This Row],[1]:[29]])</f>
        <v>2</v>
      </c>
      <c r="AH9" s="12"/>
    </row>
    <row r="10" spans="1:34" s="13" customFormat="1" x14ac:dyDescent="0.25">
      <c r="A10" s="55" t="s">
        <v>94</v>
      </c>
      <c r="B10" s="46"/>
      <c r="C10" s="46"/>
      <c r="D10" s="46"/>
      <c r="E10" s="46"/>
      <c r="F10" s="46"/>
      <c r="G10" s="46"/>
      <c r="H10" s="46"/>
      <c r="I10" s="46"/>
      <c r="J10" s="46"/>
      <c r="K10" s="46"/>
      <c r="L10" s="46"/>
      <c r="M10" s="46"/>
      <c r="N10" s="46"/>
      <c r="O10" s="46"/>
      <c r="P10" s="46"/>
      <c r="Q10" s="46"/>
      <c r="R10" s="46"/>
      <c r="S10" s="46"/>
      <c r="T10" s="46" t="s">
        <v>36</v>
      </c>
      <c r="U10" s="46" t="s">
        <v>36</v>
      </c>
      <c r="V10" s="46"/>
      <c r="W10" s="46"/>
      <c r="X10" s="46"/>
      <c r="Y10" s="46"/>
      <c r="Z10" s="46"/>
      <c r="AA10" s="46"/>
      <c r="AB10" s="46"/>
      <c r="AC10" s="46"/>
      <c r="AD10" s="46"/>
      <c r="AE10" s="46"/>
      <c r="AF10" s="46"/>
      <c r="AG10" s="11">
        <f>COUNTA(tblOctober[[#This Row],[1]:[29]])</f>
        <v>2</v>
      </c>
      <c r="AH10" s="12"/>
    </row>
    <row r="11" spans="1:34" s="13" customFormat="1" x14ac:dyDescent="0.25">
      <c r="A11" s="44" t="s">
        <v>73</v>
      </c>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11">
        <f>COUNTA(tblOctober[[#This Row],[1]:[29]])</f>
        <v>0</v>
      </c>
      <c r="AH11" s="12"/>
    </row>
    <row r="12" spans="1:34" s="13" customFormat="1" x14ac:dyDescent="0.25">
      <c r="A12" s="55" t="s">
        <v>90</v>
      </c>
      <c r="B12" s="46" t="s">
        <v>36</v>
      </c>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11">
        <f>COUNTA(tblOctober[[#This Row],[1]:[29]])</f>
        <v>1</v>
      </c>
      <c r="AH12" s="12"/>
    </row>
    <row r="13" spans="1:34" s="13" customFormat="1" x14ac:dyDescent="0.25">
      <c r="A13" s="55" t="s">
        <v>93</v>
      </c>
      <c r="B13" s="46"/>
      <c r="C13" s="46"/>
      <c r="D13" s="46"/>
      <c r="E13" s="46"/>
      <c r="F13" s="46"/>
      <c r="G13" s="46"/>
      <c r="H13" s="46"/>
      <c r="I13" s="46"/>
      <c r="J13" s="46" t="s">
        <v>36</v>
      </c>
      <c r="K13" s="46"/>
      <c r="L13" s="46"/>
      <c r="M13" s="46"/>
      <c r="N13" s="46"/>
      <c r="O13" s="46"/>
      <c r="P13" s="46"/>
      <c r="Q13" s="46"/>
      <c r="R13" s="46"/>
      <c r="S13" s="46"/>
      <c r="T13" s="46"/>
      <c r="U13" s="46"/>
      <c r="V13" s="46"/>
      <c r="W13" s="46"/>
      <c r="X13" s="46"/>
      <c r="Y13" s="46"/>
      <c r="Z13" s="46"/>
      <c r="AA13" s="46"/>
      <c r="AB13" s="46"/>
      <c r="AC13" s="46"/>
      <c r="AD13" s="46"/>
      <c r="AE13" s="46"/>
      <c r="AF13" s="46"/>
      <c r="AG13" s="11">
        <f>COUNTA(tblOctober[[#This Row],[1]:[29]])</f>
        <v>1</v>
      </c>
      <c r="AH13" s="12"/>
    </row>
    <row r="14" spans="1:34" s="13" customFormat="1" x14ac:dyDescent="0.25">
      <c r="A14" s="44" t="s">
        <v>101</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11">
        <f>COUNTA(tblOctober[[#This Row],[1]:[29]])</f>
        <v>0</v>
      </c>
      <c r="AH14" s="12"/>
    </row>
    <row r="15" spans="1:34" s="13" customFormat="1" x14ac:dyDescent="0.25">
      <c r="A15" s="55" t="s">
        <v>91</v>
      </c>
      <c r="B15" s="46" t="s">
        <v>36</v>
      </c>
      <c r="C15" s="46"/>
      <c r="D15" s="46"/>
      <c r="E15" s="46"/>
      <c r="F15" s="46"/>
      <c r="G15" s="46"/>
      <c r="H15" s="46"/>
      <c r="I15" s="46"/>
      <c r="J15" s="46"/>
      <c r="K15" s="46"/>
      <c r="L15" s="46"/>
      <c r="M15" s="46"/>
      <c r="N15" s="46"/>
      <c r="O15" s="46"/>
      <c r="P15" s="46" t="s">
        <v>36</v>
      </c>
      <c r="Q15" s="46"/>
      <c r="R15" s="46"/>
      <c r="S15" s="46"/>
      <c r="T15" s="46"/>
      <c r="U15" s="46"/>
      <c r="V15" s="46"/>
      <c r="W15" s="46"/>
      <c r="X15" s="46"/>
      <c r="Y15" s="46"/>
      <c r="Z15" s="46"/>
      <c r="AA15" s="46"/>
      <c r="AB15" s="46"/>
      <c r="AC15" s="46"/>
      <c r="AD15" s="46"/>
      <c r="AE15" s="46"/>
      <c r="AF15" s="46"/>
      <c r="AG15" s="11">
        <f>COUNTA(tblOctober[[#This Row],[1]:[29]])</f>
        <v>2</v>
      </c>
      <c r="AH15" s="12"/>
    </row>
    <row r="16" spans="1:34" s="13" customFormat="1" x14ac:dyDescent="0.25">
      <c r="A16" s="55" t="s">
        <v>92</v>
      </c>
      <c r="B16" s="46" t="s">
        <v>36</v>
      </c>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11">
        <f>COUNTA(tblOctober[[#This Row],[1]:[29]])</f>
        <v>1</v>
      </c>
      <c r="AH16" s="12"/>
    </row>
    <row r="17" spans="1:34" s="13" customFormat="1" x14ac:dyDescent="0.25">
      <c r="A17" s="55" t="s">
        <v>102</v>
      </c>
      <c r="B17" s="74"/>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11">
        <f>COUNTA(tblOctober[[#This Row],[1]:[29]])</f>
        <v>0</v>
      </c>
      <c r="AH17" s="12"/>
    </row>
    <row r="18" spans="1:34" s="13" customFormat="1" x14ac:dyDescent="0.25">
      <c r="A18" s="44" t="s">
        <v>81</v>
      </c>
      <c r="B18" s="46"/>
      <c r="C18" s="46"/>
      <c r="D18" s="46"/>
      <c r="E18" s="46"/>
      <c r="F18" s="46" t="s">
        <v>36</v>
      </c>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11">
        <f>COUNTA(tblOctober[[#This Row],[1]:[29]])</f>
        <v>1</v>
      </c>
      <c r="AH18" s="12"/>
    </row>
    <row r="19" spans="1:34" s="13" customFormat="1" x14ac:dyDescent="0.25">
      <c r="A19" s="44" t="s">
        <v>103</v>
      </c>
      <c r="B19" s="74"/>
      <c r="C19" s="74"/>
      <c r="D19" s="74"/>
      <c r="E19" s="74"/>
      <c r="F19" s="74"/>
      <c r="G19" s="74"/>
      <c r="H19" s="74"/>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11">
        <f>COUNTA(tblOctober[[#This Row],[1]:[29]])</f>
        <v>0</v>
      </c>
      <c r="AH19" s="12"/>
    </row>
    <row r="20" spans="1:34" s="13" customFormat="1" x14ac:dyDescent="0.25">
      <c r="A20" s="55" t="s">
        <v>96</v>
      </c>
      <c r="B20" s="46"/>
      <c r="C20" s="46"/>
      <c r="D20" s="46"/>
      <c r="E20" s="46"/>
      <c r="F20" s="46"/>
      <c r="G20" s="46"/>
      <c r="H20" s="46"/>
      <c r="I20" s="46"/>
      <c r="J20" s="46"/>
      <c r="K20" s="46"/>
      <c r="L20" s="46"/>
      <c r="M20" s="46" t="s">
        <v>36</v>
      </c>
      <c r="N20" s="46"/>
      <c r="O20" s="46"/>
      <c r="P20" s="46"/>
      <c r="Q20" s="46"/>
      <c r="R20" s="46"/>
      <c r="S20" s="46"/>
      <c r="T20" s="46"/>
      <c r="U20" s="46"/>
      <c r="V20" s="46"/>
      <c r="W20" s="46"/>
      <c r="X20" s="46"/>
      <c r="Y20" s="46"/>
      <c r="Z20" s="46"/>
      <c r="AA20" s="46"/>
      <c r="AB20" s="46"/>
      <c r="AC20" s="46"/>
      <c r="AD20" s="46"/>
      <c r="AE20" s="46"/>
      <c r="AF20" s="46"/>
      <c r="AG20" s="11">
        <f>COUNTA(tblOctober[[#This Row],[1]:[29]])</f>
        <v>1</v>
      </c>
      <c r="AH20" s="12"/>
    </row>
    <row r="21" spans="1:34" s="13" customFormat="1" x14ac:dyDescent="0.25">
      <c r="A21" s="55" t="s">
        <v>95</v>
      </c>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11">
        <f>COUNTA(tblOctober[[#This Row],[1]:[29]])</f>
        <v>0</v>
      </c>
      <c r="AH21" s="12"/>
    </row>
    <row r="22" spans="1:34" s="13" customFormat="1" x14ac:dyDescent="0.25">
      <c r="A22" s="44" t="s">
        <v>66</v>
      </c>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11">
        <f>COUNTA(tblOctober[[#This Row],[1]:[29]])</f>
        <v>0</v>
      </c>
      <c r="AH22" s="12"/>
    </row>
    <row r="23" spans="1:34" s="13" customFormat="1" x14ac:dyDescent="0.25">
      <c r="A23" s="44" t="s">
        <v>89</v>
      </c>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11">
        <f>COUNTA(tblOctober[[#This Row],[1]:[29]])</f>
        <v>0</v>
      </c>
      <c r="AH23" s="12"/>
    </row>
    <row r="24" spans="1:34" s="13" customFormat="1" x14ac:dyDescent="0.25">
      <c r="A24" s="44" t="s">
        <v>79</v>
      </c>
      <c r="B24" s="46"/>
      <c r="C24" s="46"/>
      <c r="D24" s="46"/>
      <c r="E24" s="46"/>
      <c r="F24" s="46"/>
      <c r="G24" s="46"/>
      <c r="H24" s="46"/>
      <c r="I24" s="46"/>
      <c r="J24" s="46"/>
      <c r="K24" s="46"/>
      <c r="L24" s="46"/>
      <c r="M24" s="46"/>
      <c r="N24" s="46" t="s">
        <v>36</v>
      </c>
      <c r="O24" s="46"/>
      <c r="P24" s="46"/>
      <c r="Q24" s="46"/>
      <c r="R24" s="46"/>
      <c r="S24" s="46"/>
      <c r="T24" s="46"/>
      <c r="U24" s="46" t="s">
        <v>36</v>
      </c>
      <c r="V24" s="46" t="s">
        <v>36</v>
      </c>
      <c r="W24" s="46"/>
      <c r="X24" s="46"/>
      <c r="Y24" s="46"/>
      <c r="Z24" s="46"/>
      <c r="AA24" s="46"/>
      <c r="AB24" s="46"/>
      <c r="AC24" s="46"/>
      <c r="AD24" s="46"/>
      <c r="AE24" s="46"/>
      <c r="AF24" s="46"/>
      <c r="AG24" s="11">
        <f>COUNTA(tblOctober[[#This Row],[1]:[29]])</f>
        <v>3</v>
      </c>
      <c r="AH24" s="12"/>
    </row>
    <row r="25" spans="1:34" s="13" customFormat="1" x14ac:dyDescent="0.25">
      <c r="A25" s="44" t="s">
        <v>68</v>
      </c>
      <c r="B25" s="46"/>
      <c r="C25" s="46"/>
      <c r="D25" s="46"/>
      <c r="E25" s="46"/>
      <c r="F25" s="46"/>
      <c r="G25" s="46"/>
      <c r="H25" s="46"/>
      <c r="I25" s="46" t="s">
        <v>36</v>
      </c>
      <c r="J25" s="46"/>
      <c r="K25" s="46"/>
      <c r="L25" s="46"/>
      <c r="M25" s="46"/>
      <c r="N25" s="46"/>
      <c r="O25" s="46"/>
      <c r="P25" s="46"/>
      <c r="Q25" s="46"/>
      <c r="R25" s="46"/>
      <c r="S25" s="46"/>
      <c r="T25" s="46" t="s">
        <v>36</v>
      </c>
      <c r="U25" s="46"/>
      <c r="V25" s="46"/>
      <c r="W25" s="46"/>
      <c r="X25" s="46"/>
      <c r="Y25" s="46"/>
      <c r="Z25" s="46"/>
      <c r="AA25" s="46"/>
      <c r="AB25" s="46"/>
      <c r="AC25" s="46"/>
      <c r="AD25" s="46"/>
      <c r="AE25" s="46"/>
      <c r="AF25" s="46"/>
      <c r="AG25" s="11">
        <f>COUNTA(tblOctober[[#This Row],[1]:[29]])</f>
        <v>2</v>
      </c>
      <c r="AH25" s="12"/>
    </row>
    <row r="26" spans="1:34" s="13" customFormat="1" x14ac:dyDescent="0.25">
      <c r="A26" s="44" t="s">
        <v>65</v>
      </c>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11">
        <f>COUNTA(tblOctober[[#This Row],[1]:[29]])</f>
        <v>0</v>
      </c>
      <c r="AH26" s="12"/>
    </row>
    <row r="27" spans="1:34" s="13" customFormat="1" x14ac:dyDescent="0.25">
      <c r="A27" s="44" t="s">
        <v>104</v>
      </c>
      <c r="B27" s="74"/>
      <c r="C27" s="74"/>
      <c r="D27" s="74"/>
      <c r="E27" s="74"/>
      <c r="F27" s="74"/>
      <c r="G27" s="74"/>
      <c r="H27" s="74"/>
      <c r="I27" s="74"/>
      <c r="J27" s="74"/>
      <c r="K27" s="74"/>
      <c r="L27" s="74"/>
      <c r="M27" s="74"/>
      <c r="N27" s="74"/>
      <c r="O27" s="74"/>
      <c r="P27" s="74"/>
      <c r="Q27" s="74"/>
      <c r="R27" s="74"/>
      <c r="S27" s="74"/>
      <c r="T27" s="74"/>
      <c r="U27" s="74" t="s">
        <v>36</v>
      </c>
      <c r="V27" s="74" t="s">
        <v>36</v>
      </c>
      <c r="W27" s="74" t="s">
        <v>36</v>
      </c>
      <c r="X27" s="74" t="s">
        <v>36</v>
      </c>
      <c r="Y27" s="74"/>
      <c r="Z27" s="74"/>
      <c r="AA27" s="74"/>
      <c r="AB27" s="74"/>
      <c r="AC27" s="74"/>
      <c r="AD27" s="74"/>
      <c r="AE27" s="74"/>
      <c r="AF27" s="74"/>
      <c r="AG27" s="11">
        <f>COUNTA(tblOctober[[#This Row],[1]:[29]])</f>
        <v>4</v>
      </c>
      <c r="AH27" s="12"/>
    </row>
    <row r="28" spans="1:34" s="13" customFormat="1" x14ac:dyDescent="0.25">
      <c r="A28" s="44" t="s">
        <v>67</v>
      </c>
      <c r="B28" s="46"/>
      <c r="C28" s="46"/>
      <c r="D28" s="46"/>
      <c r="E28" s="46"/>
      <c r="F28" s="46" t="s">
        <v>36</v>
      </c>
      <c r="G28" s="46"/>
      <c r="H28" s="46"/>
      <c r="I28" s="46"/>
      <c r="J28" s="46"/>
      <c r="K28" s="46"/>
      <c r="L28" s="46"/>
      <c r="M28" s="46"/>
      <c r="N28" s="46"/>
      <c r="O28" s="46"/>
      <c r="P28" s="46"/>
      <c r="Q28" s="46"/>
      <c r="R28" s="46"/>
      <c r="S28" s="46"/>
      <c r="T28" s="46"/>
      <c r="U28" s="46"/>
      <c r="V28" s="46"/>
      <c r="W28" s="46" t="s">
        <v>36</v>
      </c>
      <c r="X28" s="46"/>
      <c r="Y28" s="46"/>
      <c r="Z28" s="46"/>
      <c r="AA28" s="46"/>
      <c r="AB28" s="46"/>
      <c r="AC28" s="46"/>
      <c r="AD28" s="46"/>
      <c r="AE28" s="46"/>
      <c r="AF28" s="46"/>
      <c r="AG28" s="11">
        <f>COUNTA(tblOctober[[#This Row],[1]:[29]])</f>
        <v>2</v>
      </c>
      <c r="AH28" s="12"/>
    </row>
    <row r="29" spans="1:34" s="13" customFormat="1" x14ac:dyDescent="0.25">
      <c r="A29" s="44" t="s">
        <v>64</v>
      </c>
      <c r="B29" s="46"/>
      <c r="C29" s="46"/>
      <c r="D29" s="46"/>
      <c r="E29" s="46"/>
      <c r="F29" s="46"/>
      <c r="G29" s="46"/>
      <c r="H29" s="46"/>
      <c r="I29" s="46"/>
      <c r="J29" s="46"/>
      <c r="K29" s="46"/>
      <c r="L29" s="46"/>
      <c r="M29" s="46"/>
      <c r="N29" s="46"/>
      <c r="O29" s="46"/>
      <c r="P29" s="46" t="s">
        <v>36</v>
      </c>
      <c r="Q29" s="46"/>
      <c r="R29" s="46"/>
      <c r="S29" s="46"/>
      <c r="T29" s="46"/>
      <c r="U29" s="46"/>
      <c r="V29" s="46"/>
      <c r="W29" s="46"/>
      <c r="X29" s="46"/>
      <c r="Y29" s="46"/>
      <c r="Z29" s="46"/>
      <c r="AA29" s="46"/>
      <c r="AB29" s="46"/>
      <c r="AC29" s="46"/>
      <c r="AD29" s="46"/>
      <c r="AE29" s="46"/>
      <c r="AF29" s="46"/>
      <c r="AG29" s="11">
        <f>COUNTA(tblOctober[[#This Row],[1]:[29]])</f>
        <v>1</v>
      </c>
      <c r="AH29" s="12"/>
    </row>
    <row r="30" spans="1:34" s="13" customFormat="1" x14ac:dyDescent="0.25">
      <c r="A30" s="44" t="s">
        <v>61</v>
      </c>
      <c r="B30" s="46"/>
      <c r="C30" s="46"/>
      <c r="D30" s="46"/>
      <c r="E30" s="46"/>
      <c r="F30" s="46"/>
      <c r="G30" s="46"/>
      <c r="H30" s="46"/>
      <c r="I30" s="46"/>
      <c r="J30" s="46"/>
      <c r="K30" s="46"/>
      <c r="L30" s="46"/>
      <c r="M30" s="46"/>
      <c r="N30" s="46" t="s">
        <v>36</v>
      </c>
      <c r="O30" s="46"/>
      <c r="P30" s="46" t="s">
        <v>36</v>
      </c>
      <c r="Q30" s="46"/>
      <c r="R30" s="46"/>
      <c r="S30" s="46"/>
      <c r="T30" s="46"/>
      <c r="U30" s="46"/>
      <c r="V30" s="46"/>
      <c r="W30" s="46"/>
      <c r="X30" s="46"/>
      <c r="Y30" s="46"/>
      <c r="Z30" s="46"/>
      <c r="AA30" s="46"/>
      <c r="AB30" s="46"/>
      <c r="AC30" s="46"/>
      <c r="AD30" s="46"/>
      <c r="AE30" s="46"/>
      <c r="AF30" s="46"/>
      <c r="AG30" s="11">
        <f>COUNTA(tblOctober[[#This Row],[1]:[29]])</f>
        <v>2</v>
      </c>
      <c r="AH30" s="12"/>
    </row>
    <row r="31" spans="1:34" s="13" customFormat="1" x14ac:dyDescent="0.25">
      <c r="A31" s="44" t="s">
        <v>57</v>
      </c>
      <c r="B31" s="46"/>
      <c r="C31" s="46"/>
      <c r="D31" s="46"/>
      <c r="E31" s="46"/>
      <c r="F31" s="46"/>
      <c r="G31" s="46"/>
      <c r="H31" s="46" t="s">
        <v>36</v>
      </c>
      <c r="I31" s="46" t="s">
        <v>36</v>
      </c>
      <c r="J31" s="74" t="s">
        <v>36</v>
      </c>
      <c r="K31" s="46"/>
      <c r="L31" s="46"/>
      <c r="M31" s="46"/>
      <c r="N31" s="46"/>
      <c r="O31" s="46"/>
      <c r="P31" s="46"/>
      <c r="Q31" s="46"/>
      <c r="R31" s="46"/>
      <c r="S31" s="46"/>
      <c r="T31" s="46"/>
      <c r="U31" s="46"/>
      <c r="V31" s="46"/>
      <c r="W31" s="46"/>
      <c r="X31" s="46"/>
      <c r="Y31" s="46"/>
      <c r="Z31" s="46"/>
      <c r="AA31" s="46"/>
      <c r="AB31" s="46"/>
      <c r="AC31" s="46"/>
      <c r="AD31" s="46"/>
      <c r="AE31" s="46"/>
      <c r="AF31" s="46"/>
      <c r="AG31" s="11">
        <f>COUNTA(tblOctober[[#This Row],[1]:[29]])</f>
        <v>3</v>
      </c>
      <c r="AH31" s="12"/>
    </row>
    <row r="32" spans="1:34" s="13" customFormat="1" x14ac:dyDescent="0.25">
      <c r="A32" s="44" t="s">
        <v>77</v>
      </c>
      <c r="B32" s="74"/>
      <c r="C32" s="74"/>
      <c r="D32" s="74"/>
      <c r="E32" s="74"/>
      <c r="F32" s="74"/>
      <c r="G32" s="74"/>
      <c r="H32" s="74"/>
      <c r="I32" s="74" t="s">
        <v>36</v>
      </c>
      <c r="J32" s="74" t="s">
        <v>36</v>
      </c>
      <c r="K32" s="74"/>
      <c r="L32" s="74"/>
      <c r="M32" s="74"/>
      <c r="N32" s="74"/>
      <c r="O32" s="74"/>
      <c r="P32" s="74"/>
      <c r="Q32" s="74"/>
      <c r="R32" s="74"/>
      <c r="S32" s="74"/>
      <c r="T32" s="74"/>
      <c r="U32" s="74"/>
      <c r="V32" s="74"/>
      <c r="W32" s="74"/>
      <c r="X32" s="74"/>
      <c r="Y32" s="74"/>
      <c r="Z32" s="74"/>
      <c r="AA32" s="74"/>
      <c r="AB32" s="74"/>
      <c r="AC32" s="74"/>
      <c r="AD32" s="74"/>
      <c r="AE32" s="74"/>
      <c r="AF32" s="74"/>
      <c r="AG32" s="11">
        <f>COUNTA(tblOctober[[#This Row],[1]:[29]])</f>
        <v>2</v>
      </c>
      <c r="AH32" s="12"/>
    </row>
    <row r="33" spans="1:34" s="13" customFormat="1" x14ac:dyDescent="0.25">
      <c r="A33" s="44" t="s">
        <v>75</v>
      </c>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11">
        <f>COUNTA(tblOctober[[#This Row],[1]:[29]])</f>
        <v>0</v>
      </c>
      <c r="AH33" s="12"/>
    </row>
    <row r="34" spans="1:34" s="13" customFormat="1" x14ac:dyDescent="0.25">
      <c r="A34" s="44" t="s">
        <v>62</v>
      </c>
      <c r="B34" s="74"/>
      <c r="C34" s="74"/>
      <c r="D34" s="74"/>
      <c r="E34" s="74"/>
      <c r="F34" s="74"/>
      <c r="G34" s="74"/>
      <c r="H34" s="74"/>
      <c r="I34" s="74"/>
      <c r="J34" s="74"/>
      <c r="K34" s="74"/>
      <c r="L34" s="74"/>
      <c r="M34" s="74"/>
      <c r="N34" s="74"/>
      <c r="O34" s="74"/>
      <c r="P34" s="74" t="s">
        <v>36</v>
      </c>
      <c r="Q34" s="74"/>
      <c r="R34" s="74"/>
      <c r="S34" s="74"/>
      <c r="T34" s="74"/>
      <c r="U34" s="74"/>
      <c r="V34" s="74"/>
      <c r="W34" s="74"/>
      <c r="X34" s="74"/>
      <c r="Y34" s="74"/>
      <c r="Z34" s="74"/>
      <c r="AA34" s="74"/>
      <c r="AB34" s="74"/>
      <c r="AC34" s="74"/>
      <c r="AD34" s="74"/>
      <c r="AE34" s="74"/>
      <c r="AF34" s="74"/>
      <c r="AG34" s="11">
        <f>COUNTA(tblOctober[[#This Row],[1]:[29]])</f>
        <v>1</v>
      </c>
      <c r="AH34" s="12"/>
    </row>
    <row r="35" spans="1:34" s="13" customFormat="1" x14ac:dyDescent="0.25">
      <c r="A35" s="44" t="s">
        <v>72</v>
      </c>
      <c r="B35" s="74"/>
      <c r="C35" s="74"/>
      <c r="D35" s="74"/>
      <c r="E35" s="74"/>
      <c r="F35" s="74"/>
      <c r="G35" s="74"/>
      <c r="H35" s="74"/>
      <c r="I35" s="74"/>
      <c r="J35" s="74"/>
      <c r="K35" s="74"/>
      <c r="L35" s="74"/>
      <c r="M35" s="74"/>
      <c r="N35" s="74"/>
      <c r="O35" s="74"/>
      <c r="P35" s="74"/>
      <c r="Q35" s="74"/>
      <c r="R35" s="74"/>
      <c r="S35" s="74"/>
      <c r="T35" s="74"/>
      <c r="U35" s="74"/>
      <c r="V35" s="74"/>
      <c r="W35" s="74"/>
      <c r="X35" s="74" t="s">
        <v>36</v>
      </c>
      <c r="Y35" s="74"/>
      <c r="Z35" s="74"/>
      <c r="AA35" s="74"/>
      <c r="AB35" s="74"/>
      <c r="AC35" s="74"/>
      <c r="AD35" s="74"/>
      <c r="AE35" s="74"/>
      <c r="AF35" s="74"/>
      <c r="AG35" s="11">
        <f>COUNTA(tblOctober[[#This Row],[1]:[29]])</f>
        <v>1</v>
      </c>
      <c r="AH35" s="12"/>
    </row>
    <row r="36" spans="1:34" s="13" customFormat="1" x14ac:dyDescent="0.25">
      <c r="A36" s="44" t="s">
        <v>70</v>
      </c>
      <c r="B36" s="74"/>
      <c r="C36" s="74"/>
      <c r="D36" s="74"/>
      <c r="E36" s="74"/>
      <c r="F36" s="74"/>
      <c r="G36" s="74"/>
      <c r="H36" s="74"/>
      <c r="I36" s="74"/>
      <c r="J36" s="74"/>
      <c r="K36" s="74"/>
      <c r="L36" s="74"/>
      <c r="M36" s="74"/>
      <c r="N36" s="74"/>
      <c r="O36" s="74"/>
      <c r="P36" s="74"/>
      <c r="Q36" s="74"/>
      <c r="R36" s="74"/>
      <c r="S36" s="74"/>
      <c r="T36" s="74"/>
      <c r="U36" s="74"/>
      <c r="V36" s="74"/>
      <c r="W36" s="74" t="s">
        <v>36</v>
      </c>
      <c r="X36" s="74" t="s">
        <v>36</v>
      </c>
      <c r="Y36" s="74"/>
      <c r="Z36" s="74"/>
      <c r="AA36" s="74"/>
      <c r="AB36" s="74"/>
      <c r="AC36" s="74"/>
      <c r="AD36" s="74"/>
      <c r="AE36" s="74"/>
      <c r="AF36" s="74"/>
      <c r="AG36" s="11">
        <f>COUNTA(tblOctober[[#This Row],[1]:[29]])</f>
        <v>2</v>
      </c>
      <c r="AH36" s="12"/>
    </row>
    <row r="37" spans="1:34" s="13" customFormat="1" x14ac:dyDescent="0.25">
      <c r="A37" s="44" t="s">
        <v>98</v>
      </c>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11">
        <f>COUNTA(tblOctober[[#This Row],[1]:[29]])</f>
        <v>0</v>
      </c>
      <c r="AH37" s="12"/>
    </row>
    <row r="38" spans="1:34" s="13" customFormat="1" x14ac:dyDescent="0.25">
      <c r="A38" s="44" t="s">
        <v>99</v>
      </c>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11">
        <f>COUNTA(tblOctober[[#This Row],[1]:[29]])</f>
        <v>0</v>
      </c>
      <c r="AH38" s="12"/>
    </row>
    <row r="39" spans="1:34" ht="15" customHeight="1" x14ac:dyDescent="0.25">
      <c r="A39" s="69" t="str">
        <f>MonthName&amp;" Total"</f>
        <v>October Total</v>
      </c>
      <c r="B39" s="70">
        <f>SUBTOTAL(103,tblOctober[1])</f>
        <v>3</v>
      </c>
      <c r="C39" s="70">
        <f>SUBTOTAL(103,tblOctober[2])</f>
        <v>0</v>
      </c>
      <c r="D39" s="70">
        <f>SUBTOTAL(103,tblOctober[3])</f>
        <v>0</v>
      </c>
      <c r="E39" s="70">
        <f>SUBTOTAL(103,tblOctober[4])</f>
        <v>0</v>
      </c>
      <c r="F39" s="70">
        <f>SUBTOTAL(103,tblOctober[5])</f>
        <v>2</v>
      </c>
      <c r="G39" s="70">
        <f>SUBTOTAL(103,tblOctober[6])</f>
        <v>0</v>
      </c>
      <c r="H39" s="70">
        <f>SUBTOTAL(103,tblOctober[7])</f>
        <v>1</v>
      </c>
      <c r="I39" s="70">
        <f>SUBTOTAL(103,tblOctober[8])</f>
        <v>3</v>
      </c>
      <c r="J39" s="70">
        <f>SUBTOTAL(103,tblOctober[9])</f>
        <v>3</v>
      </c>
      <c r="K39" s="70">
        <f>SUBTOTAL(103,tblOctober[10])</f>
        <v>0</v>
      </c>
      <c r="L39" s="70">
        <f>SUBTOTAL(103,tblOctober[11])</f>
        <v>0</v>
      </c>
      <c r="M39" s="70">
        <f>SUBTOTAL(103,tblOctober[12])</f>
        <v>1</v>
      </c>
      <c r="N39" s="70">
        <f>SUBTOTAL(103,tblOctober[13])</f>
        <v>2</v>
      </c>
      <c r="O39" s="70">
        <f>SUBTOTAL(103,tblOctober[14])</f>
        <v>0</v>
      </c>
      <c r="P39" s="70">
        <f>SUBTOTAL(103,tblOctober[15])</f>
        <v>4</v>
      </c>
      <c r="Q39" s="70">
        <f>SUBTOTAL(103,tblOctober[16])</f>
        <v>0</v>
      </c>
      <c r="R39" s="70">
        <f>SUBTOTAL(103,tblOctober[17])</f>
        <v>0</v>
      </c>
      <c r="S39" s="70">
        <f>SUBTOTAL(103,tblOctober[18])</f>
        <v>0</v>
      </c>
      <c r="T39" s="70">
        <f>SUBTOTAL(103,tblOctober[19])</f>
        <v>2</v>
      </c>
      <c r="U39" s="70">
        <f>SUBTOTAL(103,tblOctober[20])</f>
        <v>3</v>
      </c>
      <c r="V39" s="70">
        <f>SUBTOTAL(103,tblOctober[21])</f>
        <v>2</v>
      </c>
      <c r="W39" s="70">
        <f>SUBTOTAL(103,tblOctober[22])</f>
        <v>4</v>
      </c>
      <c r="X39" s="70">
        <f>SUBTOTAL(103,tblOctober[23])</f>
        <v>4</v>
      </c>
      <c r="Y39" s="70">
        <f>SUBTOTAL(103,tblOctober[24])</f>
        <v>0</v>
      </c>
      <c r="Z39" s="70">
        <f>SUBTOTAL(103,tblOctober[25])</f>
        <v>0</v>
      </c>
      <c r="AA39" s="70">
        <f>SUBTOTAL(103,tblOctober[26])</f>
        <v>0</v>
      </c>
      <c r="AB39" s="70">
        <f>SUBTOTAL(103,tblOctober[27])</f>
        <v>0</v>
      </c>
      <c r="AC39" s="70">
        <f>SUBTOTAL(103,tblOctober[28])</f>
        <v>0</v>
      </c>
      <c r="AD39" s="70">
        <f>SUBTOTAL(103,tblOctober[29])</f>
        <v>0</v>
      </c>
      <c r="AE39" s="70"/>
      <c r="AF39" s="70"/>
      <c r="AG39" s="70">
        <f>SUBTOTAL(109,tblOctober[Total Days])</f>
        <v>34</v>
      </c>
    </row>
    <row r="40" spans="1:34" ht="15" customHeight="1" x14ac:dyDescent="0.25">
      <c r="A40" s="80"/>
      <c r="B40" s="80"/>
      <c r="C40" s="80"/>
      <c r="D40" s="80"/>
      <c r="E40" s="80"/>
      <c r="F40" s="80"/>
      <c r="G40" s="80"/>
      <c r="H40" s="80"/>
      <c r="I40" s="80"/>
      <c r="J40" s="80"/>
      <c r="K40" s="80"/>
      <c r="L40" s="80"/>
      <c r="M40" s="80"/>
      <c r="N40" s="80"/>
      <c r="O40" s="80"/>
      <c r="P40" s="80"/>
      <c r="Q40" s="80"/>
      <c r="R40" s="80"/>
      <c r="S40" s="80"/>
      <c r="T40" s="80"/>
      <c r="U40" s="80"/>
      <c r="V40" s="80"/>
      <c r="W40" s="80"/>
      <c r="X40" s="80"/>
      <c r="Y40" s="80"/>
      <c r="Z40" s="80"/>
      <c r="AA40" s="80"/>
      <c r="AB40" s="80"/>
      <c r="AC40" s="80"/>
      <c r="AD40" s="80"/>
      <c r="AE40" s="80"/>
      <c r="AF40" s="80"/>
      <c r="AG40" s="80"/>
    </row>
    <row r="41" spans="1:34" ht="15" customHeight="1" x14ac:dyDescent="0.25">
      <c r="A41"/>
      <c r="B41" s="42" t="str">
        <f>January!B33</f>
        <v>Color Key</v>
      </c>
      <c r="C41" s="42"/>
      <c r="D41" s="42"/>
      <c r="E41" s="42"/>
      <c r="F41" s="43"/>
      <c r="G41" s="26" t="str">
        <f>KeyVacation</f>
        <v>V</v>
      </c>
      <c r="H41" s="39" t="str">
        <f>KeyVacationLabel</f>
        <v>Vacation</v>
      </c>
      <c r="I41" s="40"/>
      <c r="J41" s="40"/>
      <c r="K41" s="22" t="str">
        <f>KeyPersonal</f>
        <v>P</v>
      </c>
      <c r="L41" s="39" t="str">
        <f>KeyPersonalLabel</f>
        <v>Personal</v>
      </c>
      <c r="M41" s="40"/>
      <c r="N41" s="40"/>
      <c r="O41" s="23" t="str">
        <f>KeySick</f>
        <v>S</v>
      </c>
      <c r="P41" s="39" t="str">
        <f>KeySickLabel</f>
        <v>Sick</v>
      </c>
      <c r="Q41" s="40"/>
      <c r="R41" s="40"/>
      <c r="S41" s="24" t="str">
        <f>KeyCustom1</f>
        <v>H</v>
      </c>
      <c r="T41" s="39" t="str">
        <f>KeyCustom1Label</f>
        <v>Holiday</v>
      </c>
      <c r="U41" s="41"/>
      <c r="V41" s="40"/>
      <c r="W41" s="25">
        <f>KeyCustom2</f>
        <v>0</v>
      </c>
      <c r="X41" s="39" t="str">
        <f>KeyCustom2Label</f>
        <v>Custom 2</v>
      </c>
      <c r="Y41" s="40"/>
      <c r="Z41" s="41"/>
    </row>
  </sheetData>
  <mergeCells count="4">
    <mergeCell ref="A2:A3"/>
    <mergeCell ref="B2:AF2"/>
    <mergeCell ref="AG2:AG3"/>
    <mergeCell ref="A40:AG40"/>
  </mergeCells>
  <conditionalFormatting sqref="B5:AF38">
    <cfRule type="expression" priority="1" stopIfTrue="1">
      <formula>B5=""</formula>
    </cfRule>
  </conditionalFormatting>
  <conditionalFormatting sqref="B5:AF38">
    <cfRule type="expression" dxfId="37" priority="2" stopIfTrue="1">
      <formula>B5=KeyCustom2</formula>
    </cfRule>
    <cfRule type="expression" dxfId="36" priority="3" stopIfTrue="1">
      <formula>B5=KeyCustom1</formula>
    </cfRule>
    <cfRule type="expression" dxfId="35" priority="4" stopIfTrue="1">
      <formula>B5=KeySick</formula>
    </cfRule>
    <cfRule type="expression" dxfId="34" priority="5" stopIfTrue="1">
      <formula>B5=KeyPersonal</formula>
    </cfRule>
    <cfRule type="expression" dxfId="33" priority="6" stopIfTrue="1">
      <formula>B5=KeyVacation</formula>
    </cfRule>
  </conditionalFormatting>
  <conditionalFormatting sqref="AG5:AG38">
    <cfRule type="dataBar" priority="123">
      <dataBar>
        <cfvo type="min"/>
        <cfvo type="formula" val="DATEDIF(DATE(CalendarYear,2,1),DATE(CalendarYear,3,1),&quot;d&quot;)"/>
        <color theme="2" tint="-0.249977111117893"/>
      </dataBar>
      <extLst>
        <ext xmlns:x14="http://schemas.microsoft.com/office/spreadsheetml/2009/9/main" uri="{B025F937-C7B1-47D3-B67F-A62EFF666E3E}">
          <x14:id>{A550AEEE-9357-4FFF-B99F-F96B7CA41630}</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550AEEE-9357-4FFF-B99F-F96B7CA41630}">
            <x14:dataBar minLength="0" maxLength="100">
              <x14:cfvo type="autoMin"/>
              <x14:cfvo type="formula">
                <xm:f>DATEDIF(DATE(CalendarYear,2,1),DATE(CalendarYear,3,1),"d")</xm:f>
              </x14:cfvo>
              <x14:negativeFillColor rgb="FFFF0000"/>
              <x14:axisColor rgb="FF000000"/>
            </x14:dataBar>
          </x14:cfRule>
          <xm:sqref>AG5:AG38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2" tint="-0.249977111117893"/>
    <pageSetUpPr fitToPage="1"/>
  </sheetPr>
  <dimension ref="A1:AH33"/>
  <sheetViews>
    <sheetView showGridLines="0" zoomScaleNormal="100" workbookViewId="0">
      <pane ySplit="4" topLeftCell="A5" activePane="bottomLeft" state="frozen"/>
      <selection pane="bottomLeft" activeCell="A5" sqref="A5:A30"/>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8" t="s">
        <v>55</v>
      </c>
      <c r="B2" s="76" t="s">
        <v>1</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9">
        <f>CalendarYear</f>
        <v>2015</v>
      </c>
    </row>
    <row r="3" spans="1:34" ht="15.75" customHeight="1" x14ac:dyDescent="0.25">
      <c r="A3" s="78"/>
      <c r="B3" s="28" t="str">
        <f>TEXT(WEEKDAY(DATE(CalendarYear,11,1),1),"aaa")</f>
        <v>Sun</v>
      </c>
      <c r="C3" s="29" t="str">
        <f>TEXT(WEEKDAY(DATE(CalendarYear,11,2),1),"aaa")</f>
        <v>Mon</v>
      </c>
      <c r="D3" s="29" t="str">
        <f>TEXT(WEEKDAY(DATE(CalendarYear,11,3),1),"aaa")</f>
        <v>Tue</v>
      </c>
      <c r="E3" s="29" t="str">
        <f>TEXT(WEEKDAY(DATE(CalendarYear,11,4),1),"aaa")</f>
        <v>Wed</v>
      </c>
      <c r="F3" s="29" t="str">
        <f>TEXT(WEEKDAY(DATE(CalendarYear,11,5),1),"aaa")</f>
        <v>Thu</v>
      </c>
      <c r="G3" s="29" t="str">
        <f>TEXT(WEEKDAY(DATE(CalendarYear,11,6),1),"aaa")</f>
        <v>Fri</v>
      </c>
      <c r="H3" s="29" t="str">
        <f>TEXT(WEEKDAY(DATE(CalendarYear,11,7),1),"aaa")</f>
        <v>Sat</v>
      </c>
      <c r="I3" s="29" t="str">
        <f>TEXT(WEEKDAY(DATE(CalendarYear,11,8),1),"aaa")</f>
        <v>Sun</v>
      </c>
      <c r="J3" s="29" t="str">
        <f>TEXT(WEEKDAY(DATE(CalendarYear,11,9),1),"aaa")</f>
        <v>Mon</v>
      </c>
      <c r="K3" s="29" t="str">
        <f>TEXT(WEEKDAY(DATE(CalendarYear,11,10),1),"aaa")</f>
        <v>Tue</v>
      </c>
      <c r="L3" s="29" t="str">
        <f>TEXT(WEEKDAY(DATE(CalendarYear,11,11),1),"aaa")</f>
        <v>Wed</v>
      </c>
      <c r="M3" s="29" t="str">
        <f>TEXT(WEEKDAY(DATE(CalendarYear,11,12),1),"aaa")</f>
        <v>Thu</v>
      </c>
      <c r="N3" s="29" t="str">
        <f>TEXT(WEEKDAY(DATE(CalendarYear,11,13),1),"aaa")</f>
        <v>Fri</v>
      </c>
      <c r="O3" s="29" t="str">
        <f>TEXT(WEEKDAY(DATE(CalendarYear,11,14),1),"aaa")</f>
        <v>Sat</v>
      </c>
      <c r="P3" s="29" t="str">
        <f>TEXT(WEEKDAY(DATE(CalendarYear,11,15),1),"aaa")</f>
        <v>Sun</v>
      </c>
      <c r="Q3" s="29" t="str">
        <f>TEXT(WEEKDAY(DATE(CalendarYear,11,16),1),"aaa")</f>
        <v>Mon</v>
      </c>
      <c r="R3" s="29" t="str">
        <f>TEXT(WEEKDAY(DATE(CalendarYear,11,17),1),"aaa")</f>
        <v>Tue</v>
      </c>
      <c r="S3" s="29" t="str">
        <f>TEXT(WEEKDAY(DATE(CalendarYear,11,18),1),"aaa")</f>
        <v>Wed</v>
      </c>
      <c r="T3" s="29" t="str">
        <f>TEXT(WEEKDAY(DATE(CalendarYear,11,19),1),"aaa")</f>
        <v>Thu</v>
      </c>
      <c r="U3" s="29" t="str">
        <f>TEXT(WEEKDAY(DATE(CalendarYear,11,20),1),"aaa")</f>
        <v>Fri</v>
      </c>
      <c r="V3" s="29" t="str">
        <f>TEXT(WEEKDAY(DATE(CalendarYear,11,21),1),"aaa")</f>
        <v>Sat</v>
      </c>
      <c r="W3" s="29" t="str">
        <f>TEXT(WEEKDAY(DATE(CalendarYear,11,22),1),"aaa")</f>
        <v>Sun</v>
      </c>
      <c r="X3" s="29" t="str">
        <f>TEXT(WEEKDAY(DATE(CalendarYear,11,23),1),"aaa")</f>
        <v>Mon</v>
      </c>
      <c r="Y3" s="29" t="str">
        <f>TEXT(WEEKDAY(DATE(CalendarYear,11,24),1),"aaa")</f>
        <v>Tue</v>
      </c>
      <c r="Z3" s="29" t="str">
        <f>TEXT(WEEKDAY(DATE(CalendarYear,11,25),1),"aaa")</f>
        <v>Wed</v>
      </c>
      <c r="AA3" s="29" t="str">
        <f>TEXT(WEEKDAY(DATE(CalendarYear,11,26),1),"aaa")</f>
        <v>Thu</v>
      </c>
      <c r="AB3" s="29" t="str">
        <f>TEXT(WEEKDAY(DATE(CalendarYear,11,27),1),"aaa")</f>
        <v>Fri</v>
      </c>
      <c r="AC3" s="29" t="str">
        <f>TEXT(WEEKDAY(DATE(CalendarYear,11,28),1),"aaa")</f>
        <v>Sat</v>
      </c>
      <c r="AD3" s="29" t="str">
        <f>TEXT(WEEKDAY(DATE(CalendarYear,11,29),1),"aaa")</f>
        <v>Sun</v>
      </c>
      <c r="AE3" s="29" t="str">
        <f>TEXT(WEEKDAY(DATE(CalendarYear,11,30),1),"aaa")</f>
        <v>Mon</v>
      </c>
      <c r="AF3" s="29"/>
      <c r="AG3" s="79"/>
    </row>
    <row r="4" spans="1:34" s="13" customFormat="1" x14ac:dyDescent="0.25">
      <c r="A4" s="38" t="s">
        <v>2</v>
      </c>
      <c r="B4" s="45" t="s">
        <v>3</v>
      </c>
      <c r="C4" s="45" t="s">
        <v>4</v>
      </c>
      <c r="D4" s="45" t="s">
        <v>5</v>
      </c>
      <c r="E4" s="45" t="s">
        <v>6</v>
      </c>
      <c r="F4" s="45" t="s">
        <v>7</v>
      </c>
      <c r="G4" s="45" t="s">
        <v>8</v>
      </c>
      <c r="H4" s="45" t="s">
        <v>9</v>
      </c>
      <c r="I4" s="45" t="s">
        <v>10</v>
      </c>
      <c r="J4" s="45" t="s">
        <v>11</v>
      </c>
      <c r="K4" s="45" t="s">
        <v>12</v>
      </c>
      <c r="L4" s="45" t="s">
        <v>13</v>
      </c>
      <c r="M4" s="45" t="s">
        <v>14</v>
      </c>
      <c r="N4" s="45" t="s">
        <v>15</v>
      </c>
      <c r="O4" s="45" t="s">
        <v>16</v>
      </c>
      <c r="P4" s="45" t="s">
        <v>17</v>
      </c>
      <c r="Q4" s="45" t="s">
        <v>18</v>
      </c>
      <c r="R4" s="45" t="s">
        <v>19</v>
      </c>
      <c r="S4" s="45" t="s">
        <v>20</v>
      </c>
      <c r="T4" s="45" t="s">
        <v>21</v>
      </c>
      <c r="U4" s="45" t="s">
        <v>22</v>
      </c>
      <c r="V4" s="45" t="s">
        <v>23</v>
      </c>
      <c r="W4" s="45" t="s">
        <v>24</v>
      </c>
      <c r="X4" s="45" t="s">
        <v>25</v>
      </c>
      <c r="Y4" s="45" t="s">
        <v>26</v>
      </c>
      <c r="Z4" s="45" t="s">
        <v>27</v>
      </c>
      <c r="AA4" s="45" t="s">
        <v>28</v>
      </c>
      <c r="AB4" s="45" t="s">
        <v>29</v>
      </c>
      <c r="AC4" s="45" t="s">
        <v>30</v>
      </c>
      <c r="AD4" s="17" t="s">
        <v>31</v>
      </c>
      <c r="AE4" s="45" t="s">
        <v>32</v>
      </c>
      <c r="AF4" s="45" t="s">
        <v>37</v>
      </c>
      <c r="AG4" s="45" t="s">
        <v>34</v>
      </c>
      <c r="AH4" s="12"/>
    </row>
    <row r="5" spans="1:34" s="13" customFormat="1" x14ac:dyDescent="0.25">
      <c r="A5" s="44" t="s">
        <v>60</v>
      </c>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11">
        <f>COUNTA(tblNovember[[#This Row],[1]:[29]])</f>
        <v>0</v>
      </c>
      <c r="AH5" s="12"/>
    </row>
    <row r="6" spans="1:34" s="13" customFormat="1" x14ac:dyDescent="0.25">
      <c r="A6" s="44" t="s">
        <v>82</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COUNTA(tblNovember[[#This Row],[1]:[29]])</f>
        <v>0</v>
      </c>
      <c r="AH6" s="12"/>
    </row>
    <row r="7" spans="1:34" s="13" customFormat="1" x14ac:dyDescent="0.25">
      <c r="A7" s="44" t="s">
        <v>58</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COUNTA(tblNovember[[#This Row],[1]:[29]])</f>
        <v>0</v>
      </c>
      <c r="AH7" s="12"/>
    </row>
    <row r="8" spans="1:34" s="13" customFormat="1" x14ac:dyDescent="0.25">
      <c r="A8" s="44" t="s">
        <v>80</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COUNTA(tblNovember[[#This Row],[1]:[29]])</f>
        <v>0</v>
      </c>
      <c r="AH8" s="12"/>
    </row>
    <row r="9" spans="1:34" s="13" customFormat="1" x14ac:dyDescent="0.25">
      <c r="A9" s="44" t="s">
        <v>63</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COUNTA(tblNovember[[#This Row],[1]:[29]])</f>
        <v>0</v>
      </c>
      <c r="AH9" s="12"/>
    </row>
    <row r="10" spans="1:34" s="13" customFormat="1" x14ac:dyDescent="0.25">
      <c r="A10" s="44" t="s">
        <v>73</v>
      </c>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11">
        <f>COUNTA(tblNovember[[#This Row],[1]:[29]])</f>
        <v>0</v>
      </c>
      <c r="AH10" s="12"/>
    </row>
    <row r="11" spans="1:34" s="13" customFormat="1" x14ac:dyDescent="0.25">
      <c r="A11" s="44" t="s">
        <v>74</v>
      </c>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11">
        <f>COUNTA(tblNovember[[#This Row],[1]:[29]])</f>
        <v>0</v>
      </c>
      <c r="AH11" s="12"/>
    </row>
    <row r="12" spans="1:34" s="13" customFormat="1" x14ac:dyDescent="0.25">
      <c r="A12" s="44" t="s">
        <v>76</v>
      </c>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11">
        <f>COUNTA(tblNovember[[#This Row],[1]:[29]])</f>
        <v>0</v>
      </c>
      <c r="AH12" s="12"/>
    </row>
    <row r="13" spans="1:34" s="13" customFormat="1" x14ac:dyDescent="0.25">
      <c r="A13" s="44" t="s">
        <v>71</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11">
        <f>COUNTA(tblNovember[[#This Row],[1]:[29]])</f>
        <v>0</v>
      </c>
      <c r="AH13" s="12"/>
    </row>
    <row r="14" spans="1:34" s="13" customFormat="1" x14ac:dyDescent="0.25">
      <c r="A14" s="44" t="s">
        <v>78</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11">
        <f>COUNTA(tblNovember[[#This Row],[1]:[29]])</f>
        <v>0</v>
      </c>
      <c r="AH14" s="12"/>
    </row>
    <row r="15" spans="1:34" s="13" customFormat="1" x14ac:dyDescent="0.25">
      <c r="A15" s="44" t="s">
        <v>81</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11">
        <f>COUNTA(tblNovember[[#This Row],[1]:[29]])</f>
        <v>0</v>
      </c>
      <c r="AH15" s="12"/>
    </row>
    <row r="16" spans="1:34" s="13" customFormat="1" x14ac:dyDescent="0.25">
      <c r="A16" s="44" t="s">
        <v>69</v>
      </c>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11">
        <f>COUNTA(tblNovember[[#This Row],[1]:[29]])</f>
        <v>0</v>
      </c>
      <c r="AH16" s="12"/>
    </row>
    <row r="17" spans="1:34" s="13" customFormat="1" x14ac:dyDescent="0.25">
      <c r="A17" s="44" t="s">
        <v>66</v>
      </c>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11">
        <f>COUNTA(tblNovember[[#This Row],[1]:[29]])</f>
        <v>0</v>
      </c>
      <c r="AH17" s="12"/>
    </row>
    <row r="18" spans="1:34" s="13" customFormat="1" x14ac:dyDescent="0.25">
      <c r="A18" s="44" t="s">
        <v>79</v>
      </c>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11">
        <f>COUNTA(tblNovember[[#This Row],[1]:[29]])</f>
        <v>0</v>
      </c>
      <c r="AH18" s="12"/>
    </row>
    <row r="19" spans="1:34" s="13" customFormat="1" x14ac:dyDescent="0.25">
      <c r="A19" s="44" t="s">
        <v>68</v>
      </c>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11">
        <f>COUNTA(tblNovember[[#This Row],[1]:[29]])</f>
        <v>0</v>
      </c>
      <c r="AH19" s="12"/>
    </row>
    <row r="20" spans="1:34" s="13" customFormat="1" x14ac:dyDescent="0.25">
      <c r="A20" s="44" t="s">
        <v>65</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11">
        <f>COUNTA(tblNovember[[#This Row],[1]:[29]])</f>
        <v>0</v>
      </c>
      <c r="AH20" s="12"/>
    </row>
    <row r="21" spans="1:34" s="13" customFormat="1" x14ac:dyDescent="0.25">
      <c r="A21" s="44" t="s">
        <v>67</v>
      </c>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11">
        <f>COUNTA(tblNovember[[#This Row],[1]:[29]])</f>
        <v>0</v>
      </c>
      <c r="AH21" s="12"/>
    </row>
    <row r="22" spans="1:34" s="13" customFormat="1" x14ac:dyDescent="0.25">
      <c r="A22" s="44" t="s">
        <v>64</v>
      </c>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11">
        <f>COUNTA(tblNovember[[#This Row],[1]:[29]])</f>
        <v>0</v>
      </c>
      <c r="AH22" s="12"/>
    </row>
    <row r="23" spans="1:34" s="13" customFormat="1" x14ac:dyDescent="0.25">
      <c r="A23" s="44" t="s">
        <v>61</v>
      </c>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11">
        <f>COUNTA(tblNovember[[#This Row],[1]:[29]])</f>
        <v>0</v>
      </c>
      <c r="AH23" s="12"/>
    </row>
    <row r="24" spans="1:34" s="13" customFormat="1" x14ac:dyDescent="0.25">
      <c r="A24" s="44" t="s">
        <v>57</v>
      </c>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11">
        <f>COUNTA(tblNovember[[#This Row],[1]:[29]])</f>
        <v>0</v>
      </c>
      <c r="AH24" s="12"/>
    </row>
    <row r="25" spans="1:34" s="13" customFormat="1" x14ac:dyDescent="0.25">
      <c r="A25" s="44" t="s">
        <v>77</v>
      </c>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11">
        <f>COUNTA(tblNovember[[#This Row],[1]:[29]])</f>
        <v>0</v>
      </c>
      <c r="AH25" s="12"/>
    </row>
    <row r="26" spans="1:34" s="13" customFormat="1" x14ac:dyDescent="0.25">
      <c r="A26" s="44" t="s">
        <v>75</v>
      </c>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11">
        <f>COUNTA(tblNovember[[#This Row],[1]:[29]])</f>
        <v>0</v>
      </c>
      <c r="AH26" s="12"/>
    </row>
    <row r="27" spans="1:34" s="13" customFormat="1" x14ac:dyDescent="0.25">
      <c r="A27" s="44" t="s">
        <v>62</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11">
        <f>COUNTA(tblNovember[[#This Row],[1]:[29]])</f>
        <v>0</v>
      </c>
      <c r="AH27" s="12"/>
    </row>
    <row r="28" spans="1:34" s="13" customFormat="1" x14ac:dyDescent="0.25">
      <c r="A28" s="44" t="s">
        <v>72</v>
      </c>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11">
        <f>COUNTA(tblNovember[[#This Row],[1]:[29]])</f>
        <v>0</v>
      </c>
      <c r="AH28" s="12"/>
    </row>
    <row r="29" spans="1:34" s="13" customFormat="1" x14ac:dyDescent="0.25">
      <c r="A29" s="44" t="s">
        <v>70</v>
      </c>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11">
        <f>COUNTA(tblNovember[[#This Row],[1]:[29]])</f>
        <v>0</v>
      </c>
      <c r="AH29" s="12"/>
    </row>
    <row r="30" spans="1:34" s="13" customFormat="1" x14ac:dyDescent="0.25">
      <c r="A30" s="44" t="s">
        <v>59</v>
      </c>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11">
        <f>COUNTA(tblNovember[[#This Row],[1]:[29]])</f>
        <v>0</v>
      </c>
      <c r="AH30" s="12"/>
    </row>
    <row r="31" spans="1:34" ht="15" customHeight="1" x14ac:dyDescent="0.25">
      <c r="A31" s="48" t="str">
        <f>MonthName&amp;" Total"</f>
        <v>November Total</v>
      </c>
      <c r="B31" s="49">
        <f>SUBTOTAL(103,tblNovember[1])</f>
        <v>0</v>
      </c>
      <c r="C31" s="49">
        <f>SUBTOTAL(103,tblNovember[2])</f>
        <v>0</v>
      </c>
      <c r="D31" s="49">
        <f>SUBTOTAL(103,tblNovember[3])</f>
        <v>0</v>
      </c>
      <c r="E31" s="49">
        <f>SUBTOTAL(103,tblNovember[4])</f>
        <v>0</v>
      </c>
      <c r="F31" s="49">
        <f>SUBTOTAL(103,tblNovember[5])</f>
        <v>0</v>
      </c>
      <c r="G31" s="49">
        <f>SUBTOTAL(103,tblNovember[6])</f>
        <v>0</v>
      </c>
      <c r="H31" s="49">
        <f>SUBTOTAL(103,tblNovember[7])</f>
        <v>0</v>
      </c>
      <c r="I31" s="49">
        <f>SUBTOTAL(103,tblNovember[8])</f>
        <v>0</v>
      </c>
      <c r="J31" s="49">
        <f>SUBTOTAL(103,tblNovember[9])</f>
        <v>0</v>
      </c>
      <c r="K31" s="49">
        <f>SUBTOTAL(103,tblNovember[10])</f>
        <v>0</v>
      </c>
      <c r="L31" s="49">
        <f>SUBTOTAL(103,tblNovember[11])</f>
        <v>0</v>
      </c>
      <c r="M31" s="49">
        <f>SUBTOTAL(103,tblNovember[12])</f>
        <v>0</v>
      </c>
      <c r="N31" s="49">
        <f>SUBTOTAL(103,tblNovember[13])</f>
        <v>0</v>
      </c>
      <c r="O31" s="49">
        <f>SUBTOTAL(103,tblNovember[14])</f>
        <v>0</v>
      </c>
      <c r="P31" s="49">
        <f>SUBTOTAL(103,tblNovember[15])</f>
        <v>0</v>
      </c>
      <c r="Q31" s="49">
        <f>SUBTOTAL(103,tblNovember[16])</f>
        <v>0</v>
      </c>
      <c r="R31" s="49">
        <f>SUBTOTAL(103,tblNovember[17])</f>
        <v>0</v>
      </c>
      <c r="S31" s="49">
        <f>SUBTOTAL(103,tblNovember[18])</f>
        <v>0</v>
      </c>
      <c r="T31" s="49">
        <f>SUBTOTAL(103,tblNovember[19])</f>
        <v>0</v>
      </c>
      <c r="U31" s="49">
        <f>SUBTOTAL(103,tblNovember[20])</f>
        <v>0</v>
      </c>
      <c r="V31" s="49">
        <f>SUBTOTAL(103,tblNovember[21])</f>
        <v>0</v>
      </c>
      <c r="W31" s="49">
        <f>SUBTOTAL(103,tblNovember[22])</f>
        <v>0</v>
      </c>
      <c r="X31" s="49">
        <f>SUBTOTAL(103,tblNovember[23])</f>
        <v>0</v>
      </c>
      <c r="Y31" s="49">
        <f>SUBTOTAL(103,tblNovember[24])</f>
        <v>0</v>
      </c>
      <c r="Z31" s="49">
        <f>SUBTOTAL(103,tblNovember[25])</f>
        <v>0</v>
      </c>
      <c r="AA31" s="49">
        <f>SUBTOTAL(103,tblNovember[26])</f>
        <v>0</v>
      </c>
      <c r="AB31" s="49">
        <f>SUBTOTAL(103,tblNovember[27])</f>
        <v>0</v>
      </c>
      <c r="AC31" s="49">
        <f>SUBTOTAL(103,tblNovember[28])</f>
        <v>0</v>
      </c>
      <c r="AD31" s="49">
        <f>SUBTOTAL(103,tblNovember[29])</f>
        <v>0</v>
      </c>
      <c r="AE31" s="49"/>
      <c r="AF31" s="49"/>
      <c r="AG31" s="49">
        <f>SUBTOTAL(109,tblNovember[Total Days])</f>
        <v>0</v>
      </c>
    </row>
    <row r="32" spans="1:34" ht="15" customHeight="1" x14ac:dyDescent="0.25">
      <c r="A32" s="80"/>
      <c r="B32" s="80"/>
      <c r="C32" s="80"/>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row>
    <row r="33" spans="1:26" ht="15" customHeight="1" x14ac:dyDescent="0.25">
      <c r="A33"/>
      <c r="B33" s="42" t="str">
        <f>January!B33</f>
        <v>Color Key</v>
      </c>
      <c r="C33" s="42"/>
      <c r="D33" s="42"/>
      <c r="E33" s="42"/>
      <c r="F33" s="43"/>
      <c r="G33" s="26" t="str">
        <f>KeyVacation</f>
        <v>V</v>
      </c>
      <c r="H33" s="39" t="str">
        <f>KeyVacationLabel</f>
        <v>Vacation</v>
      </c>
      <c r="I33" s="40"/>
      <c r="J33" s="40"/>
      <c r="K33" s="22" t="str">
        <f>KeyPersonal</f>
        <v>P</v>
      </c>
      <c r="L33" s="39" t="str">
        <f>KeyPersonalLabel</f>
        <v>Personal</v>
      </c>
      <c r="M33" s="40"/>
      <c r="N33" s="40"/>
      <c r="O33" s="23" t="str">
        <f>KeySick</f>
        <v>S</v>
      </c>
      <c r="P33" s="39" t="str">
        <f>KeySickLabel</f>
        <v>Sick</v>
      </c>
      <c r="Q33" s="40"/>
      <c r="R33" s="40"/>
      <c r="S33" s="24" t="str">
        <f>KeyCustom1</f>
        <v>H</v>
      </c>
      <c r="T33" s="39" t="str">
        <f>KeyCustom1Label</f>
        <v>Holiday</v>
      </c>
      <c r="U33" s="41"/>
      <c r="V33" s="40"/>
      <c r="W33" s="25">
        <f>KeyCustom2</f>
        <v>0</v>
      </c>
      <c r="X33" s="39" t="str">
        <f>KeyCustom2Label</f>
        <v>Custom 2</v>
      </c>
      <c r="Y33" s="40"/>
      <c r="Z33" s="41"/>
    </row>
  </sheetData>
  <mergeCells count="4">
    <mergeCell ref="A2:A3"/>
    <mergeCell ref="B2:AF2"/>
    <mergeCell ref="AG2:AG3"/>
    <mergeCell ref="A32:AG32"/>
  </mergeCells>
  <conditionalFormatting sqref="B5:AF30">
    <cfRule type="expression" priority="1" stopIfTrue="1">
      <formula>B5=""</formula>
    </cfRule>
  </conditionalFormatting>
  <conditionalFormatting sqref="B5:AF30">
    <cfRule type="expression" dxfId="47" priority="2" stopIfTrue="1">
      <formula>B5=KeyCustom2</formula>
    </cfRule>
    <cfRule type="expression" dxfId="46" priority="3" stopIfTrue="1">
      <formula>B5=KeyCustom1</formula>
    </cfRule>
    <cfRule type="expression" dxfId="45" priority="4" stopIfTrue="1">
      <formula>B5=KeySick</formula>
    </cfRule>
    <cfRule type="expression" dxfId="44" priority="5" stopIfTrue="1">
      <formula>B5=KeyPersonal</formula>
    </cfRule>
    <cfRule type="expression" dxfId="43" priority="6" stopIfTrue="1">
      <formula>B5=KeyVacation</formula>
    </cfRule>
  </conditionalFormatting>
  <conditionalFormatting sqref="AG5:AG30">
    <cfRule type="dataBar" priority="41">
      <dataBar>
        <cfvo type="min"/>
        <cfvo type="formula" val="DATEDIF(DATE(CalendarYear,2,1),DATE(CalendarYear,3,1),&quot;d&quot;)"/>
        <color theme="2" tint="-0.249977111117893"/>
      </dataBar>
      <extLst>
        <ext xmlns:x14="http://schemas.microsoft.com/office/spreadsheetml/2009/9/main" uri="{B025F937-C7B1-47D3-B67F-A62EFF666E3E}">
          <x14:id>{A15D8916-F091-4425-9705-45472C7168ED}</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15D8916-F091-4425-9705-45472C7168ED}">
            <x14:dataBar minLength="0" maxLength="100">
              <x14:cfvo type="autoMin"/>
              <x14:cfvo type="formula">
                <xm:f>DATEDIF(DATE(CalendarYear,2,1),DATE(CalendarYear,3,1),"d")</xm:f>
              </x14:cfvo>
              <x14:negativeFillColor rgb="FFFF0000"/>
              <x14:axisColor rgb="FF000000"/>
            </x14:dataBar>
          </x14:cfRule>
          <xm:sqref>AG5:AG30</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2"/>
    <pageSetUpPr fitToPage="1"/>
  </sheetPr>
  <dimension ref="A1:AH33"/>
  <sheetViews>
    <sheetView showGridLines="0" zoomScaleNormal="100" workbookViewId="0">
      <pane ySplit="4" topLeftCell="A5" activePane="bottomLeft" state="frozen"/>
      <selection pane="bottomLeft" activeCell="G12" sqref="G12"/>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8" t="s">
        <v>56</v>
      </c>
      <c r="B2" s="76" t="s">
        <v>1</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9">
        <f>CalendarYear</f>
        <v>2015</v>
      </c>
    </row>
    <row r="3" spans="1:34" ht="15.75" customHeight="1" x14ac:dyDescent="0.25">
      <c r="A3" s="78"/>
      <c r="B3" s="28" t="str">
        <f>TEXT(WEEKDAY(DATE(CalendarYear,12,1),1),"aaa")</f>
        <v>Tue</v>
      </c>
      <c r="C3" s="29" t="str">
        <f>TEXT(WEEKDAY(DATE(CalendarYear,12,2),1),"aaa")</f>
        <v>Wed</v>
      </c>
      <c r="D3" s="29" t="str">
        <f>TEXT(WEEKDAY(DATE(CalendarYear,12,3),1),"aaa")</f>
        <v>Thu</v>
      </c>
      <c r="E3" s="29" t="str">
        <f>TEXT(WEEKDAY(DATE(CalendarYear,12,4),1),"aaa")</f>
        <v>Fri</v>
      </c>
      <c r="F3" s="29" t="str">
        <f>TEXT(WEEKDAY(DATE(CalendarYear,12,5),1),"aaa")</f>
        <v>Sat</v>
      </c>
      <c r="G3" s="29" t="str">
        <f>TEXT(WEEKDAY(DATE(CalendarYear,12,6),1),"aaa")</f>
        <v>Sun</v>
      </c>
      <c r="H3" s="29" t="str">
        <f>TEXT(WEEKDAY(DATE(CalendarYear,12,7),1),"aaa")</f>
        <v>Mon</v>
      </c>
      <c r="I3" s="29" t="str">
        <f>TEXT(WEEKDAY(DATE(CalendarYear,12,8),1),"aaa")</f>
        <v>Tue</v>
      </c>
      <c r="J3" s="29" t="str">
        <f>TEXT(WEEKDAY(DATE(CalendarYear,12,9),1),"aaa")</f>
        <v>Wed</v>
      </c>
      <c r="K3" s="29" t="str">
        <f>TEXT(WEEKDAY(DATE(CalendarYear,12,10),1),"aaa")</f>
        <v>Thu</v>
      </c>
      <c r="L3" s="29" t="str">
        <f>TEXT(WEEKDAY(DATE(CalendarYear,12,11),1),"aaa")</f>
        <v>Fri</v>
      </c>
      <c r="M3" s="29" t="str">
        <f>TEXT(WEEKDAY(DATE(CalendarYear,12,12),1),"aaa")</f>
        <v>Sat</v>
      </c>
      <c r="N3" s="29" t="str">
        <f>TEXT(WEEKDAY(DATE(CalendarYear,12,13),1),"aaa")</f>
        <v>Sun</v>
      </c>
      <c r="O3" s="29" t="str">
        <f>TEXT(WEEKDAY(DATE(CalendarYear,12,14),1),"aaa")</f>
        <v>Mon</v>
      </c>
      <c r="P3" s="29" t="str">
        <f>TEXT(WEEKDAY(DATE(CalendarYear,12,15),1),"aaa")</f>
        <v>Tue</v>
      </c>
      <c r="Q3" s="29" t="str">
        <f>TEXT(WEEKDAY(DATE(CalendarYear,12,16),1),"aaa")</f>
        <v>Wed</v>
      </c>
      <c r="R3" s="29" t="str">
        <f>TEXT(WEEKDAY(DATE(CalendarYear,12,17),1),"aaa")</f>
        <v>Thu</v>
      </c>
      <c r="S3" s="29" t="str">
        <f>TEXT(WEEKDAY(DATE(CalendarYear,12,18),1),"aaa")</f>
        <v>Fri</v>
      </c>
      <c r="T3" s="29" t="str">
        <f>TEXT(WEEKDAY(DATE(CalendarYear,12,19),1),"aaa")</f>
        <v>Sat</v>
      </c>
      <c r="U3" s="29" t="str">
        <f>TEXT(WEEKDAY(DATE(CalendarYear,12,20),1),"aaa")</f>
        <v>Sun</v>
      </c>
      <c r="V3" s="29" t="str">
        <f>TEXT(WEEKDAY(DATE(CalendarYear,12,21),1),"aaa")</f>
        <v>Mon</v>
      </c>
      <c r="W3" s="29" t="str">
        <f>TEXT(WEEKDAY(DATE(CalendarYear,12,22),1),"aaa")</f>
        <v>Tue</v>
      </c>
      <c r="X3" s="29" t="str">
        <f>TEXT(WEEKDAY(DATE(CalendarYear,12,23),1),"aaa")</f>
        <v>Wed</v>
      </c>
      <c r="Y3" s="29" t="str">
        <f>TEXT(WEEKDAY(DATE(CalendarYear,12,24),1),"aaa")</f>
        <v>Thu</v>
      </c>
      <c r="Z3" s="29" t="str">
        <f>TEXT(WEEKDAY(DATE(CalendarYear,12,25),1),"aaa")</f>
        <v>Fri</v>
      </c>
      <c r="AA3" s="29" t="str">
        <f>TEXT(WEEKDAY(DATE(CalendarYear,12,26),1),"aaa")</f>
        <v>Sat</v>
      </c>
      <c r="AB3" s="29" t="str">
        <f>TEXT(WEEKDAY(DATE(CalendarYear,12,27),1),"aaa")</f>
        <v>Sun</v>
      </c>
      <c r="AC3" s="29" t="str">
        <f>TEXT(WEEKDAY(DATE(CalendarYear,12,28),1),"aaa")</f>
        <v>Mon</v>
      </c>
      <c r="AD3" s="29" t="str">
        <f>TEXT(WEEKDAY(DATE(CalendarYear,12,29),1),"aaa")</f>
        <v>Tue</v>
      </c>
      <c r="AE3" s="29" t="str">
        <f>TEXT(WEEKDAY(DATE(CalendarYear,12,30),1),"aaa")</f>
        <v>Wed</v>
      </c>
      <c r="AF3" s="29" t="str">
        <f>TEXT(WEEKDAY(DATE(CalendarYear,12,31),1),"aaa")</f>
        <v>Thu</v>
      </c>
      <c r="AG3" s="79"/>
    </row>
    <row r="4" spans="1:34" s="13" customFormat="1" x14ac:dyDescent="0.25">
      <c r="A4" s="38" t="s">
        <v>2</v>
      </c>
      <c r="B4" s="45" t="s">
        <v>3</v>
      </c>
      <c r="C4" s="45" t="s">
        <v>4</v>
      </c>
      <c r="D4" s="45" t="s">
        <v>5</v>
      </c>
      <c r="E4" s="45" t="s">
        <v>6</v>
      </c>
      <c r="F4" s="45" t="s">
        <v>7</v>
      </c>
      <c r="G4" s="45" t="s">
        <v>8</v>
      </c>
      <c r="H4" s="45" t="s">
        <v>9</v>
      </c>
      <c r="I4" s="45" t="s">
        <v>10</v>
      </c>
      <c r="J4" s="45" t="s">
        <v>11</v>
      </c>
      <c r="K4" s="45" t="s">
        <v>12</v>
      </c>
      <c r="L4" s="45" t="s">
        <v>13</v>
      </c>
      <c r="M4" s="45" t="s">
        <v>14</v>
      </c>
      <c r="N4" s="45" t="s">
        <v>15</v>
      </c>
      <c r="O4" s="45" t="s">
        <v>16</v>
      </c>
      <c r="P4" s="45" t="s">
        <v>17</v>
      </c>
      <c r="Q4" s="45" t="s">
        <v>18</v>
      </c>
      <c r="R4" s="45" t="s">
        <v>19</v>
      </c>
      <c r="S4" s="45" t="s">
        <v>20</v>
      </c>
      <c r="T4" s="45" t="s">
        <v>21</v>
      </c>
      <c r="U4" s="45" t="s">
        <v>22</v>
      </c>
      <c r="V4" s="45" t="s">
        <v>23</v>
      </c>
      <c r="W4" s="45" t="s">
        <v>24</v>
      </c>
      <c r="X4" s="45" t="s">
        <v>25</v>
      </c>
      <c r="Y4" s="45" t="s">
        <v>26</v>
      </c>
      <c r="Z4" s="45" t="s">
        <v>27</v>
      </c>
      <c r="AA4" s="45" t="s">
        <v>28</v>
      </c>
      <c r="AB4" s="45" t="s">
        <v>29</v>
      </c>
      <c r="AC4" s="45" t="s">
        <v>30</v>
      </c>
      <c r="AD4" s="17" t="s">
        <v>31</v>
      </c>
      <c r="AE4" s="45" t="s">
        <v>32</v>
      </c>
      <c r="AF4" s="45" t="s">
        <v>33</v>
      </c>
      <c r="AG4" s="45" t="s">
        <v>34</v>
      </c>
      <c r="AH4" s="12"/>
    </row>
    <row r="5" spans="1:34" s="13" customFormat="1" x14ac:dyDescent="0.25">
      <c r="A5" s="44" t="s">
        <v>60</v>
      </c>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11">
        <f>COUNTA(tblDecember[[#This Row],[1]:[29]])</f>
        <v>0</v>
      </c>
      <c r="AH5" s="12"/>
    </row>
    <row r="6" spans="1:34" s="13" customFormat="1" x14ac:dyDescent="0.25">
      <c r="A6" s="44" t="s">
        <v>82</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COUNTA(tblDecember[[#This Row],[1]:[29]])</f>
        <v>0</v>
      </c>
      <c r="AH6" s="12"/>
    </row>
    <row r="7" spans="1:34" s="13" customFormat="1" x14ac:dyDescent="0.25">
      <c r="A7" s="44" t="s">
        <v>58</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COUNTA(tblDecember[[#This Row],[1]:[29]])</f>
        <v>0</v>
      </c>
      <c r="AH7" s="12"/>
    </row>
    <row r="8" spans="1:34" s="13" customFormat="1" x14ac:dyDescent="0.25">
      <c r="A8" s="44" t="s">
        <v>80</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COUNTA(tblDecember[[#This Row],[1]:[29]])</f>
        <v>0</v>
      </c>
      <c r="AH8" s="12"/>
    </row>
    <row r="9" spans="1:34" s="13" customFormat="1" x14ac:dyDescent="0.25">
      <c r="A9" s="44" t="s">
        <v>63</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COUNTA(tblDecember[[#This Row],[1]:[29]])</f>
        <v>0</v>
      </c>
      <c r="AH9" s="12"/>
    </row>
    <row r="10" spans="1:34" s="13" customFormat="1" x14ac:dyDescent="0.25">
      <c r="A10" s="44" t="s">
        <v>73</v>
      </c>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11">
        <f>COUNTA(tblDecember[[#This Row],[1]:[29]])</f>
        <v>0</v>
      </c>
      <c r="AH10" s="12"/>
    </row>
    <row r="11" spans="1:34" s="13" customFormat="1" x14ac:dyDescent="0.25">
      <c r="A11" s="44" t="s">
        <v>74</v>
      </c>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11">
        <f>COUNTA(tblDecember[[#This Row],[1]:[29]])</f>
        <v>0</v>
      </c>
      <c r="AH11" s="12"/>
    </row>
    <row r="12" spans="1:34" s="13" customFormat="1" x14ac:dyDescent="0.25">
      <c r="A12" s="44" t="s">
        <v>76</v>
      </c>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11">
        <f>COUNTA(tblDecember[[#This Row],[1]:[29]])</f>
        <v>0</v>
      </c>
      <c r="AH12" s="12"/>
    </row>
    <row r="13" spans="1:34" s="13" customFormat="1" x14ac:dyDescent="0.25">
      <c r="A13" s="44" t="s">
        <v>71</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11">
        <f>COUNTA(tblDecember[[#This Row],[1]:[29]])</f>
        <v>0</v>
      </c>
      <c r="AH13" s="12"/>
    </row>
    <row r="14" spans="1:34" s="13" customFormat="1" x14ac:dyDescent="0.25">
      <c r="A14" s="44" t="s">
        <v>78</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11">
        <f>COUNTA(tblDecember[[#This Row],[1]:[29]])</f>
        <v>0</v>
      </c>
      <c r="AH14" s="12"/>
    </row>
    <row r="15" spans="1:34" s="13" customFormat="1" x14ac:dyDescent="0.25">
      <c r="A15" s="44" t="s">
        <v>81</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11">
        <f>COUNTA(tblDecember[[#This Row],[1]:[29]])</f>
        <v>0</v>
      </c>
      <c r="AH15" s="12"/>
    </row>
    <row r="16" spans="1:34" s="13" customFormat="1" x14ac:dyDescent="0.25">
      <c r="A16" s="44" t="s">
        <v>69</v>
      </c>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11">
        <f>COUNTA(tblDecember[[#This Row],[1]:[29]])</f>
        <v>0</v>
      </c>
      <c r="AH16" s="12"/>
    </row>
    <row r="17" spans="1:34" s="13" customFormat="1" x14ac:dyDescent="0.25">
      <c r="A17" s="44" t="s">
        <v>66</v>
      </c>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11">
        <f>COUNTA(tblDecember[[#This Row],[1]:[29]])</f>
        <v>0</v>
      </c>
      <c r="AH17" s="12"/>
    </row>
    <row r="18" spans="1:34" s="13" customFormat="1" x14ac:dyDescent="0.25">
      <c r="A18" s="44" t="s">
        <v>79</v>
      </c>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11">
        <f>COUNTA(tblDecember[[#This Row],[1]:[29]])</f>
        <v>0</v>
      </c>
      <c r="AH18" s="12"/>
    </row>
    <row r="19" spans="1:34" s="13" customFormat="1" x14ac:dyDescent="0.25">
      <c r="A19" s="44" t="s">
        <v>68</v>
      </c>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11">
        <f>COUNTA(tblDecember[[#This Row],[1]:[29]])</f>
        <v>0</v>
      </c>
      <c r="AH19" s="12"/>
    </row>
    <row r="20" spans="1:34" s="13" customFormat="1" x14ac:dyDescent="0.25">
      <c r="A20" s="44" t="s">
        <v>65</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11">
        <f>COUNTA(tblDecember[[#This Row],[1]:[29]])</f>
        <v>0</v>
      </c>
      <c r="AH20" s="12"/>
    </row>
    <row r="21" spans="1:34" s="13" customFormat="1" x14ac:dyDescent="0.25">
      <c r="A21" s="44" t="s">
        <v>67</v>
      </c>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11">
        <f>COUNTA(tblDecember[[#This Row],[1]:[29]])</f>
        <v>0</v>
      </c>
      <c r="AH21" s="12"/>
    </row>
    <row r="22" spans="1:34" s="13" customFormat="1" x14ac:dyDescent="0.25">
      <c r="A22" s="44" t="s">
        <v>64</v>
      </c>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11">
        <f>COUNTA(tblDecember[[#This Row],[1]:[29]])</f>
        <v>0</v>
      </c>
      <c r="AH22" s="12"/>
    </row>
    <row r="23" spans="1:34" s="13" customFormat="1" x14ac:dyDescent="0.25">
      <c r="A23" s="44" t="s">
        <v>61</v>
      </c>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11">
        <f>COUNTA(tblDecember[[#This Row],[1]:[29]])</f>
        <v>0</v>
      </c>
      <c r="AH23" s="12"/>
    </row>
    <row r="24" spans="1:34" s="13" customFormat="1" x14ac:dyDescent="0.25">
      <c r="A24" s="44" t="s">
        <v>57</v>
      </c>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11">
        <f>COUNTA(tblDecember[[#This Row],[1]:[29]])</f>
        <v>0</v>
      </c>
      <c r="AH24" s="12"/>
    </row>
    <row r="25" spans="1:34" s="13" customFormat="1" x14ac:dyDescent="0.25">
      <c r="A25" s="44" t="s">
        <v>77</v>
      </c>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11">
        <f>COUNTA(tblDecember[[#This Row],[1]:[29]])</f>
        <v>0</v>
      </c>
      <c r="AH25" s="12"/>
    </row>
    <row r="26" spans="1:34" s="13" customFormat="1" x14ac:dyDescent="0.25">
      <c r="A26" s="44" t="s">
        <v>75</v>
      </c>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11">
        <f>COUNTA(tblDecember[[#This Row],[1]:[29]])</f>
        <v>0</v>
      </c>
      <c r="AH26" s="12"/>
    </row>
    <row r="27" spans="1:34" s="13" customFormat="1" x14ac:dyDescent="0.25">
      <c r="A27" s="44" t="s">
        <v>62</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11">
        <f>COUNTA(tblDecember[[#This Row],[1]:[29]])</f>
        <v>0</v>
      </c>
      <c r="AH27" s="12"/>
    </row>
    <row r="28" spans="1:34" s="13" customFormat="1" x14ac:dyDescent="0.25">
      <c r="A28" s="44" t="s">
        <v>72</v>
      </c>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11">
        <f>COUNTA(tblDecember[[#This Row],[1]:[29]])</f>
        <v>0</v>
      </c>
      <c r="AH28" s="12"/>
    </row>
    <row r="29" spans="1:34" s="13" customFormat="1" x14ac:dyDescent="0.25">
      <c r="A29" s="44" t="s">
        <v>70</v>
      </c>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11">
        <f>COUNTA(tblDecember[[#This Row],[1]:[29]])</f>
        <v>0</v>
      </c>
      <c r="AH29" s="12"/>
    </row>
    <row r="30" spans="1:34" s="13" customFormat="1" x14ac:dyDescent="0.25">
      <c r="A30" s="44" t="s">
        <v>59</v>
      </c>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11">
        <f>COUNTA(tblDecember[[#This Row],[1]:[29]])</f>
        <v>0</v>
      </c>
      <c r="AH30" s="12"/>
    </row>
    <row r="31" spans="1:34" ht="15" customHeight="1" x14ac:dyDescent="0.25">
      <c r="A31" s="48" t="str">
        <f>MonthName&amp;" Total"</f>
        <v>December Total</v>
      </c>
      <c r="B31" s="49">
        <f>SUBTOTAL(103,tblDecember[1])</f>
        <v>0</v>
      </c>
      <c r="C31" s="49">
        <f>SUBTOTAL(103,tblDecember[2])</f>
        <v>0</v>
      </c>
      <c r="D31" s="49">
        <f>SUBTOTAL(103,tblDecember[3])</f>
        <v>0</v>
      </c>
      <c r="E31" s="49">
        <f>SUBTOTAL(103,tblDecember[4])</f>
        <v>0</v>
      </c>
      <c r="F31" s="49">
        <f>SUBTOTAL(103,tblDecember[5])</f>
        <v>0</v>
      </c>
      <c r="G31" s="49">
        <f>SUBTOTAL(103,tblDecember[6])</f>
        <v>0</v>
      </c>
      <c r="H31" s="49">
        <f>SUBTOTAL(103,tblDecember[7])</f>
        <v>0</v>
      </c>
      <c r="I31" s="49">
        <f>SUBTOTAL(103,tblDecember[8])</f>
        <v>0</v>
      </c>
      <c r="J31" s="49">
        <f>SUBTOTAL(103,tblDecember[9])</f>
        <v>0</v>
      </c>
      <c r="K31" s="49">
        <f>SUBTOTAL(103,tblDecember[10])</f>
        <v>0</v>
      </c>
      <c r="L31" s="49">
        <f>SUBTOTAL(103,tblDecember[11])</f>
        <v>0</v>
      </c>
      <c r="M31" s="49">
        <f>SUBTOTAL(103,tblDecember[12])</f>
        <v>0</v>
      </c>
      <c r="N31" s="49">
        <f>SUBTOTAL(103,tblDecember[13])</f>
        <v>0</v>
      </c>
      <c r="O31" s="49">
        <f>SUBTOTAL(103,tblDecember[14])</f>
        <v>0</v>
      </c>
      <c r="P31" s="49">
        <f>SUBTOTAL(103,tblDecember[15])</f>
        <v>0</v>
      </c>
      <c r="Q31" s="49">
        <f>SUBTOTAL(103,tblDecember[16])</f>
        <v>0</v>
      </c>
      <c r="R31" s="49">
        <f>SUBTOTAL(103,tblDecember[17])</f>
        <v>0</v>
      </c>
      <c r="S31" s="49">
        <f>SUBTOTAL(103,tblDecember[18])</f>
        <v>0</v>
      </c>
      <c r="T31" s="49">
        <f>SUBTOTAL(103,tblDecember[19])</f>
        <v>0</v>
      </c>
      <c r="U31" s="49">
        <f>SUBTOTAL(103,tblDecember[20])</f>
        <v>0</v>
      </c>
      <c r="V31" s="49">
        <f>SUBTOTAL(103,tblDecember[21])</f>
        <v>0</v>
      </c>
      <c r="W31" s="49">
        <f>SUBTOTAL(103,tblDecember[22])</f>
        <v>0</v>
      </c>
      <c r="X31" s="49">
        <f>SUBTOTAL(103,tblDecember[23])</f>
        <v>0</v>
      </c>
      <c r="Y31" s="49">
        <f>SUBTOTAL(103,tblDecember[24])</f>
        <v>0</v>
      </c>
      <c r="Z31" s="49">
        <f>SUBTOTAL(103,tblDecember[25])</f>
        <v>0</v>
      </c>
      <c r="AA31" s="49">
        <f>SUBTOTAL(103,tblDecember[26])</f>
        <v>0</v>
      </c>
      <c r="AB31" s="49">
        <f>SUBTOTAL(103,tblDecember[27])</f>
        <v>0</v>
      </c>
      <c r="AC31" s="49">
        <f>SUBTOTAL(103,tblDecember[28])</f>
        <v>0</v>
      </c>
      <c r="AD31" s="49">
        <f>SUBTOTAL(103,tblDecember[29])</f>
        <v>0</v>
      </c>
      <c r="AE31" s="49"/>
      <c r="AF31" s="49"/>
      <c r="AG31" s="49">
        <f>SUBTOTAL(109,tblDecember[Total Days])</f>
        <v>0</v>
      </c>
    </row>
    <row r="32" spans="1:34" ht="15" customHeight="1" x14ac:dyDescent="0.25">
      <c r="A32" s="80"/>
      <c r="B32" s="80"/>
      <c r="C32" s="80"/>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row>
    <row r="33" spans="1:26" ht="15" customHeight="1" x14ac:dyDescent="0.25">
      <c r="A33"/>
      <c r="B33" s="42" t="str">
        <f>January!B33</f>
        <v>Color Key</v>
      </c>
      <c r="C33" s="42"/>
      <c r="D33" s="42"/>
      <c r="E33" s="42"/>
      <c r="F33" s="43"/>
      <c r="G33" s="26" t="str">
        <f>KeyVacation</f>
        <v>V</v>
      </c>
      <c r="H33" s="39" t="str">
        <f>KeyVacationLabel</f>
        <v>Vacation</v>
      </c>
      <c r="I33" s="40"/>
      <c r="J33" s="40"/>
      <c r="K33" s="22" t="str">
        <f>KeyPersonal</f>
        <v>P</v>
      </c>
      <c r="L33" s="39" t="str">
        <f>KeyPersonalLabel</f>
        <v>Personal</v>
      </c>
      <c r="M33" s="40"/>
      <c r="N33" s="40"/>
      <c r="O33" s="23" t="str">
        <f>KeySick</f>
        <v>S</v>
      </c>
      <c r="P33" s="39" t="str">
        <f>KeySickLabel</f>
        <v>Sick</v>
      </c>
      <c r="Q33" s="40"/>
      <c r="R33" s="40"/>
      <c r="S33" s="24" t="str">
        <f>KeyCustom1</f>
        <v>H</v>
      </c>
      <c r="T33" s="39" t="str">
        <f>KeyCustom1Label</f>
        <v>Holiday</v>
      </c>
      <c r="U33" s="41"/>
      <c r="V33" s="40"/>
      <c r="W33" s="25">
        <f>KeyCustom2</f>
        <v>0</v>
      </c>
      <c r="X33" s="39" t="str">
        <f>KeyCustom2Label</f>
        <v>Custom 2</v>
      </c>
      <c r="Y33" s="40"/>
      <c r="Z33" s="41"/>
    </row>
  </sheetData>
  <mergeCells count="4">
    <mergeCell ref="A2:A3"/>
    <mergeCell ref="B2:AF2"/>
    <mergeCell ref="AG2:AG3"/>
    <mergeCell ref="A32:AG32"/>
  </mergeCells>
  <conditionalFormatting sqref="B5:AF30">
    <cfRule type="expression" priority="1" stopIfTrue="1">
      <formula>B5=""</formula>
    </cfRule>
  </conditionalFormatting>
  <conditionalFormatting sqref="B5:AF30">
    <cfRule type="expression" dxfId="42" priority="2" stopIfTrue="1">
      <formula>B5=KeyCustom2</formula>
    </cfRule>
    <cfRule type="expression" dxfId="41" priority="3" stopIfTrue="1">
      <formula>B5=KeyCustom1</formula>
    </cfRule>
    <cfRule type="expression" dxfId="40" priority="4" stopIfTrue="1">
      <formula>B5=KeySick</formula>
    </cfRule>
    <cfRule type="expression" dxfId="39" priority="5" stopIfTrue="1">
      <formula>B5=KeyPersonal</formula>
    </cfRule>
    <cfRule type="expression" dxfId="38" priority="6" stopIfTrue="1">
      <formula>B5=KeyVacation</formula>
    </cfRule>
  </conditionalFormatting>
  <conditionalFormatting sqref="AG5:AG30">
    <cfRule type="dataBar" priority="40">
      <dataBar>
        <cfvo type="min"/>
        <cfvo type="formula" val="DATEDIF(DATE(CalendarYear,2,1),DATE(CalendarYear,3,1),&quot;d&quot;)"/>
        <color theme="2" tint="-0.249977111117893"/>
      </dataBar>
      <extLst>
        <ext xmlns:x14="http://schemas.microsoft.com/office/spreadsheetml/2009/9/main" uri="{B025F937-C7B1-47D3-B67F-A62EFF666E3E}">
          <x14:id>{17586780-365B-4F4C-BBB4-F5991705D361}</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7586780-365B-4F4C-BBB4-F5991705D361}">
            <x14:dataBar minLength="0" maxLength="100">
              <x14:cfvo type="autoMin"/>
              <x14:cfvo type="formula">
                <xm:f>DATEDIF(DATE(CalendarYear,2,1),DATE(CalendarYear,3,1),"d")</xm:f>
              </x14:cfvo>
              <x14:negativeFillColor rgb="FFFF0000"/>
              <x14:axisColor rgb="FF000000"/>
            </x14:dataBar>
          </x14:cfRule>
          <xm:sqref>AG5:AG30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2" tint="-0.749992370372631"/>
    <pageSetUpPr fitToPage="1"/>
  </sheetPr>
  <dimension ref="A1:AH33"/>
  <sheetViews>
    <sheetView showGridLines="0" zoomScaleNormal="100" workbookViewId="0">
      <pane ySplit="4" topLeftCell="A29" activePane="bottomLeft" state="frozen"/>
      <selection pane="bottomLeft" activeCell="D12" sqref="D12"/>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8" t="s">
        <v>46</v>
      </c>
      <c r="B2" s="76" t="s">
        <v>1</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9">
        <f>CalendarYear</f>
        <v>2015</v>
      </c>
    </row>
    <row r="3" spans="1:34" ht="15.75" customHeight="1" x14ac:dyDescent="0.25">
      <c r="A3" s="78"/>
      <c r="B3" s="28" t="str">
        <f>TEXT(WEEKDAY(DATE(CalendarYear,2,1),1),"aaa")</f>
        <v>Sun</v>
      </c>
      <c r="C3" s="29" t="str">
        <f>TEXT(WEEKDAY(DATE(CalendarYear,2,2),1),"aaa")</f>
        <v>Mon</v>
      </c>
      <c r="D3" s="29" t="str">
        <f>TEXT(WEEKDAY(DATE(CalendarYear,2,3),1),"aaa")</f>
        <v>Tue</v>
      </c>
      <c r="E3" s="29" t="str">
        <f>TEXT(WEEKDAY(DATE(CalendarYear,2,4),1),"aaa")</f>
        <v>Wed</v>
      </c>
      <c r="F3" s="29" t="str">
        <f>TEXT(WEEKDAY(DATE(CalendarYear,2,5),1),"aaa")</f>
        <v>Thu</v>
      </c>
      <c r="G3" s="29" t="str">
        <f>TEXT(WEEKDAY(DATE(CalendarYear,2,6),1),"aaa")</f>
        <v>Fri</v>
      </c>
      <c r="H3" s="29" t="str">
        <f>TEXT(WEEKDAY(DATE(CalendarYear,2,7),1),"aaa")</f>
        <v>Sat</v>
      </c>
      <c r="I3" s="29" t="str">
        <f>TEXT(WEEKDAY(DATE(CalendarYear,2,8),1),"aaa")</f>
        <v>Sun</v>
      </c>
      <c r="J3" s="29" t="str">
        <f>TEXT(WEEKDAY(DATE(CalendarYear,2,9),1),"aaa")</f>
        <v>Mon</v>
      </c>
      <c r="K3" s="29" t="str">
        <f>TEXT(WEEKDAY(DATE(CalendarYear,2,10),1),"aaa")</f>
        <v>Tue</v>
      </c>
      <c r="L3" s="29" t="str">
        <f>TEXT(WEEKDAY(DATE(CalendarYear,2,11),1),"aaa")</f>
        <v>Wed</v>
      </c>
      <c r="M3" s="29" t="str">
        <f>TEXT(WEEKDAY(DATE(CalendarYear,2,12),1),"aaa")</f>
        <v>Thu</v>
      </c>
      <c r="N3" s="29" t="str">
        <f>TEXT(WEEKDAY(DATE(CalendarYear,2,13),1),"aaa")</f>
        <v>Fri</v>
      </c>
      <c r="O3" s="29" t="str">
        <f>TEXT(WEEKDAY(DATE(CalendarYear,2,14),1),"aaa")</f>
        <v>Sat</v>
      </c>
      <c r="P3" s="29" t="str">
        <f>TEXT(WEEKDAY(DATE(CalendarYear,2,15),1),"aaa")</f>
        <v>Sun</v>
      </c>
      <c r="Q3" s="29" t="str">
        <f>TEXT(WEEKDAY(DATE(CalendarYear,2,16),1),"aaa")</f>
        <v>Mon</v>
      </c>
      <c r="R3" s="29" t="str">
        <f>TEXT(WEEKDAY(DATE(CalendarYear,2,17),1),"aaa")</f>
        <v>Tue</v>
      </c>
      <c r="S3" s="29" t="str">
        <f>TEXT(WEEKDAY(DATE(CalendarYear,2,18),1),"aaa")</f>
        <v>Wed</v>
      </c>
      <c r="T3" s="29" t="str">
        <f>TEXT(WEEKDAY(DATE(CalendarYear,2,19),1),"aaa")</f>
        <v>Thu</v>
      </c>
      <c r="U3" s="29" t="str">
        <f>TEXT(WEEKDAY(DATE(CalendarYear,2,20),1),"aaa")</f>
        <v>Fri</v>
      </c>
      <c r="V3" s="29" t="str">
        <f>TEXT(WEEKDAY(DATE(CalendarYear,2,21),1),"aaa")</f>
        <v>Sat</v>
      </c>
      <c r="W3" s="29" t="str">
        <f>TEXT(WEEKDAY(DATE(CalendarYear,2,22),1),"aaa")</f>
        <v>Sun</v>
      </c>
      <c r="X3" s="29" t="str">
        <f>TEXT(WEEKDAY(DATE(CalendarYear,2,23),1),"aaa")</f>
        <v>Mon</v>
      </c>
      <c r="Y3" s="29" t="str">
        <f>TEXT(WEEKDAY(DATE(CalendarYear,2,24),1),"aaa")</f>
        <v>Tue</v>
      </c>
      <c r="Z3" s="29" t="str">
        <f>TEXT(WEEKDAY(DATE(CalendarYear,2,25),1),"aaa")</f>
        <v>Wed</v>
      </c>
      <c r="AA3" s="29" t="str">
        <f>TEXT(WEEKDAY(DATE(CalendarYear,2,26),1),"aaa")</f>
        <v>Thu</v>
      </c>
      <c r="AB3" s="29" t="str">
        <f>TEXT(WEEKDAY(DATE(CalendarYear,2,27),1),"aaa")</f>
        <v>Fri</v>
      </c>
      <c r="AC3" s="29" t="str">
        <f>TEXT(WEEKDAY(DATE(CalendarYear,2,28),1),"aaa")</f>
        <v>Sat</v>
      </c>
      <c r="AD3" s="29" t="str">
        <f>TEXT(WEEKDAY(DATE(CalendarYear,2,29),1),"aaa")</f>
        <v>Sun</v>
      </c>
      <c r="AE3" s="29"/>
      <c r="AF3" s="30"/>
      <c r="AG3" s="79"/>
    </row>
    <row r="4" spans="1:34" s="13" customFormat="1" x14ac:dyDescent="0.25">
      <c r="A4" s="38" t="s">
        <v>2</v>
      </c>
      <c r="B4" s="7" t="s">
        <v>3</v>
      </c>
      <c r="C4" s="7" t="s">
        <v>4</v>
      </c>
      <c r="D4" s="7" t="s">
        <v>5</v>
      </c>
      <c r="E4" s="7" t="s">
        <v>6</v>
      </c>
      <c r="F4" s="7" t="s">
        <v>7</v>
      </c>
      <c r="G4" s="7" t="s">
        <v>8</v>
      </c>
      <c r="H4" s="7" t="s">
        <v>9</v>
      </c>
      <c r="I4" s="7" t="s">
        <v>10</v>
      </c>
      <c r="J4" s="7" t="s">
        <v>11</v>
      </c>
      <c r="K4" s="7" t="s">
        <v>12</v>
      </c>
      <c r="L4" s="7" t="s">
        <v>13</v>
      </c>
      <c r="M4" s="7" t="s">
        <v>14</v>
      </c>
      <c r="N4" s="7" t="s">
        <v>15</v>
      </c>
      <c r="O4" s="7" t="s">
        <v>16</v>
      </c>
      <c r="P4" s="7" t="s">
        <v>17</v>
      </c>
      <c r="Q4" s="7" t="s">
        <v>18</v>
      </c>
      <c r="R4" s="7" t="s">
        <v>19</v>
      </c>
      <c r="S4" s="7" t="s">
        <v>20</v>
      </c>
      <c r="T4" s="7" t="s">
        <v>21</v>
      </c>
      <c r="U4" s="7" t="s">
        <v>22</v>
      </c>
      <c r="V4" s="7" t="s">
        <v>23</v>
      </c>
      <c r="W4" s="7" t="s">
        <v>24</v>
      </c>
      <c r="X4" s="7" t="s">
        <v>25</v>
      </c>
      <c r="Y4" s="7" t="s">
        <v>26</v>
      </c>
      <c r="Z4" s="7" t="s">
        <v>27</v>
      </c>
      <c r="AA4" s="7" t="s">
        <v>28</v>
      </c>
      <c r="AB4" s="7" t="s">
        <v>29</v>
      </c>
      <c r="AC4" s="7" t="s">
        <v>30</v>
      </c>
      <c r="AD4" s="17" t="s">
        <v>31</v>
      </c>
      <c r="AE4" s="7" t="s">
        <v>37</v>
      </c>
      <c r="AF4" s="7" t="s">
        <v>38</v>
      </c>
      <c r="AG4" s="7" t="s">
        <v>34</v>
      </c>
      <c r="AH4" s="12"/>
    </row>
    <row r="5" spans="1:34" s="13" customFormat="1" x14ac:dyDescent="0.25">
      <c r="A5" s="44" t="s">
        <v>57</v>
      </c>
      <c r="B5" s="7"/>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11">
        <f>COUNTA(tblFebruary[[#This Row],[1]:[29]])</f>
        <v>0</v>
      </c>
      <c r="AH5" s="12"/>
    </row>
    <row r="6" spans="1:34" s="13" customFormat="1" x14ac:dyDescent="0.25">
      <c r="A6" s="44" t="s">
        <v>58</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11">
        <f>COUNTA(tblFebruary[[#This Row],[1]:[29]])</f>
        <v>0</v>
      </c>
      <c r="AH6" s="12"/>
    </row>
    <row r="7" spans="1:34" ht="15" customHeight="1" x14ac:dyDescent="0.25">
      <c r="A7" s="44" t="s">
        <v>59</v>
      </c>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11">
        <f>COUNTA(tblFebruary[[#This Row],[1]:[29]])</f>
        <v>0</v>
      </c>
    </row>
    <row r="8" spans="1:34" ht="15" customHeight="1" x14ac:dyDescent="0.25">
      <c r="A8" s="44" t="s">
        <v>60</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11">
        <f>COUNTA(tblFebruary[[#This Row],[1]:[29]])</f>
        <v>0</v>
      </c>
    </row>
    <row r="9" spans="1:34" ht="15" customHeight="1" x14ac:dyDescent="0.25">
      <c r="A9" s="44" t="s">
        <v>61</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COUNTA(tblFebruary[[#This Row],[1]:[29]])</f>
        <v>0</v>
      </c>
    </row>
    <row r="10" spans="1:34" ht="15" customHeight="1" x14ac:dyDescent="0.25">
      <c r="A10" s="44" t="s">
        <v>62</v>
      </c>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11">
        <f>COUNTA(tblFebruary[[#This Row],[1]:[29]])</f>
        <v>0</v>
      </c>
    </row>
    <row r="11" spans="1:34" ht="15" customHeight="1" x14ac:dyDescent="0.25">
      <c r="A11" s="44" t="s">
        <v>63</v>
      </c>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11">
        <f>COUNTA(tblFebruary[[#This Row],[1]:[29]])</f>
        <v>0</v>
      </c>
    </row>
    <row r="12" spans="1:34" ht="15" customHeight="1" x14ac:dyDescent="0.25">
      <c r="A12" s="44" t="s">
        <v>64</v>
      </c>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11">
        <f>COUNTA(tblFebruary[[#This Row],[1]:[29]])</f>
        <v>0</v>
      </c>
    </row>
    <row r="13" spans="1:34" ht="15" customHeight="1" x14ac:dyDescent="0.25">
      <c r="A13" s="44" t="s">
        <v>65</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11">
        <f>COUNTA(tblFebruary[[#This Row],[1]:[29]])</f>
        <v>0</v>
      </c>
    </row>
    <row r="14" spans="1:34" ht="15" customHeight="1" x14ac:dyDescent="0.25">
      <c r="A14" s="44" t="s">
        <v>66</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11">
        <f>COUNTA(tblFebruary[[#This Row],[1]:[29]])</f>
        <v>0</v>
      </c>
    </row>
    <row r="15" spans="1:34" ht="15" customHeight="1" x14ac:dyDescent="0.25">
      <c r="A15" s="44" t="s">
        <v>67</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11">
        <f>COUNTA(tblFebruary[[#This Row],[1]:[29]])</f>
        <v>0</v>
      </c>
    </row>
    <row r="16" spans="1:34" ht="15" customHeight="1" x14ac:dyDescent="0.25">
      <c r="A16" s="44" t="s">
        <v>68</v>
      </c>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11">
        <f>COUNTA(tblFebruary[[#This Row],[1]:[29]])</f>
        <v>0</v>
      </c>
    </row>
    <row r="17" spans="1:33" ht="15" customHeight="1" x14ac:dyDescent="0.25">
      <c r="A17" s="44" t="s">
        <v>69</v>
      </c>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11">
        <f>COUNTA(tblFebruary[[#This Row],[1]:[29]])</f>
        <v>0</v>
      </c>
    </row>
    <row r="18" spans="1:33" ht="15" customHeight="1" x14ac:dyDescent="0.25">
      <c r="A18" s="44" t="s">
        <v>70</v>
      </c>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11">
        <f>COUNTA(tblFebruary[[#This Row],[1]:[29]])</f>
        <v>0</v>
      </c>
    </row>
    <row r="19" spans="1:33" ht="15" customHeight="1" x14ac:dyDescent="0.25">
      <c r="A19" s="44" t="s">
        <v>71</v>
      </c>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11">
        <f>COUNTA(tblFebruary[[#This Row],[1]:[29]])</f>
        <v>0</v>
      </c>
    </row>
    <row r="20" spans="1:33" ht="15" customHeight="1" x14ac:dyDescent="0.25">
      <c r="A20" s="44" t="s">
        <v>72</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11">
        <f>COUNTA(tblFebruary[[#This Row],[1]:[29]])</f>
        <v>0</v>
      </c>
    </row>
    <row r="21" spans="1:33" ht="15" customHeight="1" x14ac:dyDescent="0.25">
      <c r="A21" s="44" t="s">
        <v>73</v>
      </c>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11">
        <f>COUNTA(tblFebruary[[#This Row],[1]:[29]])</f>
        <v>0</v>
      </c>
    </row>
    <row r="22" spans="1:33" ht="15" customHeight="1" x14ac:dyDescent="0.25">
      <c r="A22" s="44" t="s">
        <v>74</v>
      </c>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11">
        <f>COUNTA(tblFebruary[[#This Row],[1]:[29]])</f>
        <v>0</v>
      </c>
    </row>
    <row r="23" spans="1:33" ht="15" customHeight="1" x14ac:dyDescent="0.25">
      <c r="A23" s="44" t="s">
        <v>75</v>
      </c>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11">
        <f>COUNTA(tblFebruary[[#This Row],[1]:[29]])</f>
        <v>0</v>
      </c>
    </row>
    <row r="24" spans="1:33" ht="15" customHeight="1" x14ac:dyDescent="0.25">
      <c r="A24" s="44" t="s">
        <v>76</v>
      </c>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11">
        <f>COUNTA(tblFebruary[[#This Row],[1]:[29]])</f>
        <v>0</v>
      </c>
    </row>
    <row r="25" spans="1:33" ht="15" customHeight="1" x14ac:dyDescent="0.25">
      <c r="A25" s="44" t="s">
        <v>77</v>
      </c>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11">
        <f>COUNTA(tblFebruary[[#This Row],[1]:[29]])</f>
        <v>0</v>
      </c>
    </row>
    <row r="26" spans="1:33" ht="15" customHeight="1" x14ac:dyDescent="0.25">
      <c r="A26" s="44" t="s">
        <v>78</v>
      </c>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11">
        <f>COUNTA(tblFebruary[[#This Row],[1]:[29]])</f>
        <v>0</v>
      </c>
    </row>
    <row r="27" spans="1:33" ht="15" customHeight="1" x14ac:dyDescent="0.25">
      <c r="A27" s="44" t="s">
        <v>79</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11">
        <f>COUNTA(tblFebruary[[#This Row],[1]:[29]])</f>
        <v>0</v>
      </c>
    </row>
    <row r="28" spans="1:33" ht="15" customHeight="1" x14ac:dyDescent="0.25">
      <c r="A28" s="44" t="s">
        <v>80</v>
      </c>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11">
        <f>COUNTA(tblFebruary[[#This Row],[1]:[29]])</f>
        <v>0</v>
      </c>
    </row>
    <row r="29" spans="1:33" ht="15" customHeight="1" x14ac:dyDescent="0.25">
      <c r="A29" s="44" t="s">
        <v>81</v>
      </c>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11">
        <f>COUNTA(tblFebruary[[#This Row],[1]:[29]])</f>
        <v>0</v>
      </c>
    </row>
    <row r="30" spans="1:33" s="15" customFormat="1" ht="15" customHeight="1" x14ac:dyDescent="0.25">
      <c r="A30" s="44" t="s">
        <v>82</v>
      </c>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11">
        <f>COUNTA(tblFebruary[[#This Row],[1]:[29]])</f>
        <v>0</v>
      </c>
    </row>
    <row r="31" spans="1:33" ht="15" customHeight="1" x14ac:dyDescent="0.25">
      <c r="A31" s="48" t="str">
        <f>MonthName&amp;" Total"</f>
        <v>February Total</v>
      </c>
      <c r="B31" s="49">
        <f>SUBTOTAL(103,tblFebruary[1])</f>
        <v>0</v>
      </c>
      <c r="C31" s="49">
        <f>SUBTOTAL(103,tblFebruary[2])</f>
        <v>0</v>
      </c>
      <c r="D31" s="49">
        <f>SUBTOTAL(103,tblFebruary[3])</f>
        <v>0</v>
      </c>
      <c r="E31" s="49">
        <f>SUBTOTAL(103,tblFebruary[4])</f>
        <v>0</v>
      </c>
      <c r="F31" s="49">
        <f>SUBTOTAL(103,tblFebruary[5])</f>
        <v>0</v>
      </c>
      <c r="G31" s="49">
        <f>SUBTOTAL(103,tblFebruary[6])</f>
        <v>0</v>
      </c>
      <c r="H31" s="49">
        <f>SUBTOTAL(103,tblFebruary[7])</f>
        <v>0</v>
      </c>
      <c r="I31" s="49">
        <f>SUBTOTAL(103,tblFebruary[8])</f>
        <v>0</v>
      </c>
      <c r="J31" s="49">
        <f>SUBTOTAL(103,tblFebruary[9])</f>
        <v>0</v>
      </c>
      <c r="K31" s="49">
        <f>SUBTOTAL(103,tblFebruary[10])</f>
        <v>0</v>
      </c>
      <c r="L31" s="49">
        <f>SUBTOTAL(103,tblFebruary[11])</f>
        <v>0</v>
      </c>
      <c r="M31" s="49">
        <f>SUBTOTAL(103,tblFebruary[12])</f>
        <v>0</v>
      </c>
      <c r="N31" s="49">
        <f>SUBTOTAL(103,tblFebruary[13])</f>
        <v>0</v>
      </c>
      <c r="O31" s="49">
        <f>SUBTOTAL(103,tblFebruary[14])</f>
        <v>0</v>
      </c>
      <c r="P31" s="49">
        <f>SUBTOTAL(103,tblFebruary[15])</f>
        <v>0</v>
      </c>
      <c r="Q31" s="49">
        <f>SUBTOTAL(103,tblFebruary[16])</f>
        <v>0</v>
      </c>
      <c r="R31" s="49">
        <f>SUBTOTAL(103,tblFebruary[17])</f>
        <v>0</v>
      </c>
      <c r="S31" s="49">
        <f>SUBTOTAL(103,tblFebruary[18])</f>
        <v>0</v>
      </c>
      <c r="T31" s="49">
        <f>SUBTOTAL(103,tblFebruary[19])</f>
        <v>0</v>
      </c>
      <c r="U31" s="49">
        <f>SUBTOTAL(103,tblFebruary[20])</f>
        <v>0</v>
      </c>
      <c r="V31" s="49">
        <f>SUBTOTAL(103,tblFebruary[21])</f>
        <v>0</v>
      </c>
      <c r="W31" s="49">
        <f>SUBTOTAL(103,tblFebruary[22])</f>
        <v>0</v>
      </c>
      <c r="X31" s="49">
        <f>SUBTOTAL(103,tblFebruary[23])</f>
        <v>0</v>
      </c>
      <c r="Y31" s="49">
        <f>SUBTOTAL(103,tblFebruary[24])</f>
        <v>0</v>
      </c>
      <c r="Z31" s="49">
        <f>SUBTOTAL(103,tblFebruary[25])</f>
        <v>0</v>
      </c>
      <c r="AA31" s="49">
        <f>SUBTOTAL(103,tblFebruary[26])</f>
        <v>0</v>
      </c>
      <c r="AB31" s="49">
        <f>SUBTOTAL(103,tblFebruary[27])</f>
        <v>0</v>
      </c>
      <c r="AC31" s="49">
        <f>SUBTOTAL(103,tblFebruary[28])</f>
        <v>0</v>
      </c>
      <c r="AD31" s="49">
        <f>SUBTOTAL(103,tblFebruary[29])</f>
        <v>0</v>
      </c>
      <c r="AE31" s="49"/>
      <c r="AF31" s="49"/>
      <c r="AG31" s="49">
        <f>SUBTOTAL(109,tblFebruary[Total Days])</f>
        <v>0</v>
      </c>
    </row>
    <row r="32" spans="1:33" ht="15" customHeight="1" x14ac:dyDescent="0.25">
      <c r="A32" s="80"/>
      <c r="B32" s="80"/>
      <c r="C32" s="80"/>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row>
    <row r="33" spans="1:26" ht="15" customHeight="1" x14ac:dyDescent="0.25">
      <c r="A33"/>
      <c r="B33" s="42" t="str">
        <f>January!B33</f>
        <v>Color Key</v>
      </c>
      <c r="C33" s="42"/>
      <c r="D33" s="42"/>
      <c r="E33" s="42"/>
      <c r="F33" s="43"/>
      <c r="G33" s="26" t="str">
        <f>KeyVacation</f>
        <v>V</v>
      </c>
      <c r="H33" s="39" t="str">
        <f>KeyVacationLabel</f>
        <v>Vacation</v>
      </c>
      <c r="I33" s="40"/>
      <c r="J33" s="40"/>
      <c r="K33" s="22" t="str">
        <f>KeyPersonal</f>
        <v>P</v>
      </c>
      <c r="L33" s="39" t="str">
        <f>KeyPersonalLabel</f>
        <v>Personal</v>
      </c>
      <c r="M33" s="40"/>
      <c r="N33" s="40"/>
      <c r="O33" s="23" t="str">
        <f>KeySick</f>
        <v>S</v>
      </c>
      <c r="P33" s="39" t="str">
        <f>KeySickLabel</f>
        <v>Sick</v>
      </c>
      <c r="Q33" s="40"/>
      <c r="R33" s="40"/>
      <c r="S33" s="24" t="str">
        <f>KeyCustom1</f>
        <v>H</v>
      </c>
      <c r="T33" s="39" t="str">
        <f>KeyCustom1Label</f>
        <v>Holiday</v>
      </c>
      <c r="U33" s="41"/>
      <c r="V33" s="40"/>
      <c r="W33" s="25">
        <f>KeyCustom2</f>
        <v>0</v>
      </c>
      <c r="X33" s="39" t="str">
        <f>KeyCustom2Label</f>
        <v>Custom 2</v>
      </c>
      <c r="Y33" s="40"/>
      <c r="Z33" s="41"/>
    </row>
  </sheetData>
  <mergeCells count="4">
    <mergeCell ref="B2:AF2"/>
    <mergeCell ref="A32:AG32"/>
    <mergeCell ref="A2:A3"/>
    <mergeCell ref="AG2:AG3"/>
  </mergeCells>
  <conditionalFormatting sqref="AD4">
    <cfRule type="expression" dxfId="89" priority="14">
      <formula>MONTH(DATE(CalendarYear,2,29))&lt;&gt;2</formula>
    </cfRule>
  </conditionalFormatting>
  <conditionalFormatting sqref="AD3">
    <cfRule type="expression" dxfId="88" priority="13">
      <formula>MONTH(DATE(CalendarYear,2,29))&lt;&gt;2</formula>
    </cfRule>
  </conditionalFormatting>
  <conditionalFormatting sqref="B5:AF30">
    <cfRule type="expression" priority="1" stopIfTrue="1">
      <formula>B5=""</formula>
    </cfRule>
  </conditionalFormatting>
  <conditionalFormatting sqref="B5:AF30">
    <cfRule type="expression" dxfId="87" priority="2" stopIfTrue="1">
      <formula>B5=KeyCustom2</formula>
    </cfRule>
    <cfRule type="expression" dxfId="86" priority="3" stopIfTrue="1">
      <formula>B5=KeyCustom1</formula>
    </cfRule>
    <cfRule type="expression" dxfId="85" priority="4" stopIfTrue="1">
      <formula>B5=KeySick</formula>
    </cfRule>
    <cfRule type="expression" dxfId="84" priority="5" stopIfTrue="1">
      <formula>B5=KeyPersonal</formula>
    </cfRule>
    <cfRule type="expression" dxfId="83" priority="6" stopIfTrue="1">
      <formula>B5=KeyVacation</formula>
    </cfRule>
  </conditionalFormatting>
  <conditionalFormatting sqref="AG5:AG30">
    <cfRule type="dataBar" priority="19">
      <dataBar>
        <cfvo type="min"/>
        <cfvo type="formula" val="DATEDIF(DATE(CalendarYear,2,1),DATE(CalendarYear,3,1),&quot;d&quot;)"/>
        <color theme="2" tint="-0.249977111117893"/>
      </dataBar>
      <extLst>
        <ext xmlns:x14="http://schemas.microsoft.com/office/spreadsheetml/2009/9/main" uri="{B025F937-C7B1-47D3-B67F-A62EFF666E3E}">
          <x14:id>{94738C71-AB78-40C3-A818-D083AE35CC38}</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4738C71-AB78-40C3-A818-D083AE35CC38}">
            <x14:dataBar minLength="0" maxLength="100">
              <x14:cfvo type="autoMin"/>
              <x14:cfvo type="formula">
                <xm:f>DATEDIF(DATE(CalendarYear,2,1),DATE(CalendarYear,3,1),"d")</xm:f>
              </x14:cfvo>
              <x14:negativeFillColor rgb="FFFF0000"/>
              <x14:axisColor rgb="FF000000"/>
            </x14:dataBar>
          </x14:cfRule>
          <xm:sqref>AG5:AG30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tint="-0.499984740745262"/>
    <pageSetUpPr fitToPage="1"/>
  </sheetPr>
  <dimension ref="A1:AH33"/>
  <sheetViews>
    <sheetView showGridLines="0" zoomScaleNormal="100" workbookViewId="0">
      <pane ySplit="4" topLeftCell="A17" activePane="bottomLeft" state="frozen"/>
      <selection pane="bottomLeft" activeCell="A5" sqref="A5:XFD5"/>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8" t="s">
        <v>47</v>
      </c>
      <c r="B2" s="76" t="s">
        <v>1</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9">
        <f>CalendarYear</f>
        <v>2015</v>
      </c>
    </row>
    <row r="3" spans="1:34" ht="15.75" customHeight="1" x14ac:dyDescent="0.25">
      <c r="A3" s="78"/>
      <c r="B3" s="28" t="str">
        <f>TEXT(WEEKDAY(DATE(CalendarYear,3,1),1),"aaa")</f>
        <v>Sun</v>
      </c>
      <c r="C3" s="29" t="str">
        <f>TEXT(WEEKDAY(DATE(CalendarYear,3,2),1),"aaa")</f>
        <v>Mon</v>
      </c>
      <c r="D3" s="29" t="str">
        <f>TEXT(WEEKDAY(DATE(CalendarYear,3,3),1),"aaa")</f>
        <v>Tue</v>
      </c>
      <c r="E3" s="29" t="str">
        <f>TEXT(WEEKDAY(DATE(CalendarYear,3,4),1),"aaa")</f>
        <v>Wed</v>
      </c>
      <c r="F3" s="29" t="str">
        <f>TEXT(WEEKDAY(DATE(CalendarYear,3,5),1),"aaa")</f>
        <v>Thu</v>
      </c>
      <c r="G3" s="29" t="str">
        <f>TEXT(WEEKDAY(DATE(CalendarYear,3,6),1),"aaa")</f>
        <v>Fri</v>
      </c>
      <c r="H3" s="29" t="str">
        <f>TEXT(WEEKDAY(DATE(CalendarYear,3,7),1),"aaa")</f>
        <v>Sat</v>
      </c>
      <c r="I3" s="29" t="str">
        <f>TEXT(WEEKDAY(DATE(CalendarYear,3,8),1),"aaa")</f>
        <v>Sun</v>
      </c>
      <c r="J3" s="29" t="str">
        <f>TEXT(WEEKDAY(DATE(CalendarYear,3,9),1),"aaa")</f>
        <v>Mon</v>
      </c>
      <c r="K3" s="29" t="str">
        <f>TEXT(WEEKDAY(DATE(CalendarYear,3,10),1),"aaa")</f>
        <v>Tue</v>
      </c>
      <c r="L3" s="29" t="str">
        <f>TEXT(WEEKDAY(DATE(CalendarYear,3,11),1),"aaa")</f>
        <v>Wed</v>
      </c>
      <c r="M3" s="29" t="str">
        <f>TEXT(WEEKDAY(DATE(CalendarYear,3,12),1),"aaa")</f>
        <v>Thu</v>
      </c>
      <c r="N3" s="29" t="str">
        <f>TEXT(WEEKDAY(DATE(CalendarYear,3,13),1),"aaa")</f>
        <v>Fri</v>
      </c>
      <c r="O3" s="29" t="str">
        <f>TEXT(WEEKDAY(DATE(CalendarYear,3,14),1),"aaa")</f>
        <v>Sat</v>
      </c>
      <c r="P3" s="29" t="str">
        <f>TEXT(WEEKDAY(DATE(CalendarYear,3,15),1),"aaa")</f>
        <v>Sun</v>
      </c>
      <c r="Q3" s="29" t="str">
        <f>TEXT(WEEKDAY(DATE(CalendarYear,3,16),1),"aaa")</f>
        <v>Mon</v>
      </c>
      <c r="R3" s="29" t="str">
        <f>TEXT(WEEKDAY(DATE(CalendarYear,3,17),1),"aaa")</f>
        <v>Tue</v>
      </c>
      <c r="S3" s="29" t="str">
        <f>TEXT(WEEKDAY(DATE(CalendarYear,3,18),1),"aaa")</f>
        <v>Wed</v>
      </c>
      <c r="T3" s="29" t="str">
        <f>TEXT(WEEKDAY(DATE(CalendarYear,3,19),1),"aaa")</f>
        <v>Thu</v>
      </c>
      <c r="U3" s="29" t="str">
        <f>TEXT(WEEKDAY(DATE(CalendarYear,3,20),1),"aaa")</f>
        <v>Fri</v>
      </c>
      <c r="V3" s="29" t="str">
        <f>TEXT(WEEKDAY(DATE(CalendarYear,3,21),1),"aaa")</f>
        <v>Sat</v>
      </c>
      <c r="W3" s="29" t="str">
        <f>TEXT(WEEKDAY(DATE(CalendarYear,3,22),1),"aaa")</f>
        <v>Sun</v>
      </c>
      <c r="X3" s="29" t="str">
        <f>TEXT(WEEKDAY(DATE(CalendarYear,3,23),1),"aaa")</f>
        <v>Mon</v>
      </c>
      <c r="Y3" s="29" t="str">
        <f>TEXT(WEEKDAY(DATE(CalendarYear,3,24),1),"aaa")</f>
        <v>Tue</v>
      </c>
      <c r="Z3" s="29" t="str">
        <f>TEXT(WEEKDAY(DATE(CalendarYear,3,25),1),"aaa")</f>
        <v>Wed</v>
      </c>
      <c r="AA3" s="29" t="str">
        <f>TEXT(WEEKDAY(DATE(CalendarYear,3,26),1),"aaa")</f>
        <v>Thu</v>
      </c>
      <c r="AB3" s="29" t="str">
        <f>TEXT(WEEKDAY(DATE(CalendarYear,3,27),1),"aaa")</f>
        <v>Fri</v>
      </c>
      <c r="AC3" s="29" t="str">
        <f>TEXT(WEEKDAY(DATE(CalendarYear,3,28),1),"aaa")</f>
        <v>Sat</v>
      </c>
      <c r="AD3" s="29" t="str">
        <f>TEXT(WEEKDAY(DATE(CalendarYear,3,29),1),"aaa")</f>
        <v>Sun</v>
      </c>
      <c r="AE3" s="29" t="str">
        <f>TEXT(WEEKDAY(DATE(CalendarYear,3,30),1),"aaa")</f>
        <v>Mon</v>
      </c>
      <c r="AF3" s="29" t="str">
        <f>TEXT(WEEKDAY(DATE(CalendarYear,3,31),1),"aaa")</f>
        <v>Tue</v>
      </c>
      <c r="AG3" s="79"/>
    </row>
    <row r="4" spans="1:34" s="13" customFormat="1" x14ac:dyDescent="0.25">
      <c r="A4" s="38" t="s">
        <v>2</v>
      </c>
      <c r="B4" s="45" t="s">
        <v>3</v>
      </c>
      <c r="C4" s="45" t="s">
        <v>4</v>
      </c>
      <c r="D4" s="45" t="s">
        <v>5</v>
      </c>
      <c r="E4" s="45" t="s">
        <v>6</v>
      </c>
      <c r="F4" s="45" t="s">
        <v>7</v>
      </c>
      <c r="G4" s="45" t="s">
        <v>8</v>
      </c>
      <c r="H4" s="45" t="s">
        <v>9</v>
      </c>
      <c r="I4" s="45" t="s">
        <v>10</v>
      </c>
      <c r="J4" s="45" t="s">
        <v>11</v>
      </c>
      <c r="K4" s="45" t="s">
        <v>12</v>
      </c>
      <c r="L4" s="45" t="s">
        <v>13</v>
      </c>
      <c r="M4" s="45" t="s">
        <v>14</v>
      </c>
      <c r="N4" s="45" t="s">
        <v>15</v>
      </c>
      <c r="O4" s="45" t="s">
        <v>16</v>
      </c>
      <c r="P4" s="45" t="s">
        <v>17</v>
      </c>
      <c r="Q4" s="45" t="s">
        <v>18</v>
      </c>
      <c r="R4" s="45" t="s">
        <v>19</v>
      </c>
      <c r="S4" s="45" t="s">
        <v>20</v>
      </c>
      <c r="T4" s="45" t="s">
        <v>21</v>
      </c>
      <c r="U4" s="45" t="s">
        <v>22</v>
      </c>
      <c r="V4" s="45" t="s">
        <v>23</v>
      </c>
      <c r="W4" s="45" t="s">
        <v>24</v>
      </c>
      <c r="X4" s="45" t="s">
        <v>25</v>
      </c>
      <c r="Y4" s="45" t="s">
        <v>26</v>
      </c>
      <c r="Z4" s="45" t="s">
        <v>27</v>
      </c>
      <c r="AA4" s="45" t="s">
        <v>28</v>
      </c>
      <c r="AB4" s="45" t="s">
        <v>29</v>
      </c>
      <c r="AC4" s="45" t="s">
        <v>30</v>
      </c>
      <c r="AD4" s="17" t="s">
        <v>31</v>
      </c>
      <c r="AE4" s="45" t="s">
        <v>32</v>
      </c>
      <c r="AF4" s="45" t="s">
        <v>33</v>
      </c>
      <c r="AG4" s="45" t="s">
        <v>34</v>
      </c>
      <c r="AH4" s="12"/>
    </row>
    <row r="5" spans="1:34" s="13" customFormat="1" x14ac:dyDescent="0.25">
      <c r="A5" s="44" t="s">
        <v>57</v>
      </c>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11">
        <f>COUNTA(tblMarch[[#This Row],[1]:[29]])</f>
        <v>0</v>
      </c>
      <c r="AH5" s="12"/>
    </row>
    <row r="6" spans="1:34" s="13" customFormat="1" x14ac:dyDescent="0.25">
      <c r="A6" s="44" t="s">
        <v>58</v>
      </c>
      <c r="B6" s="45"/>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11">
        <f>COUNTA(tblMarch[[#This Row],[1]:[29]])</f>
        <v>0</v>
      </c>
      <c r="AH6" s="12"/>
    </row>
    <row r="7" spans="1:34" s="13" customFormat="1" x14ac:dyDescent="0.25">
      <c r="A7" s="44" t="s">
        <v>59</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COUNTA(tblMarch[[#This Row],[1]:[29]])</f>
        <v>0</v>
      </c>
      <c r="AH7" s="12"/>
    </row>
    <row r="8" spans="1:34" s="13" customFormat="1" x14ac:dyDescent="0.25">
      <c r="A8" s="44" t="s">
        <v>60</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COUNTA(tblMarch[[#This Row],[1]:[29]])</f>
        <v>0</v>
      </c>
      <c r="AH8" s="12"/>
    </row>
    <row r="9" spans="1:34" s="13" customFormat="1" x14ac:dyDescent="0.25">
      <c r="A9" s="44" t="s">
        <v>61</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COUNTA(tblMarch[[#This Row],[1]:[29]])</f>
        <v>0</v>
      </c>
      <c r="AH9" s="12"/>
    </row>
    <row r="10" spans="1:34" s="13" customFormat="1" x14ac:dyDescent="0.25">
      <c r="A10" s="44" t="s">
        <v>62</v>
      </c>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11">
        <f>COUNTA(tblMarch[[#This Row],[1]:[29]])</f>
        <v>0</v>
      </c>
      <c r="AH10" s="12"/>
    </row>
    <row r="11" spans="1:34" s="13" customFormat="1" x14ac:dyDescent="0.25">
      <c r="A11" s="44" t="s">
        <v>63</v>
      </c>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11">
        <f>COUNTA(tblMarch[[#This Row],[1]:[29]])</f>
        <v>0</v>
      </c>
      <c r="AH11" s="12"/>
    </row>
    <row r="12" spans="1:34" s="13" customFormat="1" x14ac:dyDescent="0.25">
      <c r="A12" s="44" t="s">
        <v>64</v>
      </c>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11">
        <f>COUNTA(tblMarch[[#This Row],[1]:[29]])</f>
        <v>0</v>
      </c>
      <c r="AH12" s="12"/>
    </row>
    <row r="13" spans="1:34" s="13" customFormat="1" x14ac:dyDescent="0.25">
      <c r="A13" s="44" t="s">
        <v>65</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11">
        <f>COUNTA(tblMarch[[#This Row],[1]:[29]])</f>
        <v>0</v>
      </c>
      <c r="AH13" s="12"/>
    </row>
    <row r="14" spans="1:34" s="13" customFormat="1" x14ac:dyDescent="0.25">
      <c r="A14" s="44" t="s">
        <v>66</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11">
        <f>COUNTA(tblMarch[[#This Row],[1]:[29]])</f>
        <v>0</v>
      </c>
      <c r="AH14" s="12"/>
    </row>
    <row r="15" spans="1:34" s="13" customFormat="1" x14ac:dyDescent="0.25">
      <c r="A15" s="44" t="s">
        <v>67</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11">
        <f>COUNTA(tblMarch[[#This Row],[1]:[29]])</f>
        <v>0</v>
      </c>
      <c r="AH15" s="12"/>
    </row>
    <row r="16" spans="1:34" s="13" customFormat="1" x14ac:dyDescent="0.25">
      <c r="A16" s="44" t="s">
        <v>68</v>
      </c>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11">
        <f>COUNTA(tblMarch[[#This Row],[1]:[29]])</f>
        <v>0</v>
      </c>
      <c r="AH16" s="12"/>
    </row>
    <row r="17" spans="1:34" s="13" customFormat="1" x14ac:dyDescent="0.25">
      <c r="A17" s="44" t="s">
        <v>69</v>
      </c>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11">
        <f>COUNTA(tblMarch[[#This Row],[1]:[29]])</f>
        <v>0</v>
      </c>
      <c r="AH17" s="12"/>
    </row>
    <row r="18" spans="1:34" s="13" customFormat="1" x14ac:dyDescent="0.25">
      <c r="A18" s="44" t="s">
        <v>70</v>
      </c>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11">
        <f>COUNTA(tblMarch[[#This Row],[1]:[29]])</f>
        <v>0</v>
      </c>
      <c r="AH18" s="12"/>
    </row>
    <row r="19" spans="1:34" s="13" customFormat="1" x14ac:dyDescent="0.25">
      <c r="A19" s="44" t="s">
        <v>71</v>
      </c>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11">
        <f>COUNTA(tblMarch[[#This Row],[1]:[29]])</f>
        <v>0</v>
      </c>
      <c r="AH19" s="12"/>
    </row>
    <row r="20" spans="1:34" s="13" customFormat="1" x14ac:dyDescent="0.25">
      <c r="A20" s="44" t="s">
        <v>72</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11">
        <f>COUNTA(tblMarch[[#This Row],[1]:[29]])</f>
        <v>0</v>
      </c>
      <c r="AH20" s="12"/>
    </row>
    <row r="21" spans="1:34" s="13" customFormat="1" x14ac:dyDescent="0.25">
      <c r="A21" s="44" t="s">
        <v>73</v>
      </c>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11">
        <f>COUNTA(tblMarch[[#This Row],[1]:[29]])</f>
        <v>0</v>
      </c>
      <c r="AH21" s="12"/>
    </row>
    <row r="22" spans="1:34" s="13" customFormat="1" x14ac:dyDescent="0.25">
      <c r="A22" s="44" t="s">
        <v>74</v>
      </c>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11">
        <f>COUNTA(tblMarch[[#This Row],[1]:[29]])</f>
        <v>0</v>
      </c>
      <c r="AH22" s="12"/>
    </row>
    <row r="23" spans="1:34" s="13" customFormat="1" x14ac:dyDescent="0.25">
      <c r="A23" s="44" t="s">
        <v>75</v>
      </c>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11">
        <f>COUNTA(tblMarch[[#This Row],[1]:[29]])</f>
        <v>0</v>
      </c>
      <c r="AH23" s="12"/>
    </row>
    <row r="24" spans="1:34" s="13" customFormat="1" x14ac:dyDescent="0.25">
      <c r="A24" s="44" t="s">
        <v>76</v>
      </c>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11">
        <f>COUNTA(tblMarch[[#This Row],[1]:[29]])</f>
        <v>0</v>
      </c>
      <c r="AH24" s="12"/>
    </row>
    <row r="25" spans="1:34" s="13" customFormat="1" x14ac:dyDescent="0.25">
      <c r="A25" s="44" t="s">
        <v>77</v>
      </c>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11">
        <f>COUNTA(tblMarch[[#This Row],[1]:[29]])</f>
        <v>0</v>
      </c>
      <c r="AH25" s="12"/>
    </row>
    <row r="26" spans="1:34" s="13" customFormat="1" x14ac:dyDescent="0.25">
      <c r="A26" s="44" t="s">
        <v>78</v>
      </c>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11">
        <f>COUNTA(tblMarch[[#This Row],[1]:[29]])</f>
        <v>0</v>
      </c>
      <c r="AH26" s="12"/>
    </row>
    <row r="27" spans="1:34" s="13" customFormat="1" x14ac:dyDescent="0.25">
      <c r="A27" s="44" t="s">
        <v>79</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11">
        <f>COUNTA(tblMarch[[#This Row],[1]:[29]])</f>
        <v>0</v>
      </c>
      <c r="AH27" s="12"/>
    </row>
    <row r="28" spans="1:34" s="13" customFormat="1" x14ac:dyDescent="0.25">
      <c r="A28" s="44" t="s">
        <v>80</v>
      </c>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11">
        <f>COUNTA(tblMarch[[#This Row],[1]:[29]])</f>
        <v>0</v>
      </c>
      <c r="AH28" s="12"/>
    </row>
    <row r="29" spans="1:34" s="13" customFormat="1" x14ac:dyDescent="0.25">
      <c r="A29" s="44" t="s">
        <v>81</v>
      </c>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11">
        <f>COUNTA(tblMarch[[#This Row],[1]:[29]])</f>
        <v>0</v>
      </c>
      <c r="AH29" s="12"/>
    </row>
    <row r="30" spans="1:34" s="13" customFormat="1" x14ac:dyDescent="0.25">
      <c r="A30" s="44" t="s">
        <v>82</v>
      </c>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11">
        <f>COUNTA(tblMarch[[#This Row],[1]:[29]])</f>
        <v>0</v>
      </c>
      <c r="AH30" s="12"/>
    </row>
    <row r="31" spans="1:34" ht="15" customHeight="1" x14ac:dyDescent="0.25">
      <c r="A31" s="48" t="str">
        <f>MonthName&amp;" Total"</f>
        <v>March Total</v>
      </c>
      <c r="B31" s="49">
        <f>SUBTOTAL(103,tblMarch[1])</f>
        <v>0</v>
      </c>
      <c r="C31" s="49">
        <f>SUBTOTAL(103,tblMarch[2])</f>
        <v>0</v>
      </c>
      <c r="D31" s="49">
        <f>SUBTOTAL(103,tblMarch[3])</f>
        <v>0</v>
      </c>
      <c r="E31" s="49">
        <f>SUBTOTAL(103,tblMarch[4])</f>
        <v>0</v>
      </c>
      <c r="F31" s="49">
        <f>SUBTOTAL(103,tblMarch[5])</f>
        <v>0</v>
      </c>
      <c r="G31" s="49">
        <f>SUBTOTAL(103,tblMarch[6])</f>
        <v>0</v>
      </c>
      <c r="H31" s="49">
        <f>SUBTOTAL(103,tblMarch[7])</f>
        <v>0</v>
      </c>
      <c r="I31" s="49">
        <f>SUBTOTAL(103,tblMarch[8])</f>
        <v>0</v>
      </c>
      <c r="J31" s="49">
        <f>SUBTOTAL(103,tblMarch[9])</f>
        <v>0</v>
      </c>
      <c r="K31" s="49">
        <f>SUBTOTAL(103,tblMarch[10])</f>
        <v>0</v>
      </c>
      <c r="L31" s="49">
        <f>SUBTOTAL(103,tblMarch[11])</f>
        <v>0</v>
      </c>
      <c r="M31" s="49">
        <f>SUBTOTAL(103,tblMarch[12])</f>
        <v>0</v>
      </c>
      <c r="N31" s="49">
        <f>SUBTOTAL(103,tblMarch[13])</f>
        <v>0</v>
      </c>
      <c r="O31" s="49">
        <f>SUBTOTAL(103,tblMarch[14])</f>
        <v>0</v>
      </c>
      <c r="P31" s="49">
        <f>SUBTOTAL(103,tblMarch[15])</f>
        <v>0</v>
      </c>
      <c r="Q31" s="49">
        <f>SUBTOTAL(103,tblMarch[16])</f>
        <v>0</v>
      </c>
      <c r="R31" s="49">
        <f>SUBTOTAL(103,tblMarch[17])</f>
        <v>0</v>
      </c>
      <c r="S31" s="49">
        <f>SUBTOTAL(103,tblMarch[18])</f>
        <v>0</v>
      </c>
      <c r="T31" s="49">
        <f>SUBTOTAL(103,tblMarch[19])</f>
        <v>0</v>
      </c>
      <c r="U31" s="49">
        <f>SUBTOTAL(103,tblMarch[20])</f>
        <v>0</v>
      </c>
      <c r="V31" s="49">
        <f>SUBTOTAL(103,tblMarch[21])</f>
        <v>0</v>
      </c>
      <c r="W31" s="49">
        <f>SUBTOTAL(103,tblMarch[22])</f>
        <v>0</v>
      </c>
      <c r="X31" s="49">
        <f>SUBTOTAL(103,tblMarch[23])</f>
        <v>0</v>
      </c>
      <c r="Y31" s="49">
        <f>SUBTOTAL(103,tblMarch[24])</f>
        <v>0</v>
      </c>
      <c r="Z31" s="49">
        <f>SUBTOTAL(103,tblMarch[25])</f>
        <v>0</v>
      </c>
      <c r="AA31" s="49">
        <f>SUBTOTAL(103,tblMarch[26])</f>
        <v>0</v>
      </c>
      <c r="AB31" s="49">
        <f>SUBTOTAL(103,tblMarch[27])</f>
        <v>0</v>
      </c>
      <c r="AC31" s="49">
        <f>SUBTOTAL(103,tblMarch[28])</f>
        <v>0</v>
      </c>
      <c r="AD31" s="49">
        <f>SUBTOTAL(103,tblMarch[29])</f>
        <v>0</v>
      </c>
      <c r="AE31" s="49"/>
      <c r="AF31" s="49"/>
      <c r="AG31" s="49">
        <f>SUBTOTAL(109,tblMarch[Total Days])</f>
        <v>0</v>
      </c>
    </row>
    <row r="32" spans="1:34" ht="15" customHeight="1" x14ac:dyDescent="0.25">
      <c r="A32" s="80"/>
      <c r="B32" s="80"/>
      <c r="C32" s="80"/>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row>
    <row r="33" spans="1:26" ht="15" customHeight="1" x14ac:dyDescent="0.25">
      <c r="A33"/>
      <c r="B33" s="42" t="str">
        <f>January!B33</f>
        <v>Color Key</v>
      </c>
      <c r="C33" s="42"/>
      <c r="D33" s="42"/>
      <c r="E33" s="42"/>
      <c r="F33" s="43"/>
      <c r="G33" s="26" t="str">
        <f>KeyVacation</f>
        <v>V</v>
      </c>
      <c r="H33" s="39" t="str">
        <f>KeyVacationLabel</f>
        <v>Vacation</v>
      </c>
      <c r="I33" s="40"/>
      <c r="J33" s="40"/>
      <c r="K33" s="22" t="str">
        <f>KeyPersonal</f>
        <v>P</v>
      </c>
      <c r="L33" s="39" t="str">
        <f>KeyPersonalLabel</f>
        <v>Personal</v>
      </c>
      <c r="M33" s="40"/>
      <c r="N33" s="40"/>
      <c r="O33" s="23" t="str">
        <f>KeySick</f>
        <v>S</v>
      </c>
      <c r="P33" s="39" t="str">
        <f>KeySickLabel</f>
        <v>Sick</v>
      </c>
      <c r="Q33" s="40"/>
      <c r="R33" s="40"/>
      <c r="S33" s="24" t="str">
        <f>KeyCustom1</f>
        <v>H</v>
      </c>
      <c r="T33" s="39" t="str">
        <f>KeyCustom1Label</f>
        <v>Holiday</v>
      </c>
      <c r="U33" s="41"/>
      <c r="V33" s="40"/>
      <c r="W33" s="25">
        <f>KeyCustom2</f>
        <v>0</v>
      </c>
      <c r="X33" s="39" t="str">
        <f>KeyCustom2Label</f>
        <v>Custom 2</v>
      </c>
      <c r="Y33" s="40"/>
      <c r="Z33" s="41"/>
    </row>
  </sheetData>
  <mergeCells count="4">
    <mergeCell ref="A2:A3"/>
    <mergeCell ref="B2:AF2"/>
    <mergeCell ref="AG2:AG3"/>
    <mergeCell ref="A32:AG32"/>
  </mergeCells>
  <conditionalFormatting sqref="B5:AF30">
    <cfRule type="expression" priority="1" stopIfTrue="1">
      <formula>B5=""</formula>
    </cfRule>
  </conditionalFormatting>
  <conditionalFormatting sqref="B5:AF30">
    <cfRule type="expression" dxfId="82" priority="2" stopIfTrue="1">
      <formula>B5=KeyCustom2</formula>
    </cfRule>
    <cfRule type="expression" dxfId="81" priority="3" stopIfTrue="1">
      <formula>B5=KeyCustom1</formula>
    </cfRule>
    <cfRule type="expression" dxfId="80" priority="4" stopIfTrue="1">
      <formula>B5=KeySick</formula>
    </cfRule>
    <cfRule type="expression" dxfId="79" priority="5" stopIfTrue="1">
      <formula>B5=KeyPersonal</formula>
    </cfRule>
    <cfRule type="expression" dxfId="78" priority="6" stopIfTrue="1">
      <formula>B5=KeyVacation</formula>
    </cfRule>
  </conditionalFormatting>
  <conditionalFormatting sqref="AG5:AG30">
    <cfRule type="dataBar" priority="39">
      <dataBar>
        <cfvo type="min"/>
        <cfvo type="formula" val="DATEDIF(DATE(CalendarYear,2,1),DATE(CalendarYear,3,1),&quot;d&quot;)"/>
        <color theme="2" tint="-0.249977111117893"/>
      </dataBar>
      <extLst>
        <ext xmlns:x14="http://schemas.microsoft.com/office/spreadsheetml/2009/9/main" uri="{B025F937-C7B1-47D3-B67F-A62EFF666E3E}">
          <x14:id>{6E72CF57-6FDE-4024-BC4C-B2350417DE61}</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E72CF57-6FDE-4024-BC4C-B2350417DE61}">
            <x14:dataBar minLength="0" maxLength="100">
              <x14:cfvo type="autoMin"/>
              <x14:cfvo type="formula">
                <xm:f>DATEDIF(DATE(CalendarYear,2,1),DATE(CalendarYear,3,1),"d")</xm:f>
              </x14:cfvo>
              <x14:negativeFillColor rgb="FFFF0000"/>
              <x14:axisColor rgb="FF000000"/>
            </x14:dataBar>
          </x14:cfRule>
          <xm:sqref>AG5:AG30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2" tint="-0.249977111117893"/>
    <pageSetUpPr fitToPage="1"/>
  </sheetPr>
  <dimension ref="A1:AH36"/>
  <sheetViews>
    <sheetView showGridLines="0" zoomScaleNormal="100" workbookViewId="0">
      <pane ySplit="4" topLeftCell="A20" activePane="bottomLeft" state="frozen"/>
      <selection pane="bottomLeft" activeCell="T11" sqref="T11"/>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8" t="s">
        <v>48</v>
      </c>
      <c r="B2" s="76" t="s">
        <v>1</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9">
        <f>CalendarYear</f>
        <v>2015</v>
      </c>
    </row>
    <row r="3" spans="1:34" ht="15.75" customHeight="1" x14ac:dyDescent="0.25">
      <c r="A3" s="78"/>
      <c r="B3" s="28" t="str">
        <f>TEXT(WEEKDAY(DATE(CalendarYear,4,1),1),"aaa")</f>
        <v>Wed</v>
      </c>
      <c r="C3" s="29" t="str">
        <f>TEXT(WEEKDAY(DATE(CalendarYear,4,2),1),"aaa")</f>
        <v>Thu</v>
      </c>
      <c r="D3" s="29" t="str">
        <f>TEXT(WEEKDAY(DATE(CalendarYear,4,3),1),"aaa")</f>
        <v>Fri</v>
      </c>
      <c r="E3" s="29" t="str">
        <f>TEXT(WEEKDAY(DATE(CalendarYear,4,4),1),"aaa")</f>
        <v>Sat</v>
      </c>
      <c r="F3" s="29" t="str">
        <f>TEXT(WEEKDAY(DATE(CalendarYear,4,5),1),"aaa")</f>
        <v>Sun</v>
      </c>
      <c r="G3" s="29" t="str">
        <f>TEXT(WEEKDAY(DATE(CalendarYear,4,6),1),"aaa")</f>
        <v>Mon</v>
      </c>
      <c r="H3" s="29" t="str">
        <f>TEXT(WEEKDAY(DATE(CalendarYear,4,7),1),"aaa")</f>
        <v>Tue</v>
      </c>
      <c r="I3" s="29" t="str">
        <f>TEXT(WEEKDAY(DATE(CalendarYear,4,8),1),"aaa")</f>
        <v>Wed</v>
      </c>
      <c r="J3" s="29" t="str">
        <f>TEXT(WEEKDAY(DATE(CalendarYear,4,9),1),"aaa")</f>
        <v>Thu</v>
      </c>
      <c r="K3" s="29" t="str">
        <f>TEXT(WEEKDAY(DATE(CalendarYear,4,10),1),"aaa")</f>
        <v>Fri</v>
      </c>
      <c r="L3" s="29" t="str">
        <f>TEXT(WEEKDAY(DATE(CalendarYear,4,11),1),"aaa")</f>
        <v>Sat</v>
      </c>
      <c r="M3" s="29" t="str">
        <f>TEXT(WEEKDAY(DATE(CalendarYear,4,12),1),"aaa")</f>
        <v>Sun</v>
      </c>
      <c r="N3" s="29" t="str">
        <f>TEXT(WEEKDAY(DATE(CalendarYear,4,13),1),"aaa")</f>
        <v>Mon</v>
      </c>
      <c r="O3" s="29" t="str">
        <f>TEXT(WEEKDAY(DATE(CalendarYear,4,14),1),"aaa")</f>
        <v>Tue</v>
      </c>
      <c r="P3" s="29" t="str">
        <f>TEXT(WEEKDAY(DATE(CalendarYear,4,15),1),"aaa")</f>
        <v>Wed</v>
      </c>
      <c r="Q3" s="29" t="str">
        <f>TEXT(WEEKDAY(DATE(CalendarYear,4,16),1),"aaa")</f>
        <v>Thu</v>
      </c>
      <c r="R3" s="29" t="str">
        <f>TEXT(WEEKDAY(DATE(CalendarYear,4,17),1),"aaa")</f>
        <v>Fri</v>
      </c>
      <c r="S3" s="29" t="str">
        <f>TEXT(WEEKDAY(DATE(CalendarYear,4,18),1),"aaa")</f>
        <v>Sat</v>
      </c>
      <c r="T3" s="29" t="str">
        <f>TEXT(WEEKDAY(DATE(CalendarYear,4,19),1),"aaa")</f>
        <v>Sun</v>
      </c>
      <c r="U3" s="29" t="str">
        <f>TEXT(WEEKDAY(DATE(CalendarYear,4,20),1),"aaa")</f>
        <v>Mon</v>
      </c>
      <c r="V3" s="29" t="str">
        <f>TEXT(WEEKDAY(DATE(CalendarYear,4,21),1),"aaa")</f>
        <v>Tue</v>
      </c>
      <c r="W3" s="29" t="str">
        <f>TEXT(WEEKDAY(DATE(CalendarYear,4,22),1),"aaa")</f>
        <v>Wed</v>
      </c>
      <c r="X3" s="29" t="str">
        <f>TEXT(WEEKDAY(DATE(CalendarYear,4,23),1),"aaa")</f>
        <v>Thu</v>
      </c>
      <c r="Y3" s="29" t="str">
        <f>TEXT(WEEKDAY(DATE(CalendarYear,4,24),1),"aaa")</f>
        <v>Fri</v>
      </c>
      <c r="Z3" s="29" t="str">
        <f>TEXT(WEEKDAY(DATE(CalendarYear,4,25),1),"aaa")</f>
        <v>Sat</v>
      </c>
      <c r="AA3" s="29" t="str">
        <f>TEXT(WEEKDAY(DATE(CalendarYear,4,26),1),"aaa")</f>
        <v>Sun</v>
      </c>
      <c r="AB3" s="29" t="str">
        <f>TEXT(WEEKDAY(DATE(CalendarYear,4,27),1),"aaa")</f>
        <v>Mon</v>
      </c>
      <c r="AC3" s="29" t="str">
        <f>TEXT(WEEKDAY(DATE(CalendarYear,4,28),1),"aaa")</f>
        <v>Tue</v>
      </c>
      <c r="AD3" s="29" t="str">
        <f>TEXT(WEEKDAY(DATE(CalendarYear,4,29),1),"aaa")</f>
        <v>Wed</v>
      </c>
      <c r="AE3" s="29" t="str">
        <f>TEXT(WEEKDAY(DATE(CalendarYear,4,30),1),"aaa")</f>
        <v>Thu</v>
      </c>
      <c r="AF3" s="29"/>
      <c r="AG3" s="79"/>
    </row>
    <row r="4" spans="1:34" s="13" customFormat="1" x14ac:dyDescent="0.25">
      <c r="A4" s="38" t="s">
        <v>2</v>
      </c>
      <c r="B4" s="45" t="s">
        <v>3</v>
      </c>
      <c r="C4" s="45" t="s">
        <v>4</v>
      </c>
      <c r="D4" s="45" t="s">
        <v>5</v>
      </c>
      <c r="E4" s="45" t="s">
        <v>6</v>
      </c>
      <c r="F4" s="45" t="s">
        <v>7</v>
      </c>
      <c r="G4" s="45" t="s">
        <v>8</v>
      </c>
      <c r="H4" s="45" t="s">
        <v>9</v>
      </c>
      <c r="I4" s="45" t="s">
        <v>10</v>
      </c>
      <c r="J4" s="45" t="s">
        <v>11</v>
      </c>
      <c r="K4" s="45" t="s">
        <v>12</v>
      </c>
      <c r="L4" s="45" t="s">
        <v>13</v>
      </c>
      <c r="M4" s="45" t="s">
        <v>14</v>
      </c>
      <c r="N4" s="45" t="s">
        <v>15</v>
      </c>
      <c r="O4" s="45" t="s">
        <v>16</v>
      </c>
      <c r="P4" s="45" t="s">
        <v>17</v>
      </c>
      <c r="Q4" s="45" t="s">
        <v>18</v>
      </c>
      <c r="R4" s="45" t="s">
        <v>19</v>
      </c>
      <c r="S4" s="45" t="s">
        <v>20</v>
      </c>
      <c r="T4" s="45" t="s">
        <v>21</v>
      </c>
      <c r="U4" s="45" t="s">
        <v>22</v>
      </c>
      <c r="V4" s="45" t="s">
        <v>23</v>
      </c>
      <c r="W4" s="45" t="s">
        <v>24</v>
      </c>
      <c r="X4" s="45" t="s">
        <v>25</v>
      </c>
      <c r="Y4" s="45" t="s">
        <v>26</v>
      </c>
      <c r="Z4" s="45" t="s">
        <v>27</v>
      </c>
      <c r="AA4" s="45" t="s">
        <v>28</v>
      </c>
      <c r="AB4" s="45" t="s">
        <v>29</v>
      </c>
      <c r="AC4" s="45" t="s">
        <v>30</v>
      </c>
      <c r="AD4" s="17" t="s">
        <v>31</v>
      </c>
      <c r="AE4" s="45" t="s">
        <v>32</v>
      </c>
      <c r="AF4" s="45" t="s">
        <v>37</v>
      </c>
      <c r="AG4" s="45" t="s">
        <v>34</v>
      </c>
      <c r="AH4" s="12"/>
    </row>
    <row r="5" spans="1:34" s="13" customFormat="1" x14ac:dyDescent="0.25">
      <c r="A5" s="44" t="s">
        <v>60</v>
      </c>
      <c r="B5" s="45"/>
      <c r="C5" s="45"/>
      <c r="D5" s="45"/>
      <c r="E5" s="45"/>
      <c r="F5" s="45"/>
      <c r="G5" s="45"/>
      <c r="H5" s="45"/>
      <c r="I5" s="45"/>
      <c r="J5" s="45"/>
      <c r="K5" s="45"/>
      <c r="L5" s="45"/>
      <c r="M5" s="45"/>
      <c r="N5" s="45"/>
      <c r="O5" s="45" t="s">
        <v>87</v>
      </c>
      <c r="P5" s="45"/>
      <c r="Q5" s="45"/>
      <c r="R5" s="45"/>
      <c r="S5" s="45"/>
      <c r="T5" s="45"/>
      <c r="U5" s="45"/>
      <c r="V5" s="45"/>
      <c r="W5" s="45"/>
      <c r="X5" s="45"/>
      <c r="Y5" s="45"/>
      <c r="Z5" s="45"/>
      <c r="AA5" s="45"/>
      <c r="AB5" s="45"/>
      <c r="AC5" s="45"/>
      <c r="AD5" s="45"/>
      <c r="AE5" s="45"/>
      <c r="AF5" s="45"/>
      <c r="AG5" s="11">
        <f>COUNTA(tblApril[[#This Row],[1]:[29]])</f>
        <v>1</v>
      </c>
      <c r="AH5" s="12"/>
    </row>
    <row r="6" spans="1:34" s="13" customFormat="1" x14ac:dyDescent="0.25">
      <c r="A6" s="44" t="s">
        <v>82</v>
      </c>
      <c r="B6" s="45"/>
      <c r="C6" s="45"/>
      <c r="D6" s="45"/>
      <c r="E6" s="45"/>
      <c r="F6" s="45"/>
      <c r="G6" s="45"/>
      <c r="H6" s="45"/>
      <c r="I6" s="45"/>
      <c r="J6" s="45"/>
      <c r="K6" s="45"/>
      <c r="L6" s="45"/>
      <c r="M6" s="45"/>
      <c r="N6" s="45"/>
      <c r="O6" s="50" t="s">
        <v>87</v>
      </c>
      <c r="P6" s="45"/>
      <c r="Q6" s="45"/>
      <c r="R6" s="45"/>
      <c r="S6" s="45"/>
      <c r="T6" s="45"/>
      <c r="U6" s="45"/>
      <c r="V6" s="45"/>
      <c r="W6" s="45"/>
      <c r="X6" s="45"/>
      <c r="Y6" s="45"/>
      <c r="Z6" s="45"/>
      <c r="AA6" s="45"/>
      <c r="AB6" s="45"/>
      <c r="AC6" s="45"/>
      <c r="AD6" s="45"/>
      <c r="AE6" s="45"/>
      <c r="AF6" s="45"/>
      <c r="AG6" s="11">
        <f>COUNTA(tblApril[[#This Row],[1]:[29]])</f>
        <v>1</v>
      </c>
      <c r="AH6" s="12"/>
    </row>
    <row r="7" spans="1:34" s="13" customFormat="1" x14ac:dyDescent="0.25">
      <c r="A7" s="44" t="s">
        <v>58</v>
      </c>
      <c r="B7" s="46"/>
      <c r="C7" s="46"/>
      <c r="D7" s="46"/>
      <c r="E7" s="46"/>
      <c r="F7" s="46"/>
      <c r="G7" s="46"/>
      <c r="H7" s="46"/>
      <c r="I7" s="46"/>
      <c r="J7" s="46"/>
      <c r="K7" s="46"/>
      <c r="L7" s="46"/>
      <c r="M7" s="46"/>
      <c r="N7" s="46"/>
      <c r="O7" s="50" t="s">
        <v>87</v>
      </c>
      <c r="P7" s="46"/>
      <c r="Q7" s="46"/>
      <c r="R7" s="46"/>
      <c r="S7" s="46"/>
      <c r="T7" s="46"/>
      <c r="U7" s="46"/>
      <c r="V7" s="46"/>
      <c r="W7" s="46"/>
      <c r="X7" s="46"/>
      <c r="Y7" s="46"/>
      <c r="Z7" s="46"/>
      <c r="AA7" s="46"/>
      <c r="AB7" s="46"/>
      <c r="AC7" s="46"/>
      <c r="AD7" s="46"/>
      <c r="AE7" s="46"/>
      <c r="AF7" s="46"/>
      <c r="AG7" s="11">
        <f>COUNTA(tblApril[[#This Row],[1]:[29]])</f>
        <v>1</v>
      </c>
      <c r="AH7" s="12"/>
    </row>
    <row r="8" spans="1:34" s="13" customFormat="1" x14ac:dyDescent="0.25">
      <c r="A8" s="44" t="s">
        <v>80</v>
      </c>
      <c r="B8" s="46"/>
      <c r="C8" s="46"/>
      <c r="D8" s="46"/>
      <c r="E8" s="46"/>
      <c r="F8" s="46"/>
      <c r="G8" s="46"/>
      <c r="H8" s="46"/>
      <c r="I8" s="46"/>
      <c r="J8" s="46"/>
      <c r="K8" s="46"/>
      <c r="L8" s="46"/>
      <c r="M8" s="46"/>
      <c r="N8" s="46"/>
      <c r="O8" s="50" t="s">
        <v>87</v>
      </c>
      <c r="P8" s="46"/>
      <c r="Q8" s="46"/>
      <c r="R8" s="46"/>
      <c r="S8" s="46"/>
      <c r="T8" s="46"/>
      <c r="U8" s="46"/>
      <c r="V8" s="46"/>
      <c r="W8" s="46"/>
      <c r="X8" s="46"/>
      <c r="Y8" s="46"/>
      <c r="Z8" s="46"/>
      <c r="AA8" s="46"/>
      <c r="AB8" s="46"/>
      <c r="AC8" s="46"/>
      <c r="AD8" s="46"/>
      <c r="AE8" s="46"/>
      <c r="AF8" s="46"/>
      <c r="AG8" s="11">
        <f>COUNTA(tblApril[[#This Row],[1]:[29]])</f>
        <v>1</v>
      </c>
      <c r="AH8" s="12"/>
    </row>
    <row r="9" spans="1:34" s="13" customFormat="1" x14ac:dyDescent="0.25">
      <c r="A9" s="44" t="s">
        <v>63</v>
      </c>
      <c r="B9" s="46"/>
      <c r="C9" s="46"/>
      <c r="D9" s="46"/>
      <c r="E9" s="46"/>
      <c r="F9" s="46"/>
      <c r="G9" s="46"/>
      <c r="H9" s="46"/>
      <c r="I9" s="46"/>
      <c r="J9" s="46"/>
      <c r="K9" s="46"/>
      <c r="L9" s="46"/>
      <c r="M9" s="46"/>
      <c r="N9" s="46"/>
      <c r="O9" s="50" t="s">
        <v>87</v>
      </c>
      <c r="P9" s="46"/>
      <c r="Q9" s="46"/>
      <c r="R9" s="46"/>
      <c r="S9" s="46"/>
      <c r="T9" s="46"/>
      <c r="U9" s="46"/>
      <c r="V9" s="46"/>
      <c r="W9" s="46"/>
      <c r="X9" s="46"/>
      <c r="Y9" s="46"/>
      <c r="Z9" s="46"/>
      <c r="AA9" s="46"/>
      <c r="AB9" s="46"/>
      <c r="AC9" s="46"/>
      <c r="AD9" s="46"/>
      <c r="AE9" s="46"/>
      <c r="AF9" s="46"/>
      <c r="AG9" s="11">
        <f>COUNTA(tblApril[[#This Row],[1]:[29]])</f>
        <v>1</v>
      </c>
      <c r="AH9" s="12"/>
    </row>
    <row r="10" spans="1:34" s="13" customFormat="1" x14ac:dyDescent="0.25">
      <c r="A10" s="44" t="s">
        <v>73</v>
      </c>
      <c r="B10" s="46"/>
      <c r="C10" s="46"/>
      <c r="D10" s="46"/>
      <c r="E10" s="46"/>
      <c r="F10" s="46"/>
      <c r="G10" s="46"/>
      <c r="H10" s="46"/>
      <c r="I10" s="46" t="s">
        <v>39</v>
      </c>
      <c r="J10" s="46"/>
      <c r="K10" s="46"/>
      <c r="L10" s="46"/>
      <c r="M10" s="46"/>
      <c r="N10" s="46" t="s">
        <v>39</v>
      </c>
      <c r="O10" s="50" t="s">
        <v>87</v>
      </c>
      <c r="P10" s="46"/>
      <c r="Q10" s="46"/>
      <c r="R10" s="46"/>
      <c r="S10" s="46"/>
      <c r="T10" s="46"/>
      <c r="U10" s="46"/>
      <c r="V10" s="46"/>
      <c r="W10" s="46"/>
      <c r="X10" s="46"/>
      <c r="Y10" s="46"/>
      <c r="Z10" s="46"/>
      <c r="AA10" s="46"/>
      <c r="AB10" s="46"/>
      <c r="AC10" s="46"/>
      <c r="AD10" s="46"/>
      <c r="AE10" s="46"/>
      <c r="AF10" s="46"/>
      <c r="AG10" s="11">
        <f>COUNTA(tblApril[[#This Row],[1]:[29]])</f>
        <v>3</v>
      </c>
      <c r="AH10" s="12"/>
    </row>
    <row r="11" spans="1:34" s="13" customFormat="1" x14ac:dyDescent="0.25">
      <c r="A11" s="44" t="s">
        <v>83</v>
      </c>
      <c r="B11" s="46"/>
      <c r="C11" s="46"/>
      <c r="D11" s="46"/>
      <c r="E11" s="46"/>
      <c r="F11" s="46"/>
      <c r="G11" s="46"/>
      <c r="H11" s="46"/>
      <c r="I11" s="46"/>
      <c r="J11" s="46"/>
      <c r="K11" s="46"/>
      <c r="L11" s="46"/>
      <c r="M11" s="46"/>
      <c r="N11" s="47" t="s">
        <v>86</v>
      </c>
      <c r="O11" s="47" t="s">
        <v>86</v>
      </c>
      <c r="P11" s="47" t="s">
        <v>86</v>
      </c>
      <c r="Q11" s="47" t="s">
        <v>86</v>
      </c>
      <c r="R11" s="47" t="s">
        <v>86</v>
      </c>
      <c r="S11" s="47" t="s">
        <v>86</v>
      </c>
      <c r="T11" s="47" t="s">
        <v>86</v>
      </c>
      <c r="U11" s="47" t="s">
        <v>86</v>
      </c>
      <c r="V11" s="47" t="s">
        <v>86</v>
      </c>
      <c r="W11" s="47" t="s">
        <v>86</v>
      </c>
      <c r="X11" s="47" t="s">
        <v>86</v>
      </c>
      <c r="Y11" s="47" t="s">
        <v>86</v>
      </c>
      <c r="Z11" s="47" t="s">
        <v>86</v>
      </c>
      <c r="AA11" s="47" t="s">
        <v>86</v>
      </c>
      <c r="AB11" s="47" t="s">
        <v>86</v>
      </c>
      <c r="AC11" s="47" t="s">
        <v>86</v>
      </c>
      <c r="AD11" s="47" t="s">
        <v>86</v>
      </c>
      <c r="AE11" s="47" t="s">
        <v>86</v>
      </c>
      <c r="AF11" s="46"/>
      <c r="AG11" s="11">
        <f>COUNTA(tblApril[[#This Row],[1]:[29]])</f>
        <v>17</v>
      </c>
      <c r="AH11" s="12"/>
    </row>
    <row r="12" spans="1:34" s="13" customFormat="1" x14ac:dyDescent="0.25">
      <c r="A12" s="44" t="s">
        <v>74</v>
      </c>
      <c r="B12" s="46"/>
      <c r="C12" s="46"/>
      <c r="D12" s="46"/>
      <c r="E12" s="46"/>
      <c r="F12" s="46"/>
      <c r="G12" s="46"/>
      <c r="H12" s="46"/>
      <c r="I12" s="46"/>
      <c r="J12" s="46"/>
      <c r="K12" s="46"/>
      <c r="L12" s="46"/>
      <c r="M12" s="46"/>
      <c r="N12" s="46"/>
      <c r="O12" s="50" t="s">
        <v>87</v>
      </c>
      <c r="P12" s="46"/>
      <c r="Q12" s="46"/>
      <c r="R12" s="46"/>
      <c r="S12" s="46"/>
      <c r="T12" s="46"/>
      <c r="U12" s="46"/>
      <c r="V12" s="46"/>
      <c r="W12" s="46"/>
      <c r="X12" s="46"/>
      <c r="Y12" s="46"/>
      <c r="Z12" s="46"/>
      <c r="AA12" s="46"/>
      <c r="AB12" s="46"/>
      <c r="AC12" s="46"/>
      <c r="AD12" s="46"/>
      <c r="AE12" s="46"/>
      <c r="AF12" s="46"/>
      <c r="AG12" s="11">
        <f>COUNTA(tblApril[[#This Row],[1]:[29]])</f>
        <v>1</v>
      </c>
      <c r="AH12" s="12"/>
    </row>
    <row r="13" spans="1:34" s="13" customFormat="1" x14ac:dyDescent="0.25">
      <c r="A13" s="44" t="s">
        <v>84</v>
      </c>
      <c r="B13" s="46"/>
      <c r="C13" s="46"/>
      <c r="D13" s="46"/>
      <c r="E13" s="46"/>
      <c r="F13" s="46"/>
      <c r="G13" s="46"/>
      <c r="H13" s="46"/>
      <c r="I13" s="46"/>
      <c r="J13" s="46"/>
      <c r="K13" s="46"/>
      <c r="L13" s="46"/>
      <c r="M13" s="46"/>
      <c r="N13" s="46"/>
      <c r="O13" s="50" t="s">
        <v>87</v>
      </c>
      <c r="P13" s="46" t="s">
        <v>35</v>
      </c>
      <c r="Q13" s="46"/>
      <c r="R13" s="46"/>
      <c r="S13" s="46"/>
      <c r="T13" s="46"/>
      <c r="U13" s="46" t="s">
        <v>86</v>
      </c>
      <c r="V13" s="47" t="s">
        <v>86</v>
      </c>
      <c r="W13" s="47" t="s">
        <v>86</v>
      </c>
      <c r="X13" s="47" t="s">
        <v>86</v>
      </c>
      <c r="Y13" s="47" t="s">
        <v>86</v>
      </c>
      <c r="Z13" s="47" t="s">
        <v>86</v>
      </c>
      <c r="AA13" s="47" t="s">
        <v>86</v>
      </c>
      <c r="AB13" s="47" t="s">
        <v>86</v>
      </c>
      <c r="AC13" s="47" t="s">
        <v>86</v>
      </c>
      <c r="AD13" s="47" t="s">
        <v>86</v>
      </c>
      <c r="AE13" s="47" t="s">
        <v>86</v>
      </c>
      <c r="AF13" s="46"/>
      <c r="AG13" s="11">
        <f>COUNTA(tblApril[[#This Row],[1]:[29]])</f>
        <v>12</v>
      </c>
      <c r="AH13" s="12"/>
    </row>
    <row r="14" spans="1:34" s="13" customFormat="1" x14ac:dyDescent="0.25">
      <c r="A14" s="44" t="s">
        <v>76</v>
      </c>
      <c r="B14" s="46"/>
      <c r="C14" s="46"/>
      <c r="D14" s="46"/>
      <c r="E14" s="46"/>
      <c r="F14" s="46"/>
      <c r="G14" s="46"/>
      <c r="H14" s="46"/>
      <c r="I14" s="46"/>
      <c r="J14" s="46"/>
      <c r="K14" s="46"/>
      <c r="L14" s="46"/>
      <c r="M14" s="46"/>
      <c r="N14" s="46"/>
      <c r="O14" s="50" t="s">
        <v>87</v>
      </c>
      <c r="P14" s="46"/>
      <c r="Q14" s="46"/>
      <c r="R14" s="46"/>
      <c r="S14" s="46"/>
      <c r="T14" s="46"/>
      <c r="U14" s="46"/>
      <c r="V14" s="46"/>
      <c r="W14" s="46"/>
      <c r="X14" s="46"/>
      <c r="Y14" s="46"/>
      <c r="Z14" s="46"/>
      <c r="AA14" s="46"/>
      <c r="AB14" s="46"/>
      <c r="AC14" s="46"/>
      <c r="AD14" s="46"/>
      <c r="AE14" s="46"/>
      <c r="AF14" s="46"/>
      <c r="AG14" s="11">
        <f>COUNTA(tblApril[[#This Row],[1]:[29]])</f>
        <v>1</v>
      </c>
      <c r="AH14" s="12"/>
    </row>
    <row r="15" spans="1:34" s="13" customFormat="1" x14ac:dyDescent="0.25">
      <c r="A15" s="44" t="s">
        <v>71</v>
      </c>
      <c r="B15" s="46"/>
      <c r="C15" s="46"/>
      <c r="D15" s="46"/>
      <c r="E15" s="46"/>
      <c r="F15" s="46"/>
      <c r="G15" s="46"/>
      <c r="H15" s="46"/>
      <c r="I15" s="46"/>
      <c r="J15" s="46"/>
      <c r="K15" s="46"/>
      <c r="L15" s="46"/>
      <c r="M15" s="46"/>
      <c r="N15" s="46"/>
      <c r="O15" s="50" t="s">
        <v>87</v>
      </c>
      <c r="P15" s="46"/>
      <c r="Q15" s="46"/>
      <c r="R15" s="46"/>
      <c r="S15" s="46"/>
      <c r="T15" s="46"/>
      <c r="U15" s="46"/>
      <c r="V15" s="46"/>
      <c r="W15" s="46"/>
      <c r="X15" s="46"/>
      <c r="Y15" s="46"/>
      <c r="Z15" s="46"/>
      <c r="AA15" s="46"/>
      <c r="AB15" s="46"/>
      <c r="AC15" s="46"/>
      <c r="AD15" s="46"/>
      <c r="AE15" s="46"/>
      <c r="AF15" s="46"/>
      <c r="AG15" s="11">
        <f>COUNTA(tblApril[[#This Row],[1]:[29]])</f>
        <v>1</v>
      </c>
      <c r="AH15" s="12"/>
    </row>
    <row r="16" spans="1:34" s="13" customFormat="1" x14ac:dyDescent="0.25">
      <c r="A16" s="44" t="s">
        <v>78</v>
      </c>
      <c r="B16" s="46"/>
      <c r="C16" s="46"/>
      <c r="D16" s="46"/>
      <c r="E16" s="46"/>
      <c r="F16" s="46"/>
      <c r="G16" s="46"/>
      <c r="H16" s="46"/>
      <c r="I16" s="46"/>
      <c r="J16" s="46"/>
      <c r="K16" s="46"/>
      <c r="L16" s="46"/>
      <c r="M16" s="46"/>
      <c r="N16" s="46"/>
      <c r="O16" s="50" t="s">
        <v>87</v>
      </c>
      <c r="P16" s="46"/>
      <c r="Q16" s="46"/>
      <c r="R16" s="46"/>
      <c r="S16" s="46"/>
      <c r="T16" s="46"/>
      <c r="U16" s="46"/>
      <c r="V16" s="46"/>
      <c r="W16" s="46"/>
      <c r="X16" s="46"/>
      <c r="Y16" s="46"/>
      <c r="Z16" s="46"/>
      <c r="AA16" s="46"/>
      <c r="AB16" s="46"/>
      <c r="AC16" s="46"/>
      <c r="AD16" s="46"/>
      <c r="AE16" s="46"/>
      <c r="AF16" s="46"/>
      <c r="AG16" s="11">
        <f>COUNTA(tblApril[[#This Row],[1]:[29]])</f>
        <v>1</v>
      </c>
      <c r="AH16" s="12"/>
    </row>
    <row r="17" spans="1:34" s="13" customFormat="1" x14ac:dyDescent="0.25">
      <c r="A17" s="44" t="s">
        <v>81</v>
      </c>
      <c r="B17" s="46"/>
      <c r="C17" s="46"/>
      <c r="D17" s="46"/>
      <c r="E17" s="46"/>
      <c r="F17" s="46"/>
      <c r="G17" s="46"/>
      <c r="H17" s="46"/>
      <c r="I17" s="46"/>
      <c r="J17" s="46"/>
      <c r="K17" s="46"/>
      <c r="L17" s="46"/>
      <c r="M17" s="46"/>
      <c r="N17" s="46"/>
      <c r="O17" s="50" t="s">
        <v>87</v>
      </c>
      <c r="P17" s="46"/>
      <c r="Q17" s="46"/>
      <c r="R17" s="46"/>
      <c r="S17" s="46"/>
      <c r="T17" s="46"/>
      <c r="U17" s="46"/>
      <c r="V17" s="46"/>
      <c r="W17" s="46"/>
      <c r="X17" s="46"/>
      <c r="Y17" s="46"/>
      <c r="Z17" s="46"/>
      <c r="AA17" s="46"/>
      <c r="AB17" s="46"/>
      <c r="AC17" s="46"/>
      <c r="AD17" s="46"/>
      <c r="AE17" s="46"/>
      <c r="AF17" s="46"/>
      <c r="AG17" s="11">
        <f>COUNTA(tblApril[[#This Row],[1]:[29]])</f>
        <v>1</v>
      </c>
      <c r="AH17" s="12"/>
    </row>
    <row r="18" spans="1:34" s="13" customFormat="1" x14ac:dyDescent="0.25">
      <c r="A18" s="44" t="s">
        <v>69</v>
      </c>
      <c r="B18" s="46"/>
      <c r="C18" s="46"/>
      <c r="D18" s="46"/>
      <c r="E18" s="46"/>
      <c r="F18" s="46"/>
      <c r="G18" s="46"/>
      <c r="H18" s="46"/>
      <c r="I18" s="46"/>
      <c r="J18" s="46"/>
      <c r="K18" s="46"/>
      <c r="L18" s="46"/>
      <c r="M18" s="46"/>
      <c r="N18" s="46"/>
      <c r="O18" s="50" t="s">
        <v>87</v>
      </c>
      <c r="P18" s="46"/>
      <c r="Q18" s="46"/>
      <c r="R18" s="46"/>
      <c r="S18" s="46"/>
      <c r="T18" s="46"/>
      <c r="U18" s="46"/>
      <c r="V18" s="46"/>
      <c r="W18" s="46"/>
      <c r="X18" s="46" t="s">
        <v>36</v>
      </c>
      <c r="Y18" s="46" t="s">
        <v>36</v>
      </c>
      <c r="Z18" s="46"/>
      <c r="AA18" s="46"/>
      <c r="AB18" s="46"/>
      <c r="AC18" s="46"/>
      <c r="AD18" s="46"/>
      <c r="AE18" s="46"/>
      <c r="AF18" s="46"/>
      <c r="AG18" s="11">
        <f>COUNTA(tblApril[[#This Row],[1]:[29]])</f>
        <v>3</v>
      </c>
      <c r="AH18" s="12"/>
    </row>
    <row r="19" spans="1:34" s="13" customFormat="1" x14ac:dyDescent="0.25">
      <c r="A19" s="44" t="s">
        <v>66</v>
      </c>
      <c r="B19" s="46"/>
      <c r="C19" s="46"/>
      <c r="D19" s="46"/>
      <c r="E19" s="46"/>
      <c r="F19" s="46"/>
      <c r="G19" s="46"/>
      <c r="H19" s="46"/>
      <c r="I19" s="46"/>
      <c r="J19" s="46"/>
      <c r="K19" s="46"/>
      <c r="L19" s="46"/>
      <c r="M19" s="46"/>
      <c r="N19" s="46"/>
      <c r="O19" s="50" t="s">
        <v>87</v>
      </c>
      <c r="P19" s="46"/>
      <c r="Q19" s="46"/>
      <c r="R19" s="46"/>
      <c r="S19" s="46"/>
      <c r="T19" s="46"/>
      <c r="U19" s="46"/>
      <c r="V19" s="46"/>
      <c r="W19" s="46"/>
      <c r="X19" s="46"/>
      <c r="Y19" s="46"/>
      <c r="Z19" s="46"/>
      <c r="AA19" s="46"/>
      <c r="AB19" s="46"/>
      <c r="AC19" s="46"/>
      <c r="AD19" s="46"/>
      <c r="AE19" s="46"/>
      <c r="AF19" s="46"/>
      <c r="AG19" s="11">
        <f>COUNTA(tblApril[[#This Row],[1]:[29]])</f>
        <v>1</v>
      </c>
      <c r="AH19" s="12"/>
    </row>
    <row r="20" spans="1:34" s="13" customFormat="1" x14ac:dyDescent="0.25">
      <c r="A20" s="44" t="s">
        <v>79</v>
      </c>
      <c r="B20" s="46"/>
      <c r="C20" s="46"/>
      <c r="D20" s="46"/>
      <c r="E20" s="46"/>
      <c r="F20" s="46"/>
      <c r="G20" s="46"/>
      <c r="H20" s="46"/>
      <c r="I20" s="46"/>
      <c r="J20" s="46"/>
      <c r="K20" s="46"/>
      <c r="L20" s="46"/>
      <c r="M20" s="46"/>
      <c r="N20" s="46" t="s">
        <v>39</v>
      </c>
      <c r="O20" s="50" t="s">
        <v>87</v>
      </c>
      <c r="P20" s="46"/>
      <c r="Q20" s="46"/>
      <c r="R20" s="46"/>
      <c r="S20" s="46"/>
      <c r="T20" s="46"/>
      <c r="U20" s="46"/>
      <c r="V20" s="46"/>
      <c r="W20" s="46"/>
      <c r="X20" s="46"/>
      <c r="Y20" s="46"/>
      <c r="Z20" s="46"/>
      <c r="AA20" s="46"/>
      <c r="AB20" s="46"/>
      <c r="AC20" s="46"/>
      <c r="AD20" s="46"/>
      <c r="AE20" s="46"/>
      <c r="AF20" s="46"/>
      <c r="AG20" s="11">
        <f>COUNTA(tblApril[[#This Row],[1]:[29]])</f>
        <v>2</v>
      </c>
      <c r="AH20" s="12"/>
    </row>
    <row r="21" spans="1:34" s="13" customFormat="1" x14ac:dyDescent="0.25">
      <c r="A21" s="44" t="s">
        <v>68</v>
      </c>
      <c r="B21" s="46"/>
      <c r="C21" s="46"/>
      <c r="D21" s="46"/>
      <c r="E21" s="46"/>
      <c r="F21" s="46"/>
      <c r="G21" s="46"/>
      <c r="H21" s="46"/>
      <c r="I21" s="46"/>
      <c r="J21" s="46"/>
      <c r="K21" s="46"/>
      <c r="L21" s="46"/>
      <c r="M21" s="46"/>
      <c r="N21" s="46"/>
      <c r="O21" s="50" t="s">
        <v>87</v>
      </c>
      <c r="P21" s="46"/>
      <c r="Q21" s="46"/>
      <c r="R21" s="46"/>
      <c r="S21" s="46"/>
      <c r="T21" s="46"/>
      <c r="U21" s="46"/>
      <c r="V21" s="46"/>
      <c r="W21" s="46"/>
      <c r="X21" s="46"/>
      <c r="Y21" s="46"/>
      <c r="Z21" s="46"/>
      <c r="AA21" s="46"/>
      <c r="AB21" s="46"/>
      <c r="AC21" s="46"/>
      <c r="AD21" s="46"/>
      <c r="AE21" s="46"/>
      <c r="AF21" s="46"/>
      <c r="AG21" s="11">
        <f>COUNTA(tblApril[[#This Row],[1]:[29]])</f>
        <v>1</v>
      </c>
      <c r="AH21" s="12"/>
    </row>
    <row r="22" spans="1:34" s="13" customFormat="1" x14ac:dyDescent="0.25">
      <c r="A22" s="44" t="s">
        <v>85</v>
      </c>
      <c r="B22" s="46"/>
      <c r="C22" s="46"/>
      <c r="D22" s="46"/>
      <c r="E22" s="46"/>
      <c r="F22" s="46"/>
      <c r="G22" s="46"/>
      <c r="H22" s="46"/>
      <c r="I22" s="46"/>
      <c r="J22" s="46"/>
      <c r="K22" s="46"/>
      <c r="L22" s="46"/>
      <c r="M22" s="46"/>
      <c r="N22" s="46" t="s">
        <v>86</v>
      </c>
      <c r="O22" s="47" t="s">
        <v>86</v>
      </c>
      <c r="P22" s="47" t="s">
        <v>86</v>
      </c>
      <c r="Q22" s="47" t="s">
        <v>86</v>
      </c>
      <c r="R22" s="47" t="s">
        <v>86</v>
      </c>
      <c r="S22" s="47" t="s">
        <v>86</v>
      </c>
      <c r="T22" s="47" t="s">
        <v>86</v>
      </c>
      <c r="U22" s="47" t="s">
        <v>86</v>
      </c>
      <c r="V22" s="47" t="s">
        <v>86</v>
      </c>
      <c r="W22" s="47" t="s">
        <v>86</v>
      </c>
      <c r="X22" s="47" t="s">
        <v>86</v>
      </c>
      <c r="Y22" s="47" t="s">
        <v>86</v>
      </c>
      <c r="Z22" s="47" t="s">
        <v>86</v>
      </c>
      <c r="AA22" s="47" t="s">
        <v>86</v>
      </c>
      <c r="AB22" s="47" t="s">
        <v>86</v>
      </c>
      <c r="AC22" s="47" t="s">
        <v>86</v>
      </c>
      <c r="AD22" s="47" t="s">
        <v>86</v>
      </c>
      <c r="AE22" s="47" t="s">
        <v>86</v>
      </c>
      <c r="AF22" s="46"/>
      <c r="AG22" s="11">
        <f>COUNTA(tblApril[[#This Row],[1]:[29]])</f>
        <v>17</v>
      </c>
      <c r="AH22" s="12"/>
    </row>
    <row r="23" spans="1:34" s="13" customFormat="1" x14ac:dyDescent="0.25">
      <c r="A23" s="44" t="s">
        <v>65</v>
      </c>
      <c r="B23" s="46"/>
      <c r="C23" s="46"/>
      <c r="D23" s="46" t="s">
        <v>39</v>
      </c>
      <c r="E23" s="46"/>
      <c r="F23" s="46"/>
      <c r="G23" s="46"/>
      <c r="H23" s="46"/>
      <c r="I23" s="46"/>
      <c r="J23" s="46"/>
      <c r="K23" s="46"/>
      <c r="L23" s="46"/>
      <c r="M23" s="46"/>
      <c r="N23" s="46"/>
      <c r="O23" s="46" t="s">
        <v>87</v>
      </c>
      <c r="P23" s="46"/>
      <c r="Q23" s="46"/>
      <c r="R23" s="46"/>
      <c r="S23" s="46"/>
      <c r="T23" s="46"/>
      <c r="U23" s="46"/>
      <c r="V23" s="46"/>
      <c r="W23" s="46"/>
      <c r="X23" s="46"/>
      <c r="Y23" s="46"/>
      <c r="Z23" s="46"/>
      <c r="AA23" s="46"/>
      <c r="AB23" s="46"/>
      <c r="AC23" s="46"/>
      <c r="AD23" s="46"/>
      <c r="AE23" s="46"/>
      <c r="AF23" s="46"/>
      <c r="AG23" s="11">
        <f>COUNTA(tblApril[[#This Row],[1]:[29]])</f>
        <v>2</v>
      </c>
      <c r="AH23" s="12"/>
    </row>
    <row r="24" spans="1:34" s="13" customFormat="1" x14ac:dyDescent="0.25">
      <c r="A24" s="44" t="s">
        <v>67</v>
      </c>
      <c r="B24" s="46"/>
      <c r="C24" s="46"/>
      <c r="D24" s="46"/>
      <c r="E24" s="46"/>
      <c r="F24" s="46"/>
      <c r="G24" s="46"/>
      <c r="H24" s="46"/>
      <c r="I24" s="46"/>
      <c r="J24" s="46"/>
      <c r="K24" s="46"/>
      <c r="L24" s="46"/>
      <c r="M24" s="46"/>
      <c r="N24" s="46"/>
      <c r="O24" s="50" t="s">
        <v>87</v>
      </c>
      <c r="P24" s="46" t="s">
        <v>39</v>
      </c>
      <c r="Q24" s="46" t="s">
        <v>39</v>
      </c>
      <c r="R24" s="46"/>
      <c r="S24" s="46"/>
      <c r="T24" s="46"/>
      <c r="U24" s="46"/>
      <c r="V24" s="46"/>
      <c r="W24" s="46" t="s">
        <v>39</v>
      </c>
      <c r="X24" s="46"/>
      <c r="Y24" s="46"/>
      <c r="Z24" s="46"/>
      <c r="AA24" s="46"/>
      <c r="AB24" s="46"/>
      <c r="AC24" s="46"/>
      <c r="AD24" s="46"/>
      <c r="AE24" s="46"/>
      <c r="AF24" s="46"/>
      <c r="AG24" s="11">
        <f>COUNTA(tblApril[[#This Row],[1]:[29]])</f>
        <v>4</v>
      </c>
      <c r="AH24" s="12"/>
    </row>
    <row r="25" spans="1:34" s="13" customFormat="1" x14ac:dyDescent="0.25">
      <c r="A25" s="44" t="s">
        <v>64</v>
      </c>
      <c r="B25" s="46"/>
      <c r="C25" s="46"/>
      <c r="D25" s="46"/>
      <c r="E25" s="46"/>
      <c r="F25" s="46"/>
      <c r="G25" s="46"/>
      <c r="H25" s="46"/>
      <c r="I25" s="46"/>
      <c r="J25" s="46"/>
      <c r="K25" s="46"/>
      <c r="L25" s="46"/>
      <c r="M25" s="46"/>
      <c r="N25" s="46"/>
      <c r="O25" s="50" t="s">
        <v>87</v>
      </c>
      <c r="P25" s="46"/>
      <c r="Q25" s="46"/>
      <c r="R25" s="46"/>
      <c r="S25" s="46"/>
      <c r="T25" s="46"/>
      <c r="U25" s="46"/>
      <c r="V25" s="46"/>
      <c r="W25" s="46" t="s">
        <v>39</v>
      </c>
      <c r="X25" s="46"/>
      <c r="Y25" s="46"/>
      <c r="Z25" s="46"/>
      <c r="AA25" s="46"/>
      <c r="AB25" s="46"/>
      <c r="AC25" s="46"/>
      <c r="AD25" s="46"/>
      <c r="AE25" s="46"/>
      <c r="AF25" s="46"/>
      <c r="AG25" s="11">
        <f>COUNTA(tblApril[[#This Row],[1]:[29]])</f>
        <v>2</v>
      </c>
      <c r="AH25" s="12"/>
    </row>
    <row r="26" spans="1:34" s="13" customFormat="1" x14ac:dyDescent="0.25">
      <c r="A26" s="44" t="s">
        <v>61</v>
      </c>
      <c r="B26" s="46"/>
      <c r="C26" s="46"/>
      <c r="D26" s="46"/>
      <c r="E26" s="46"/>
      <c r="F26" s="46"/>
      <c r="G26" s="46"/>
      <c r="H26" s="46"/>
      <c r="I26" s="46"/>
      <c r="J26" s="46"/>
      <c r="K26" s="46"/>
      <c r="L26" s="46"/>
      <c r="M26" s="46"/>
      <c r="N26" s="46"/>
      <c r="O26" s="50" t="s">
        <v>87</v>
      </c>
      <c r="P26" s="46"/>
      <c r="Q26" s="46"/>
      <c r="R26" s="46"/>
      <c r="S26" s="46"/>
      <c r="T26" s="46"/>
      <c r="U26" s="46"/>
      <c r="V26" s="46"/>
      <c r="W26" s="46"/>
      <c r="X26" s="46"/>
      <c r="Y26" s="46"/>
      <c r="Z26" s="46"/>
      <c r="AA26" s="46"/>
      <c r="AB26" s="46"/>
      <c r="AC26" s="46"/>
      <c r="AD26" s="46"/>
      <c r="AE26" s="46" t="s">
        <v>36</v>
      </c>
      <c r="AF26" s="46"/>
      <c r="AG26" s="11">
        <f>COUNTA(tblApril[[#This Row],[1]:[29]])</f>
        <v>1</v>
      </c>
      <c r="AH26" s="12"/>
    </row>
    <row r="27" spans="1:34" s="13" customFormat="1" x14ac:dyDescent="0.25">
      <c r="A27" s="44" t="s">
        <v>57</v>
      </c>
      <c r="B27" s="46"/>
      <c r="C27" s="46"/>
      <c r="D27" s="46"/>
      <c r="E27" s="46"/>
      <c r="F27" s="46"/>
      <c r="G27" s="46"/>
      <c r="H27" s="46"/>
      <c r="I27" s="46"/>
      <c r="J27" s="46"/>
      <c r="K27" s="46"/>
      <c r="L27" s="46"/>
      <c r="M27" s="46"/>
      <c r="N27" s="46"/>
      <c r="O27" s="50" t="s">
        <v>87</v>
      </c>
      <c r="P27" s="46"/>
      <c r="Q27" s="46"/>
      <c r="R27" s="46"/>
      <c r="S27" s="46"/>
      <c r="T27" s="46"/>
      <c r="U27" s="46"/>
      <c r="V27" s="46"/>
      <c r="W27" s="46"/>
      <c r="X27" s="46"/>
      <c r="Y27" s="46"/>
      <c r="Z27" s="46"/>
      <c r="AA27" s="46"/>
      <c r="AB27" s="46"/>
      <c r="AC27" s="46"/>
      <c r="AD27" s="46"/>
      <c r="AE27" s="46"/>
      <c r="AF27" s="46"/>
      <c r="AG27" s="11">
        <f>COUNTA(tblApril[[#This Row],[1]:[29]])</f>
        <v>1</v>
      </c>
      <c r="AH27" s="12"/>
    </row>
    <row r="28" spans="1:34" ht="15" customHeight="1" x14ac:dyDescent="0.25">
      <c r="A28" s="44" t="s">
        <v>77</v>
      </c>
      <c r="B28" s="45"/>
      <c r="C28" s="45"/>
      <c r="D28" s="45"/>
      <c r="E28" s="45"/>
      <c r="F28" s="45"/>
      <c r="G28" s="45"/>
      <c r="H28" s="45"/>
      <c r="I28" s="45"/>
      <c r="J28" s="45"/>
      <c r="K28" s="45"/>
      <c r="L28" s="45"/>
      <c r="M28" s="45"/>
      <c r="N28" s="45"/>
      <c r="O28" s="50" t="s">
        <v>87</v>
      </c>
      <c r="P28" s="45"/>
      <c r="Q28" s="45"/>
      <c r="R28" s="45"/>
      <c r="S28" s="45"/>
      <c r="T28" s="45"/>
      <c r="U28" s="45"/>
      <c r="V28" s="45"/>
      <c r="W28" s="45"/>
      <c r="X28" s="45"/>
      <c r="Y28" s="45"/>
      <c r="Z28" s="45"/>
      <c r="AA28" s="45"/>
      <c r="AB28" s="45"/>
      <c r="AC28" s="45"/>
      <c r="AD28" s="45"/>
      <c r="AE28" s="45"/>
      <c r="AF28" s="45"/>
      <c r="AG28" s="11">
        <f>COUNTA(tblApril[[#This Row],[1]:[29]])</f>
        <v>1</v>
      </c>
    </row>
    <row r="29" spans="1:34" ht="15" customHeight="1" x14ac:dyDescent="0.25">
      <c r="A29" s="44" t="s">
        <v>75</v>
      </c>
      <c r="B29" s="46"/>
      <c r="C29" s="46"/>
      <c r="D29" s="46"/>
      <c r="E29" s="46"/>
      <c r="F29" s="46"/>
      <c r="G29" s="46"/>
      <c r="H29" s="46"/>
      <c r="I29" s="46"/>
      <c r="J29" s="46"/>
      <c r="K29" s="46"/>
      <c r="L29" s="46"/>
      <c r="M29" s="46"/>
      <c r="N29" s="46"/>
      <c r="O29" s="50" t="s">
        <v>87</v>
      </c>
      <c r="P29" s="46"/>
      <c r="Q29" s="46"/>
      <c r="R29" s="46"/>
      <c r="S29" s="46"/>
      <c r="T29" s="46"/>
      <c r="U29" s="46"/>
      <c r="V29" s="46"/>
      <c r="W29" s="46"/>
      <c r="X29" s="46"/>
      <c r="Y29" s="46"/>
      <c r="Z29" s="46"/>
      <c r="AA29" s="46"/>
      <c r="AB29" s="46"/>
      <c r="AC29" s="46"/>
      <c r="AD29" s="46"/>
      <c r="AE29" s="46"/>
      <c r="AF29" s="46"/>
      <c r="AG29" s="11">
        <f>COUNTA(tblApril[[#This Row],[1]:[29]])</f>
        <v>1</v>
      </c>
    </row>
    <row r="30" spans="1:34" ht="15" customHeight="1" x14ac:dyDescent="0.25">
      <c r="A30" s="44" t="s">
        <v>62</v>
      </c>
      <c r="B30" s="46"/>
      <c r="C30" s="46"/>
      <c r="D30" s="46" t="s">
        <v>39</v>
      </c>
      <c r="E30" s="46"/>
      <c r="F30" s="46"/>
      <c r="G30" s="46"/>
      <c r="H30" s="46"/>
      <c r="I30" s="46"/>
      <c r="J30" s="46"/>
      <c r="K30" s="46"/>
      <c r="L30" s="46"/>
      <c r="M30" s="46"/>
      <c r="N30" s="46"/>
      <c r="O30" s="50" t="s">
        <v>87</v>
      </c>
      <c r="P30" s="46"/>
      <c r="Q30" s="46"/>
      <c r="R30" s="46"/>
      <c r="S30" s="46"/>
      <c r="T30" s="46"/>
      <c r="U30" s="46"/>
      <c r="V30" s="46"/>
      <c r="W30" s="46"/>
      <c r="X30" s="46" t="s">
        <v>36</v>
      </c>
      <c r="Y30" s="46"/>
      <c r="Z30" s="46"/>
      <c r="AA30" s="46"/>
      <c r="AB30" s="46"/>
      <c r="AC30" s="46"/>
      <c r="AD30" s="46"/>
      <c r="AE30" s="46"/>
      <c r="AF30" s="46"/>
      <c r="AG30" s="11">
        <f>COUNTA(tblApril[[#This Row],[1]:[29]])</f>
        <v>3</v>
      </c>
    </row>
    <row r="31" spans="1:34" ht="15" customHeight="1" x14ac:dyDescent="0.25">
      <c r="A31" s="44" t="s">
        <v>72</v>
      </c>
      <c r="B31" s="46"/>
      <c r="C31" s="46"/>
      <c r="D31" s="46"/>
      <c r="E31" s="46"/>
      <c r="F31" s="46"/>
      <c r="G31" s="46"/>
      <c r="H31" s="46"/>
      <c r="I31" s="46"/>
      <c r="J31" s="46"/>
      <c r="K31" s="46"/>
      <c r="L31" s="46"/>
      <c r="M31" s="46"/>
      <c r="N31" s="46"/>
      <c r="O31" s="50" t="s">
        <v>87</v>
      </c>
      <c r="P31" s="46"/>
      <c r="Q31" s="46"/>
      <c r="R31" s="46"/>
      <c r="S31" s="46"/>
      <c r="T31" s="46"/>
      <c r="U31" s="46"/>
      <c r="V31" s="46"/>
      <c r="W31" s="46"/>
      <c r="X31" s="46"/>
      <c r="Y31" s="46"/>
      <c r="Z31" s="46"/>
      <c r="AA31" s="46"/>
      <c r="AB31" s="46"/>
      <c r="AC31" s="46"/>
      <c r="AD31" s="46"/>
      <c r="AE31" s="46"/>
      <c r="AF31" s="46"/>
      <c r="AG31" s="11">
        <f>COUNTA(tblApril[[#This Row],[1]:[29]])</f>
        <v>1</v>
      </c>
    </row>
    <row r="32" spans="1:34" ht="15" customHeight="1" x14ac:dyDescent="0.25">
      <c r="A32" s="44" t="s">
        <v>70</v>
      </c>
      <c r="B32" s="46"/>
      <c r="C32" s="46"/>
      <c r="D32" s="46"/>
      <c r="E32" s="46"/>
      <c r="F32" s="46"/>
      <c r="G32" s="46"/>
      <c r="H32" s="46"/>
      <c r="I32" s="46"/>
      <c r="J32" s="46"/>
      <c r="K32" s="46"/>
      <c r="L32" s="46"/>
      <c r="M32" s="46"/>
      <c r="N32" s="46"/>
      <c r="O32" s="50" t="s">
        <v>87</v>
      </c>
      <c r="P32" s="46"/>
      <c r="Q32" s="46"/>
      <c r="R32" s="46"/>
      <c r="S32" s="46"/>
      <c r="T32" s="46"/>
      <c r="U32" s="46"/>
      <c r="V32" s="46"/>
      <c r="W32" s="46"/>
      <c r="X32" s="46"/>
      <c r="Y32" s="46"/>
      <c r="Z32" s="46"/>
      <c r="AA32" s="46"/>
      <c r="AB32" s="46"/>
      <c r="AC32" s="46"/>
      <c r="AD32" s="46"/>
      <c r="AE32" s="46"/>
      <c r="AF32" s="46"/>
      <c r="AG32" s="11">
        <f>COUNTA(tblApril[[#This Row],[1]:[29]])</f>
        <v>1</v>
      </c>
    </row>
    <row r="33" spans="1:33" ht="15" customHeight="1" x14ac:dyDescent="0.25">
      <c r="A33" s="44" t="s">
        <v>59</v>
      </c>
      <c r="B33" s="45"/>
      <c r="C33" s="45"/>
      <c r="D33" s="45" t="s">
        <v>39</v>
      </c>
      <c r="E33" s="45"/>
      <c r="F33" s="45"/>
      <c r="G33" s="45"/>
      <c r="H33" s="45"/>
      <c r="I33" s="45"/>
      <c r="J33" s="45"/>
      <c r="K33" s="45"/>
      <c r="L33" s="45"/>
      <c r="M33" s="45"/>
      <c r="N33" s="45" t="s">
        <v>36</v>
      </c>
      <c r="O33" s="46" t="s">
        <v>36</v>
      </c>
      <c r="P33" s="46" t="s">
        <v>36</v>
      </c>
      <c r="Q33" s="46" t="s">
        <v>36</v>
      </c>
      <c r="R33" s="46" t="s">
        <v>36</v>
      </c>
      <c r="S33" s="46" t="s">
        <v>36</v>
      </c>
      <c r="T33" s="46" t="s">
        <v>36</v>
      </c>
      <c r="U33" s="46" t="s">
        <v>36</v>
      </c>
      <c r="V33" s="46" t="s">
        <v>36</v>
      </c>
      <c r="W33" s="46" t="s">
        <v>36</v>
      </c>
      <c r="X33" s="46" t="s">
        <v>36</v>
      </c>
      <c r="Y33" s="46" t="s">
        <v>36</v>
      </c>
      <c r="Z33" s="46" t="s">
        <v>36</v>
      </c>
      <c r="AA33" s="46" t="s">
        <v>36</v>
      </c>
      <c r="AB33" s="46" t="s">
        <v>36</v>
      </c>
      <c r="AC33" s="46" t="s">
        <v>36</v>
      </c>
      <c r="AD33" s="46" t="s">
        <v>36</v>
      </c>
      <c r="AE33" s="46" t="s">
        <v>36</v>
      </c>
      <c r="AF33" s="51" t="s">
        <v>36</v>
      </c>
      <c r="AG33" s="11">
        <f>COUNTA(tblApril[[#This Row],[1]:[29]])</f>
        <v>18</v>
      </c>
    </row>
    <row r="34" spans="1:33" ht="15" customHeight="1" x14ac:dyDescent="0.25">
      <c r="A34" s="52" t="str">
        <f>MonthName&amp;" Total"</f>
        <v>April Total</v>
      </c>
      <c r="B34" s="49">
        <f>SUBTOTAL(103,tblApril[1])</f>
        <v>0</v>
      </c>
      <c r="C34" s="49">
        <f>SUBTOTAL(103,tblApril[2])</f>
        <v>0</v>
      </c>
      <c r="D34" s="49">
        <f>SUBTOTAL(103,tblApril[3])</f>
        <v>3</v>
      </c>
      <c r="E34" s="49">
        <f>SUBTOTAL(103,tblApril[4])</f>
        <v>0</v>
      </c>
      <c r="F34" s="49">
        <f>SUBTOTAL(103,tblApril[5])</f>
        <v>0</v>
      </c>
      <c r="G34" s="49">
        <f>SUBTOTAL(103,tblApril[6])</f>
        <v>0</v>
      </c>
      <c r="H34" s="49">
        <f>SUBTOTAL(103,tblApril[7])</f>
        <v>0</v>
      </c>
      <c r="I34" s="49">
        <f>SUBTOTAL(103,tblApril[8])</f>
        <v>1</v>
      </c>
      <c r="J34" s="49">
        <f>SUBTOTAL(103,tblApril[9])</f>
        <v>0</v>
      </c>
      <c r="K34" s="49">
        <f>SUBTOTAL(103,tblApril[10])</f>
        <v>0</v>
      </c>
      <c r="L34" s="49">
        <f>SUBTOTAL(103,tblApril[11])</f>
        <v>0</v>
      </c>
      <c r="M34" s="49">
        <f>SUBTOTAL(103,tblApril[12])</f>
        <v>0</v>
      </c>
      <c r="N34" s="49">
        <f>SUBTOTAL(103,tblApril[13])</f>
        <v>5</v>
      </c>
      <c r="O34" s="49">
        <f>SUBTOTAL(103,tblApril[14])</f>
        <v>29</v>
      </c>
      <c r="P34" s="49">
        <f>SUBTOTAL(103,tblApril[15])</f>
        <v>5</v>
      </c>
      <c r="Q34" s="49">
        <f>SUBTOTAL(103,tblApril[16])</f>
        <v>4</v>
      </c>
      <c r="R34" s="49">
        <f>SUBTOTAL(103,tblApril[17])</f>
        <v>3</v>
      </c>
      <c r="S34" s="49">
        <f>SUBTOTAL(103,tblApril[18])</f>
        <v>3</v>
      </c>
      <c r="T34" s="49">
        <f>SUBTOTAL(103,tblApril[19])</f>
        <v>3</v>
      </c>
      <c r="U34" s="49">
        <f>SUBTOTAL(103,tblApril[20])</f>
        <v>4</v>
      </c>
      <c r="V34" s="49">
        <f>SUBTOTAL(103,tblApril[21])</f>
        <v>4</v>
      </c>
      <c r="W34" s="49">
        <f>SUBTOTAL(103,tblApril[22])</f>
        <v>6</v>
      </c>
      <c r="X34" s="49">
        <f>SUBTOTAL(103,tblApril[23])</f>
        <v>6</v>
      </c>
      <c r="Y34" s="49">
        <f>SUBTOTAL(103,tblApril[24])</f>
        <v>5</v>
      </c>
      <c r="Z34" s="49">
        <f>SUBTOTAL(103,tblApril[25])</f>
        <v>4</v>
      </c>
      <c r="AA34" s="49">
        <f>SUBTOTAL(103,tblApril[26])</f>
        <v>4</v>
      </c>
      <c r="AB34" s="49">
        <f>SUBTOTAL(103,tblApril[27])</f>
        <v>4</v>
      </c>
      <c r="AC34" s="49">
        <f>SUBTOTAL(103,tblApril[28])</f>
        <v>4</v>
      </c>
      <c r="AD34" s="49">
        <f>SUBTOTAL(103,tblApril[29])</f>
        <v>4</v>
      </c>
      <c r="AE34" s="49"/>
      <c r="AF34" s="49"/>
      <c r="AG34" s="49">
        <f>SUBTOTAL(109,tblApril[Total Days])</f>
        <v>101</v>
      </c>
    </row>
    <row r="35" spans="1:33" ht="15" customHeight="1" x14ac:dyDescent="0.25">
      <c r="A35" s="80"/>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row>
    <row r="36" spans="1:33" ht="15" customHeight="1" x14ac:dyDescent="0.25">
      <c r="A36"/>
      <c r="B36" s="42" t="str">
        <f>January!B33</f>
        <v>Color Key</v>
      </c>
      <c r="C36" s="42"/>
      <c r="D36" s="42"/>
      <c r="E36" s="42"/>
      <c r="F36" s="43"/>
      <c r="G36" s="26" t="str">
        <f>KeyVacation</f>
        <v>V</v>
      </c>
      <c r="H36" s="39" t="str">
        <f>KeyVacationLabel</f>
        <v>Vacation</v>
      </c>
      <c r="I36" s="40"/>
      <c r="J36" s="40"/>
      <c r="K36" s="22" t="str">
        <f>KeyPersonal</f>
        <v>P</v>
      </c>
      <c r="L36" s="39" t="str">
        <f>KeyPersonalLabel</f>
        <v>Personal</v>
      </c>
      <c r="M36" s="40"/>
      <c r="N36" s="40"/>
      <c r="O36" s="23" t="str">
        <f>KeySick</f>
        <v>S</v>
      </c>
      <c r="P36" s="39" t="str">
        <f>KeySickLabel</f>
        <v>Sick</v>
      </c>
      <c r="Q36" s="40"/>
      <c r="R36" s="40"/>
      <c r="S36" s="24" t="str">
        <f>KeyCustom1</f>
        <v>H</v>
      </c>
      <c r="T36" s="39" t="str">
        <f>KeyCustom1Label</f>
        <v>Holiday</v>
      </c>
      <c r="U36" s="41"/>
      <c r="V36" s="40"/>
      <c r="W36" s="25">
        <f>KeyCustom2</f>
        <v>0</v>
      </c>
      <c r="X36" s="39" t="str">
        <f>KeyCustom2Label</f>
        <v>Custom 2</v>
      </c>
      <c r="Y36" s="40"/>
      <c r="Z36" s="41"/>
    </row>
  </sheetData>
  <mergeCells count="4">
    <mergeCell ref="A2:A3"/>
    <mergeCell ref="B2:AF2"/>
    <mergeCell ref="AG2:AG3"/>
    <mergeCell ref="A35:AG35"/>
  </mergeCells>
  <conditionalFormatting sqref="B5:AF33">
    <cfRule type="expression" priority="1" stopIfTrue="1">
      <formula>B5=""</formula>
    </cfRule>
  </conditionalFormatting>
  <conditionalFormatting sqref="B5:AF33">
    <cfRule type="expression" dxfId="77" priority="2" stopIfTrue="1">
      <formula>B5=KeyCustom2</formula>
    </cfRule>
    <cfRule type="expression" dxfId="76" priority="3" stopIfTrue="1">
      <formula>B5=KeyCustom1</formula>
    </cfRule>
    <cfRule type="expression" dxfId="75" priority="4" stopIfTrue="1">
      <formula>B5=KeySick</formula>
    </cfRule>
    <cfRule type="expression" dxfId="74" priority="5" stopIfTrue="1">
      <formula>B5=KeyPersonal</formula>
    </cfRule>
    <cfRule type="expression" dxfId="73" priority="6" stopIfTrue="1">
      <formula>B5=KeyVacation</formula>
    </cfRule>
  </conditionalFormatting>
  <conditionalFormatting sqref="AG5:AG33">
    <cfRule type="dataBar" priority="61">
      <dataBar>
        <cfvo type="min"/>
        <cfvo type="formula" val="DATEDIF(DATE(CalendarYear,2,1),DATE(CalendarYear,3,1),&quot;d&quot;)"/>
        <color theme="2" tint="-0.249977111117893"/>
      </dataBar>
      <extLst>
        <ext xmlns:x14="http://schemas.microsoft.com/office/spreadsheetml/2009/9/main" uri="{B025F937-C7B1-47D3-B67F-A62EFF666E3E}">
          <x14:id>{9F84199F-9F40-4560-9610-01EAA5EACF75}</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F84199F-9F40-4560-9610-01EAA5EACF75}">
            <x14:dataBar minLength="0" maxLength="100">
              <x14:cfvo type="autoMin"/>
              <x14:cfvo type="formula">
                <xm:f>DATEDIF(DATE(CalendarYear,2,1),DATE(CalendarYear,3,1),"d")</xm:f>
              </x14:cfvo>
              <x14:negativeFillColor rgb="FFFF0000"/>
              <x14:axisColor rgb="FF000000"/>
            </x14:dataBar>
          </x14:cfRule>
          <xm:sqref>AG5:AG33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2" tint="-9.9978637043366805E-2"/>
    <pageSetUpPr fitToPage="1"/>
  </sheetPr>
  <dimension ref="A1:AH35"/>
  <sheetViews>
    <sheetView showGridLines="0" zoomScaleNormal="100" workbookViewId="0">
      <pane ySplit="4" topLeftCell="A8" activePane="bottomLeft" state="frozen"/>
      <selection pane="bottomLeft" activeCell="C27" sqref="C27"/>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8" t="s">
        <v>49</v>
      </c>
      <c r="B2" s="76" t="s">
        <v>1</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9">
        <f>CalendarYear</f>
        <v>2015</v>
      </c>
    </row>
    <row r="3" spans="1:34" ht="15.75" customHeight="1" x14ac:dyDescent="0.25">
      <c r="A3" s="78"/>
      <c r="B3" s="28" t="str">
        <f>TEXT(WEEKDAY(DATE(CalendarYear,5,1),1),"aaa")</f>
        <v>Fri</v>
      </c>
      <c r="C3" s="29" t="str">
        <f>TEXT(WEEKDAY(DATE(CalendarYear,5,2),1),"aaa")</f>
        <v>Sat</v>
      </c>
      <c r="D3" s="29" t="str">
        <f>TEXT(WEEKDAY(DATE(CalendarYear,5,3),1),"aaa")</f>
        <v>Sun</v>
      </c>
      <c r="E3" s="29" t="str">
        <f>TEXT(WEEKDAY(DATE(CalendarYear,5,4),1),"aaa")</f>
        <v>Mon</v>
      </c>
      <c r="F3" s="29" t="str">
        <f>TEXT(WEEKDAY(DATE(CalendarYear,5,5),1),"aaa")</f>
        <v>Tue</v>
      </c>
      <c r="G3" s="29" t="str">
        <f>TEXT(WEEKDAY(DATE(CalendarYear,5,6),1),"aaa")</f>
        <v>Wed</v>
      </c>
      <c r="H3" s="29" t="str">
        <f>TEXT(WEEKDAY(DATE(CalendarYear,5,7),1),"aaa")</f>
        <v>Thu</v>
      </c>
      <c r="I3" s="29" t="str">
        <f>TEXT(WEEKDAY(DATE(CalendarYear,5,8),1),"aaa")</f>
        <v>Fri</v>
      </c>
      <c r="J3" s="29" t="str">
        <f>TEXT(WEEKDAY(DATE(CalendarYear,5,9),1),"aaa")</f>
        <v>Sat</v>
      </c>
      <c r="K3" s="29" t="str">
        <f>TEXT(WEEKDAY(DATE(CalendarYear,5,10),1),"aaa")</f>
        <v>Sun</v>
      </c>
      <c r="L3" s="29" t="str">
        <f>TEXT(WEEKDAY(DATE(CalendarYear,5,11),1),"aaa")</f>
        <v>Mon</v>
      </c>
      <c r="M3" s="29" t="str">
        <f>TEXT(WEEKDAY(DATE(CalendarYear,5,12),1),"aaa")</f>
        <v>Tue</v>
      </c>
      <c r="N3" s="29" t="str">
        <f>TEXT(WEEKDAY(DATE(CalendarYear,5,13),1),"aaa")</f>
        <v>Wed</v>
      </c>
      <c r="O3" s="29" t="str">
        <f>TEXT(WEEKDAY(DATE(CalendarYear,5,14),1),"aaa")</f>
        <v>Thu</v>
      </c>
      <c r="P3" s="29" t="str">
        <f>TEXT(WEEKDAY(DATE(CalendarYear,5,15),1),"aaa")</f>
        <v>Fri</v>
      </c>
      <c r="Q3" s="29" t="str">
        <f>TEXT(WEEKDAY(DATE(CalendarYear,5,16),1),"aaa")</f>
        <v>Sat</v>
      </c>
      <c r="R3" s="29" t="str">
        <f>TEXT(WEEKDAY(DATE(CalendarYear,5,17),1),"aaa")</f>
        <v>Sun</v>
      </c>
      <c r="S3" s="29" t="str">
        <f>TEXT(WEEKDAY(DATE(CalendarYear,5,18),1),"aaa")</f>
        <v>Mon</v>
      </c>
      <c r="T3" s="29" t="str">
        <f>TEXT(WEEKDAY(DATE(CalendarYear,5,19),1),"aaa")</f>
        <v>Tue</v>
      </c>
      <c r="U3" s="29" t="str">
        <f>TEXT(WEEKDAY(DATE(CalendarYear,5,20),1),"aaa")</f>
        <v>Wed</v>
      </c>
      <c r="V3" s="29" t="str">
        <f>TEXT(WEEKDAY(DATE(CalendarYear,5,21),1),"aaa")</f>
        <v>Thu</v>
      </c>
      <c r="W3" s="29" t="str">
        <f>TEXT(WEEKDAY(DATE(CalendarYear,5,22),1),"aaa")</f>
        <v>Fri</v>
      </c>
      <c r="X3" s="29" t="str">
        <f>TEXT(WEEKDAY(DATE(CalendarYear,5,23),1),"aaa")</f>
        <v>Sat</v>
      </c>
      <c r="Y3" s="29" t="str">
        <f>TEXT(WEEKDAY(DATE(CalendarYear,5,24),1),"aaa")</f>
        <v>Sun</v>
      </c>
      <c r="Z3" s="29" t="str">
        <f>TEXT(WEEKDAY(DATE(CalendarYear,5,25),1),"aaa")</f>
        <v>Mon</v>
      </c>
      <c r="AA3" s="29" t="str">
        <f>TEXT(WEEKDAY(DATE(CalendarYear,5,26),1),"aaa")</f>
        <v>Tue</v>
      </c>
      <c r="AB3" s="29" t="str">
        <f>TEXT(WEEKDAY(DATE(CalendarYear,5,27),1),"aaa")</f>
        <v>Wed</v>
      </c>
      <c r="AC3" s="29" t="str">
        <f>TEXT(WEEKDAY(DATE(CalendarYear,5,28),1),"aaa")</f>
        <v>Thu</v>
      </c>
      <c r="AD3" s="29" t="str">
        <f>TEXT(WEEKDAY(DATE(CalendarYear,5,29),1),"aaa")</f>
        <v>Fri</v>
      </c>
      <c r="AE3" s="29" t="str">
        <f>TEXT(WEEKDAY(DATE(CalendarYear,5,30),1),"aaa")</f>
        <v>Sat</v>
      </c>
      <c r="AF3" s="29" t="str">
        <f>TEXT(WEEKDAY(DATE(CalendarYear,5,31),1),"aaa")</f>
        <v>Sun</v>
      </c>
      <c r="AG3" s="79"/>
    </row>
    <row r="4" spans="1:34" s="13" customFormat="1" x14ac:dyDescent="0.25">
      <c r="A4" s="38" t="s">
        <v>2</v>
      </c>
      <c r="B4" s="45" t="s">
        <v>3</v>
      </c>
      <c r="C4" s="45" t="s">
        <v>4</v>
      </c>
      <c r="D4" s="45" t="s">
        <v>5</v>
      </c>
      <c r="E4" s="45" t="s">
        <v>6</v>
      </c>
      <c r="F4" s="45" t="s">
        <v>7</v>
      </c>
      <c r="G4" s="45" t="s">
        <v>8</v>
      </c>
      <c r="H4" s="45" t="s">
        <v>9</v>
      </c>
      <c r="I4" s="45" t="s">
        <v>10</v>
      </c>
      <c r="J4" s="45" t="s">
        <v>11</v>
      </c>
      <c r="K4" s="45" t="s">
        <v>12</v>
      </c>
      <c r="L4" s="45" t="s">
        <v>13</v>
      </c>
      <c r="M4" s="45" t="s">
        <v>14</v>
      </c>
      <c r="N4" s="45" t="s">
        <v>15</v>
      </c>
      <c r="O4" s="45" t="s">
        <v>16</v>
      </c>
      <c r="P4" s="45" t="s">
        <v>17</v>
      </c>
      <c r="Q4" s="45" t="s">
        <v>18</v>
      </c>
      <c r="R4" s="45" t="s">
        <v>19</v>
      </c>
      <c r="S4" s="45" t="s">
        <v>20</v>
      </c>
      <c r="T4" s="45" t="s">
        <v>21</v>
      </c>
      <c r="U4" s="45" t="s">
        <v>22</v>
      </c>
      <c r="V4" s="45" t="s">
        <v>23</v>
      </c>
      <c r="W4" s="45" t="s">
        <v>24</v>
      </c>
      <c r="X4" s="45" t="s">
        <v>25</v>
      </c>
      <c r="Y4" s="45" t="s">
        <v>26</v>
      </c>
      <c r="Z4" s="45" t="s">
        <v>27</v>
      </c>
      <c r="AA4" s="45" t="s">
        <v>28</v>
      </c>
      <c r="AB4" s="45" t="s">
        <v>29</v>
      </c>
      <c r="AC4" s="45" t="s">
        <v>30</v>
      </c>
      <c r="AD4" s="17" t="s">
        <v>31</v>
      </c>
      <c r="AE4" s="45" t="s">
        <v>32</v>
      </c>
      <c r="AF4" s="45" t="s">
        <v>33</v>
      </c>
      <c r="AG4" s="45" t="s">
        <v>34</v>
      </c>
      <c r="AH4" s="12"/>
    </row>
    <row r="5" spans="1:34" s="13" customFormat="1" x14ac:dyDescent="0.25">
      <c r="A5" s="44" t="s">
        <v>60</v>
      </c>
      <c r="B5" s="53"/>
      <c r="C5" s="45"/>
      <c r="D5" s="45"/>
      <c r="E5" s="45"/>
      <c r="F5" s="45"/>
      <c r="G5" s="45"/>
      <c r="H5" s="45"/>
      <c r="I5" s="45"/>
      <c r="J5" s="45"/>
      <c r="K5" s="45"/>
      <c r="L5" s="53" t="s">
        <v>36</v>
      </c>
      <c r="M5" s="45"/>
      <c r="N5" s="45"/>
      <c r="O5" s="45"/>
      <c r="P5" s="45"/>
      <c r="Q5" s="45"/>
      <c r="R5" s="45"/>
      <c r="S5" s="45"/>
      <c r="T5" s="45"/>
      <c r="U5" s="45"/>
      <c r="V5" s="45"/>
      <c r="W5" s="45"/>
      <c r="X5" s="45"/>
      <c r="Y5" s="45"/>
      <c r="Z5" s="45"/>
      <c r="AA5" s="45"/>
      <c r="AB5" s="45"/>
      <c r="AC5" s="45"/>
      <c r="AD5" s="45"/>
      <c r="AE5" s="45"/>
      <c r="AF5" s="45"/>
      <c r="AG5" s="11">
        <f>COUNTA(tblMay[[#This Row],[1]:[29]])</f>
        <v>1</v>
      </c>
      <c r="AH5" s="12"/>
    </row>
    <row r="6" spans="1:34" s="13" customFormat="1" x14ac:dyDescent="0.25">
      <c r="A6" s="44" t="s">
        <v>82</v>
      </c>
      <c r="B6" s="53"/>
      <c r="C6" s="45"/>
      <c r="D6" s="45"/>
      <c r="E6" s="45"/>
      <c r="F6" s="45"/>
      <c r="G6" s="45"/>
      <c r="H6" s="45"/>
      <c r="I6" s="45"/>
      <c r="J6" s="45"/>
      <c r="K6" s="45"/>
      <c r="L6" s="45"/>
      <c r="M6" s="45"/>
      <c r="N6" s="45"/>
      <c r="O6" s="45"/>
      <c r="P6" s="45"/>
      <c r="Q6" s="45"/>
      <c r="R6" s="45"/>
      <c r="S6" s="45"/>
      <c r="T6" s="45"/>
      <c r="U6" s="45"/>
      <c r="V6" s="45"/>
      <c r="W6" s="45"/>
      <c r="X6" s="45"/>
      <c r="Y6" s="45"/>
      <c r="Z6" s="45"/>
      <c r="AA6" s="45"/>
      <c r="AB6" s="45"/>
      <c r="AC6" s="45"/>
      <c r="AD6" s="45"/>
      <c r="AE6" s="45"/>
      <c r="AF6" s="45"/>
      <c r="AG6" s="11">
        <f>COUNTA(tblMay[[#This Row],[1]:[29]])</f>
        <v>0</v>
      </c>
      <c r="AH6" s="12"/>
    </row>
    <row r="7" spans="1:34" s="13" customFormat="1" x14ac:dyDescent="0.25">
      <c r="A7" s="44" t="s">
        <v>58</v>
      </c>
      <c r="B7" s="53"/>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COUNTA(tblMay[[#This Row],[1]:[29]])</f>
        <v>0</v>
      </c>
      <c r="AH7" s="12"/>
    </row>
    <row r="8" spans="1:34" s="13" customFormat="1" x14ac:dyDescent="0.25">
      <c r="A8" s="44" t="s">
        <v>80</v>
      </c>
      <c r="B8" s="53"/>
      <c r="C8" s="46"/>
      <c r="D8" s="46"/>
      <c r="E8" s="46"/>
      <c r="F8" s="46"/>
      <c r="G8" s="46"/>
      <c r="H8" s="46"/>
      <c r="I8" s="53" t="s">
        <v>35</v>
      </c>
      <c r="J8" s="46"/>
      <c r="K8" s="46"/>
      <c r="L8" s="46"/>
      <c r="M8" s="46"/>
      <c r="N8" s="46"/>
      <c r="O8" s="46"/>
      <c r="P8" s="46"/>
      <c r="Q8" s="46"/>
      <c r="R8" s="46"/>
      <c r="S8" s="46"/>
      <c r="T8" s="53" t="s">
        <v>36</v>
      </c>
      <c r="U8" s="46"/>
      <c r="V8" s="46"/>
      <c r="W8" s="46"/>
      <c r="X8" s="46"/>
      <c r="Y8" s="46"/>
      <c r="Z8" s="46"/>
      <c r="AA8" s="46"/>
      <c r="AB8" s="46"/>
      <c r="AC8" s="46"/>
      <c r="AD8" s="46"/>
      <c r="AE8" s="46"/>
      <c r="AF8" s="46"/>
      <c r="AG8" s="11">
        <f>COUNTA(tblMay[[#This Row],[1]:[29]])</f>
        <v>2</v>
      </c>
      <c r="AH8" s="12"/>
    </row>
    <row r="9" spans="1:34" s="13" customFormat="1" x14ac:dyDescent="0.25">
      <c r="A9" s="44" t="s">
        <v>63</v>
      </c>
      <c r="B9" s="53"/>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COUNTA(tblMay[[#This Row],[1]:[29]])</f>
        <v>0</v>
      </c>
      <c r="AH9" s="12"/>
    </row>
    <row r="10" spans="1:34" s="13" customFormat="1" x14ac:dyDescent="0.25">
      <c r="A10" s="44" t="s">
        <v>73</v>
      </c>
      <c r="B10" s="53"/>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11">
        <f>COUNTA(tblMay[[#This Row],[1]:[29]])</f>
        <v>0</v>
      </c>
      <c r="AH10" s="12"/>
    </row>
    <row r="11" spans="1:34" s="13" customFormat="1" x14ac:dyDescent="0.25">
      <c r="A11" s="44" t="s">
        <v>74</v>
      </c>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11">
        <f>COUNTA(tblMay[[#This Row],[1]:[29]])</f>
        <v>0</v>
      </c>
      <c r="AH11" s="12"/>
    </row>
    <row r="12" spans="1:34" s="13" customFormat="1" x14ac:dyDescent="0.25">
      <c r="A12" s="44" t="s">
        <v>76</v>
      </c>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53" t="s">
        <v>36</v>
      </c>
      <c r="AE12" s="46"/>
      <c r="AF12" s="46"/>
      <c r="AG12" s="11">
        <f>COUNTA(tblMay[[#This Row],[1]:[29]])</f>
        <v>1</v>
      </c>
      <c r="AH12" s="12"/>
    </row>
    <row r="13" spans="1:34" s="13" customFormat="1" x14ac:dyDescent="0.25">
      <c r="A13" s="44" t="s">
        <v>71</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11">
        <f>COUNTA(tblMay[[#This Row],[1]:[29]])</f>
        <v>0</v>
      </c>
      <c r="AH13" s="12"/>
    </row>
    <row r="14" spans="1:34" s="13" customFormat="1" x14ac:dyDescent="0.25">
      <c r="A14" s="44" t="s">
        <v>78</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11">
        <f>COUNTA(tblMay[[#This Row],[1]:[29]])</f>
        <v>0</v>
      </c>
      <c r="AH14" s="12"/>
    </row>
    <row r="15" spans="1:34" s="13" customFormat="1" x14ac:dyDescent="0.25">
      <c r="A15" s="44" t="s">
        <v>81</v>
      </c>
      <c r="B15" s="46"/>
      <c r="C15" s="46"/>
      <c r="D15" s="46"/>
      <c r="E15" s="53" t="s">
        <v>39</v>
      </c>
      <c r="F15" s="46"/>
      <c r="G15" s="46"/>
      <c r="H15" s="46"/>
      <c r="I15" s="46"/>
      <c r="J15" s="46"/>
      <c r="K15" s="46"/>
      <c r="L15" s="46"/>
      <c r="M15" s="46"/>
      <c r="N15" s="46"/>
      <c r="O15" s="46"/>
      <c r="P15" s="46"/>
      <c r="Q15" s="46"/>
      <c r="R15" s="46"/>
      <c r="S15" s="53" t="s">
        <v>39</v>
      </c>
      <c r="T15" s="46"/>
      <c r="U15" s="46"/>
      <c r="V15" s="46"/>
      <c r="W15" s="46"/>
      <c r="X15" s="46"/>
      <c r="Y15" s="46"/>
      <c r="Z15" s="46"/>
      <c r="AA15" s="46"/>
      <c r="AB15" s="46"/>
      <c r="AC15" s="46"/>
      <c r="AD15" s="46"/>
      <c r="AE15" s="46"/>
      <c r="AF15" s="46"/>
      <c r="AG15" s="11">
        <f>COUNTA(tblMay[[#This Row],[1]:[29]])</f>
        <v>2</v>
      </c>
      <c r="AH15" s="12"/>
    </row>
    <row r="16" spans="1:34" s="13" customFormat="1" x14ac:dyDescent="0.25">
      <c r="A16" s="44" t="s">
        <v>69</v>
      </c>
      <c r="B16" s="46"/>
      <c r="C16" s="46"/>
      <c r="D16" s="46"/>
      <c r="E16" s="46" t="s">
        <v>36</v>
      </c>
      <c r="F16" s="46"/>
      <c r="G16" s="46"/>
      <c r="H16" s="46"/>
      <c r="I16" s="46"/>
      <c r="J16" s="46"/>
      <c r="K16" s="46"/>
      <c r="L16" s="46" t="s">
        <v>36</v>
      </c>
      <c r="M16" s="46"/>
      <c r="N16" s="46"/>
      <c r="O16" s="46"/>
      <c r="P16" s="46"/>
      <c r="Q16" s="46"/>
      <c r="R16" s="46"/>
      <c r="S16" s="46"/>
      <c r="T16" s="46"/>
      <c r="U16" s="46"/>
      <c r="V16" s="46"/>
      <c r="W16" s="46"/>
      <c r="X16" s="46"/>
      <c r="Y16" s="46"/>
      <c r="Z16" s="46"/>
      <c r="AA16" s="46"/>
      <c r="AB16" s="46"/>
      <c r="AC16" s="46"/>
      <c r="AD16" s="46"/>
      <c r="AE16" s="46"/>
      <c r="AF16" s="46"/>
      <c r="AG16" s="11">
        <f>COUNTA(tblMay[[#This Row],[1]:[29]])</f>
        <v>2</v>
      </c>
      <c r="AH16" s="12"/>
    </row>
    <row r="17" spans="1:34" s="13" customFormat="1" x14ac:dyDescent="0.25">
      <c r="A17" s="44" t="s">
        <v>66</v>
      </c>
      <c r="B17" s="46"/>
      <c r="C17" s="46"/>
      <c r="D17" s="46"/>
      <c r="E17" s="46"/>
      <c r="F17" s="46"/>
      <c r="G17" s="46"/>
      <c r="H17" s="46"/>
      <c r="I17" s="46"/>
      <c r="J17" s="46"/>
      <c r="K17" s="46"/>
      <c r="L17" s="46"/>
      <c r="M17" s="46"/>
      <c r="N17" s="46"/>
      <c r="O17" s="46"/>
      <c r="P17" s="46"/>
      <c r="Q17" s="46"/>
      <c r="R17" s="46"/>
      <c r="S17" s="46"/>
      <c r="T17" s="46"/>
      <c r="U17" s="46"/>
      <c r="V17" s="46"/>
      <c r="W17" s="46"/>
      <c r="X17" s="46"/>
      <c r="Y17" s="46"/>
      <c r="Z17" s="53" t="s">
        <v>36</v>
      </c>
      <c r="AA17" s="53" t="s">
        <v>36</v>
      </c>
      <c r="AB17" s="46"/>
      <c r="AC17" s="46"/>
      <c r="AD17" s="46"/>
      <c r="AE17" s="46"/>
      <c r="AF17" s="46"/>
      <c r="AG17" s="11">
        <f>COUNTA(tblMay[[#This Row],[1]:[29]])</f>
        <v>2</v>
      </c>
      <c r="AH17" s="12"/>
    </row>
    <row r="18" spans="1:34" s="13" customFormat="1" x14ac:dyDescent="0.25">
      <c r="A18" s="55" t="s">
        <v>89</v>
      </c>
      <c r="B18" s="51"/>
      <c r="C18" s="51"/>
      <c r="D18" s="51"/>
      <c r="E18" s="51"/>
      <c r="F18" s="51"/>
      <c r="G18" s="51"/>
      <c r="H18" s="51"/>
      <c r="I18" s="51"/>
      <c r="J18" s="51"/>
      <c r="K18" s="51"/>
      <c r="L18" s="51"/>
      <c r="M18" s="51"/>
      <c r="N18" s="51"/>
      <c r="O18" s="51"/>
      <c r="P18" s="51"/>
      <c r="Q18" s="51"/>
      <c r="R18" s="51"/>
      <c r="S18" s="51"/>
      <c r="T18" s="51"/>
      <c r="U18" s="51"/>
      <c r="V18" s="51"/>
      <c r="W18" s="51"/>
      <c r="X18" s="51"/>
      <c r="Y18" s="51"/>
      <c r="Z18" s="53"/>
      <c r="AA18" s="53"/>
      <c r="AB18" s="51"/>
      <c r="AC18" s="51"/>
      <c r="AD18" s="51"/>
      <c r="AE18" s="51"/>
      <c r="AF18" s="51"/>
      <c r="AG18" s="11">
        <f>COUNTA(tblMay[[#This Row],[1]:[29]])</f>
        <v>0</v>
      </c>
      <c r="AH18" s="12"/>
    </row>
    <row r="19" spans="1:34" s="13" customFormat="1" x14ac:dyDescent="0.25">
      <c r="A19" s="44" t="s">
        <v>79</v>
      </c>
      <c r="B19" s="46"/>
      <c r="C19" s="46"/>
      <c r="D19" s="46"/>
      <c r="E19" s="46"/>
      <c r="F19" s="46"/>
      <c r="G19" s="46"/>
      <c r="H19" s="46"/>
      <c r="I19" s="46"/>
      <c r="J19" s="46"/>
      <c r="K19" s="46"/>
      <c r="L19" s="46"/>
      <c r="M19" s="46"/>
      <c r="N19" s="46"/>
      <c r="O19" s="46"/>
      <c r="P19" s="46"/>
      <c r="Q19" s="46"/>
      <c r="R19" s="46"/>
      <c r="S19" s="46"/>
      <c r="T19" s="46"/>
      <c r="U19" s="46"/>
      <c r="V19" s="46"/>
      <c r="W19" s="53"/>
      <c r="X19" s="46"/>
      <c r="Y19" s="46"/>
      <c r="Z19" s="46"/>
      <c r="AA19" s="46"/>
      <c r="AB19" s="46"/>
      <c r="AC19" s="46"/>
      <c r="AD19" s="46"/>
      <c r="AE19" s="46"/>
      <c r="AF19" s="46"/>
      <c r="AG19" s="11">
        <f>COUNTA(tblMay[[#This Row],[1]:[29]])</f>
        <v>0</v>
      </c>
      <c r="AH19" s="12"/>
    </row>
    <row r="20" spans="1:34" s="13" customFormat="1" x14ac:dyDescent="0.25">
      <c r="A20" s="44" t="s">
        <v>68</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11">
        <f>COUNTA(tblMay[[#This Row],[1]:[29]])</f>
        <v>0</v>
      </c>
      <c r="AH20" s="12"/>
    </row>
    <row r="21" spans="1:34" s="13" customFormat="1" x14ac:dyDescent="0.25">
      <c r="A21" s="44" t="s">
        <v>65</v>
      </c>
      <c r="B21" s="46"/>
      <c r="C21" s="46"/>
      <c r="D21" s="46"/>
      <c r="E21" s="46"/>
      <c r="F21" s="46"/>
      <c r="G21" s="46"/>
      <c r="H21" s="46"/>
      <c r="I21" s="46" t="s">
        <v>36</v>
      </c>
      <c r="J21" s="46"/>
      <c r="K21" s="46"/>
      <c r="L21" s="46"/>
      <c r="M21" s="46"/>
      <c r="N21" s="46"/>
      <c r="O21" s="46"/>
      <c r="P21" s="46"/>
      <c r="Q21" s="46"/>
      <c r="R21" s="46"/>
      <c r="S21" s="46"/>
      <c r="T21" s="46"/>
      <c r="U21" s="46"/>
      <c r="V21" s="46"/>
      <c r="W21" s="46"/>
      <c r="X21" s="46"/>
      <c r="Y21" s="46"/>
      <c r="Z21" s="46"/>
      <c r="AA21" s="46"/>
      <c r="AB21" s="46"/>
      <c r="AC21" s="46"/>
      <c r="AD21" s="46"/>
      <c r="AE21" s="46"/>
      <c r="AF21" s="46"/>
      <c r="AG21" s="11">
        <f>COUNTA(tblMay[[#This Row],[1]:[29]])</f>
        <v>1</v>
      </c>
      <c r="AH21" s="12"/>
    </row>
    <row r="22" spans="1:34" s="13" customFormat="1" x14ac:dyDescent="0.25">
      <c r="A22" s="44" t="s">
        <v>67</v>
      </c>
      <c r="B22" s="46"/>
      <c r="C22" s="46"/>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11">
        <f>COUNTA(tblMay[[#This Row],[1]:[29]])</f>
        <v>0</v>
      </c>
      <c r="AH22" s="12"/>
    </row>
    <row r="23" spans="1:34" s="13" customFormat="1" x14ac:dyDescent="0.25">
      <c r="A23" s="44" t="s">
        <v>64</v>
      </c>
      <c r="B23" s="46"/>
      <c r="C23" s="46"/>
      <c r="D23" s="46"/>
      <c r="E23" s="46"/>
      <c r="F23" s="46"/>
      <c r="G23" s="46"/>
      <c r="H23" s="46"/>
      <c r="I23" s="46"/>
      <c r="J23" s="46"/>
      <c r="K23" s="46"/>
      <c r="L23" s="46"/>
      <c r="M23" s="46"/>
      <c r="N23" s="46"/>
      <c r="O23" s="46"/>
      <c r="P23" s="46"/>
      <c r="Q23" s="46"/>
      <c r="R23" s="46"/>
      <c r="S23" s="46"/>
      <c r="T23" s="53" t="s">
        <v>36</v>
      </c>
      <c r="U23" s="53" t="s">
        <v>36</v>
      </c>
      <c r="V23" s="53" t="s">
        <v>36</v>
      </c>
      <c r="W23" s="46"/>
      <c r="X23" s="46"/>
      <c r="Y23" s="46"/>
      <c r="Z23" s="46"/>
      <c r="AA23" s="46"/>
      <c r="AB23" s="46"/>
      <c r="AC23" s="46"/>
      <c r="AD23" s="46"/>
      <c r="AE23" s="46"/>
      <c r="AF23" s="46"/>
      <c r="AG23" s="11">
        <f>COUNTA(tblMay[[#This Row],[1]:[29]])</f>
        <v>3</v>
      </c>
      <c r="AH23" s="12"/>
    </row>
    <row r="24" spans="1:34" s="13" customFormat="1" x14ac:dyDescent="0.25">
      <c r="A24" s="44" t="s">
        <v>61</v>
      </c>
      <c r="B24" s="46"/>
      <c r="C24" s="46"/>
      <c r="D24" s="46"/>
      <c r="E24" s="46" t="s">
        <v>36</v>
      </c>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11">
        <f>COUNTA(tblMay[[#This Row],[1]:[29]])</f>
        <v>1</v>
      </c>
      <c r="AH24" s="12"/>
    </row>
    <row r="25" spans="1:34" s="13" customFormat="1" x14ac:dyDescent="0.25">
      <c r="A25" s="44" t="s">
        <v>57</v>
      </c>
      <c r="B25" s="46"/>
      <c r="C25" s="46"/>
      <c r="D25" s="46"/>
      <c r="E25" s="46"/>
      <c r="F25" s="46"/>
      <c r="G25" s="46"/>
      <c r="H25" s="46"/>
      <c r="I25" s="46"/>
      <c r="J25" s="46"/>
      <c r="K25" s="46"/>
      <c r="L25" s="46"/>
      <c r="M25" s="46"/>
      <c r="N25" s="46"/>
      <c r="O25" s="46"/>
      <c r="P25" s="46"/>
      <c r="Q25" s="46"/>
      <c r="R25" s="46"/>
      <c r="S25" s="53"/>
      <c r="T25" s="46"/>
      <c r="U25" s="46"/>
      <c r="V25" s="46"/>
      <c r="W25" s="46"/>
      <c r="X25" s="46"/>
      <c r="Y25" s="46"/>
      <c r="Z25" s="46"/>
      <c r="AA25" s="46"/>
      <c r="AB25" s="46"/>
      <c r="AC25" s="46"/>
      <c r="AD25" s="46"/>
      <c r="AE25" s="46"/>
      <c r="AF25" s="46"/>
      <c r="AG25" s="11">
        <f>COUNTA(tblMay[[#This Row],[1]:[29]])</f>
        <v>0</v>
      </c>
      <c r="AH25" s="12"/>
    </row>
    <row r="26" spans="1:34" s="13" customFormat="1" x14ac:dyDescent="0.25">
      <c r="A26" s="44" t="s">
        <v>77</v>
      </c>
      <c r="B26" s="46"/>
      <c r="C26" s="46"/>
      <c r="D26" s="46"/>
      <c r="E26" s="54"/>
      <c r="F26" s="46"/>
      <c r="G26" s="53" t="s">
        <v>35</v>
      </c>
      <c r="H26" s="46"/>
      <c r="I26" s="46"/>
      <c r="J26" s="46"/>
      <c r="K26" s="46"/>
      <c r="L26" s="46"/>
      <c r="M26" s="46"/>
      <c r="N26" s="46"/>
      <c r="O26" s="46"/>
      <c r="P26" s="46"/>
      <c r="Q26" s="46"/>
      <c r="R26" s="46"/>
      <c r="S26" s="53" t="s">
        <v>36</v>
      </c>
      <c r="T26" s="53" t="s">
        <v>36</v>
      </c>
      <c r="U26" s="46"/>
      <c r="V26" s="46"/>
      <c r="W26" s="46"/>
      <c r="X26" s="46"/>
      <c r="Y26" s="46"/>
      <c r="Z26" s="46"/>
      <c r="AA26" s="46"/>
      <c r="AB26" s="46"/>
      <c r="AC26" s="46"/>
      <c r="AD26" s="46"/>
      <c r="AE26" s="46"/>
      <c r="AF26" s="46"/>
      <c r="AG26" s="11">
        <f>COUNTA(tblMay[[#This Row],[1]:[29]])</f>
        <v>3</v>
      </c>
      <c r="AH26" s="12"/>
    </row>
    <row r="27" spans="1:34" s="13" customFormat="1" x14ac:dyDescent="0.25">
      <c r="A27" s="44" t="s">
        <v>75</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11">
        <f>COUNTA(tblMay[[#This Row],[1]:[29]])</f>
        <v>0</v>
      </c>
      <c r="AH27" s="12"/>
    </row>
    <row r="28" spans="1:34" s="13" customFormat="1" x14ac:dyDescent="0.25">
      <c r="A28" s="44" t="s">
        <v>62</v>
      </c>
      <c r="B28" s="46"/>
      <c r="C28" s="46"/>
      <c r="D28" s="46"/>
      <c r="E28" s="46"/>
      <c r="F28" s="46"/>
      <c r="G28" s="46"/>
      <c r="H28" s="46"/>
      <c r="I28" s="46"/>
      <c r="J28" s="46"/>
      <c r="K28" s="46"/>
      <c r="L28" s="46"/>
      <c r="M28" s="46"/>
      <c r="N28" s="46"/>
      <c r="O28" s="46"/>
      <c r="P28" s="53" t="s">
        <v>36</v>
      </c>
      <c r="Q28" s="46"/>
      <c r="R28" s="46"/>
      <c r="S28" s="46"/>
      <c r="T28" s="46"/>
      <c r="U28" s="46"/>
      <c r="V28" s="46"/>
      <c r="W28" s="46"/>
      <c r="X28" s="46"/>
      <c r="Y28" s="46"/>
      <c r="Z28" s="46"/>
      <c r="AA28" s="46"/>
      <c r="AB28" s="46"/>
      <c r="AC28" s="46"/>
      <c r="AD28" s="46" t="s">
        <v>36</v>
      </c>
      <c r="AE28" s="46"/>
      <c r="AF28" s="46"/>
      <c r="AG28" s="11">
        <f>COUNTA(tblMay[[#This Row],[1]:[29]])</f>
        <v>2</v>
      </c>
      <c r="AH28" s="12"/>
    </row>
    <row r="29" spans="1:34" s="13" customFormat="1" x14ac:dyDescent="0.25">
      <c r="A29" s="44" t="s">
        <v>72</v>
      </c>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11">
        <f>COUNTA(tblMay[[#This Row],[1]:[29]])</f>
        <v>0</v>
      </c>
      <c r="AH29" s="12"/>
    </row>
    <row r="30" spans="1:34" s="13" customFormat="1" x14ac:dyDescent="0.25">
      <c r="A30" s="44" t="s">
        <v>70</v>
      </c>
      <c r="B30" s="46"/>
      <c r="C30" s="46"/>
      <c r="D30" s="46"/>
      <c r="E30" s="53" t="s">
        <v>39</v>
      </c>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11">
        <f>COUNTA(tblMay[[#This Row],[1]:[29]])</f>
        <v>1</v>
      </c>
      <c r="AH30" s="12"/>
    </row>
    <row r="31" spans="1:34" s="13" customFormat="1" x14ac:dyDescent="0.25">
      <c r="A31" s="55" t="s">
        <v>90</v>
      </c>
      <c r="B31" s="49"/>
      <c r="C31" s="49"/>
      <c r="D31" s="49"/>
      <c r="E31" s="57"/>
      <c r="F31" s="49"/>
      <c r="G31" s="49"/>
      <c r="H31" s="49"/>
      <c r="I31" s="57"/>
      <c r="J31" s="49"/>
      <c r="K31" s="49"/>
      <c r="L31" s="57"/>
      <c r="M31" s="49"/>
      <c r="N31" s="49"/>
      <c r="O31" s="49"/>
      <c r="P31" s="57"/>
      <c r="Q31" s="49"/>
      <c r="R31" s="49"/>
      <c r="S31" s="49"/>
      <c r="T31" s="57"/>
      <c r="U31" s="57"/>
      <c r="V31" s="57"/>
      <c r="W31" s="57"/>
      <c r="X31" s="49"/>
      <c r="Y31" s="11"/>
      <c r="Z31" s="57"/>
      <c r="AA31" s="57"/>
      <c r="AB31" s="49"/>
      <c r="AC31" s="49"/>
      <c r="AD31" s="57"/>
      <c r="AE31" s="49"/>
      <c r="AF31" s="49"/>
      <c r="AG31" s="11">
        <f>COUNTA(tblMay[[#This Row],[1]:[29]])</f>
        <v>0</v>
      </c>
      <c r="AH31" s="12"/>
    </row>
    <row r="32" spans="1:34" s="13" customFormat="1" x14ac:dyDescent="0.25">
      <c r="A32" s="44" t="s">
        <v>59</v>
      </c>
      <c r="B32" s="26" t="str">
        <f t="shared" ref="B32:L32" si="0">KeyVacation</f>
        <v>V</v>
      </c>
      <c r="C32" s="26" t="str">
        <f t="shared" si="0"/>
        <v>V</v>
      </c>
      <c r="D32" s="26" t="str">
        <f t="shared" si="0"/>
        <v>V</v>
      </c>
      <c r="E32" s="26" t="str">
        <f t="shared" si="0"/>
        <v>V</v>
      </c>
      <c r="F32" s="26" t="str">
        <f t="shared" si="0"/>
        <v>V</v>
      </c>
      <c r="G32" s="26" t="str">
        <f t="shared" si="0"/>
        <v>V</v>
      </c>
      <c r="H32" s="26" t="str">
        <f t="shared" si="0"/>
        <v>V</v>
      </c>
      <c r="I32" s="26" t="str">
        <f t="shared" si="0"/>
        <v>V</v>
      </c>
      <c r="J32" s="26" t="str">
        <f t="shared" si="0"/>
        <v>V</v>
      </c>
      <c r="K32" s="26" t="str">
        <f t="shared" si="0"/>
        <v>V</v>
      </c>
      <c r="L32" s="26" t="str">
        <f t="shared" si="0"/>
        <v>V</v>
      </c>
      <c r="M32" s="53" t="s">
        <v>36</v>
      </c>
      <c r="N32" s="53" t="s">
        <v>36</v>
      </c>
      <c r="O32" s="53" t="s">
        <v>36</v>
      </c>
      <c r="P32" s="53" t="s">
        <v>36</v>
      </c>
      <c r="Q32" s="53" t="s">
        <v>36</v>
      </c>
      <c r="R32" s="53" t="s">
        <v>36</v>
      </c>
      <c r="S32" s="53" t="s">
        <v>36</v>
      </c>
      <c r="T32" s="53" t="s">
        <v>36</v>
      </c>
      <c r="U32" s="53" t="s">
        <v>36</v>
      </c>
      <c r="V32" s="53" t="s">
        <v>36</v>
      </c>
      <c r="W32" s="53" t="s">
        <v>36</v>
      </c>
      <c r="X32" s="53" t="s">
        <v>36</v>
      </c>
      <c r="Y32" s="53" t="s">
        <v>36</v>
      </c>
      <c r="Z32" s="53" t="s">
        <v>36</v>
      </c>
      <c r="AA32" s="53" t="s">
        <v>36</v>
      </c>
      <c r="AB32" s="53" t="s">
        <v>36</v>
      </c>
      <c r="AC32" s="53" t="s">
        <v>36</v>
      </c>
      <c r="AD32" s="53" t="s">
        <v>36</v>
      </c>
      <c r="AE32" s="53" t="s">
        <v>36</v>
      </c>
      <c r="AF32" s="53" t="s">
        <v>36</v>
      </c>
      <c r="AG32" s="11">
        <f>COUNTA(tblMay[[#This Row],[1]:[29]])</f>
        <v>29</v>
      </c>
      <c r="AH32" s="12"/>
    </row>
    <row r="33" spans="1:33" ht="15" customHeight="1" x14ac:dyDescent="0.25">
      <c r="A33" s="52" t="str">
        <f>MonthName&amp;" Total"</f>
        <v>May Total</v>
      </c>
      <c r="B33" s="49">
        <f>SUBTOTAL(103,tblMay[1])</f>
        <v>1</v>
      </c>
      <c r="C33" s="49">
        <f>SUBTOTAL(103,tblMay[2])</f>
        <v>1</v>
      </c>
      <c r="D33" s="49">
        <f>SUBTOTAL(103,tblMay[3])</f>
        <v>1</v>
      </c>
      <c r="E33" s="49">
        <f>SUBTOTAL(103,tblMay[4])</f>
        <v>5</v>
      </c>
      <c r="F33" s="49">
        <f>SUBTOTAL(103,tblMay[5])</f>
        <v>1</v>
      </c>
      <c r="G33" s="49">
        <f>SUBTOTAL(103,tblMay[6])</f>
        <v>2</v>
      </c>
      <c r="H33" s="49">
        <f>SUBTOTAL(103,tblMay[7])</f>
        <v>1</v>
      </c>
      <c r="I33" s="49">
        <f>SUBTOTAL(103,tblMay[8])</f>
        <v>3</v>
      </c>
      <c r="J33" s="49">
        <f>SUBTOTAL(103,tblMay[9])</f>
        <v>1</v>
      </c>
      <c r="K33" s="49">
        <f>SUBTOTAL(103,tblMay[10])</f>
        <v>1</v>
      </c>
      <c r="L33" s="49">
        <f>SUBTOTAL(103,tblMay[11])</f>
        <v>3</v>
      </c>
      <c r="M33" s="49">
        <f>SUBTOTAL(103,tblMay[12])</f>
        <v>1</v>
      </c>
      <c r="N33" s="49">
        <f>SUBTOTAL(103,tblMay[13])</f>
        <v>1</v>
      </c>
      <c r="O33" s="49">
        <f>SUBTOTAL(103,tblMay[14])</f>
        <v>1</v>
      </c>
      <c r="P33" s="49">
        <f>SUBTOTAL(103,tblMay[15])</f>
        <v>2</v>
      </c>
      <c r="Q33" s="49">
        <f>SUBTOTAL(103,tblMay[16])</f>
        <v>1</v>
      </c>
      <c r="R33" s="49">
        <f>SUBTOTAL(103,tblMay[17])</f>
        <v>1</v>
      </c>
      <c r="S33" s="49">
        <f>SUBTOTAL(103,tblMay[18])</f>
        <v>3</v>
      </c>
      <c r="T33" s="49">
        <f>SUBTOTAL(103,tblMay[19])</f>
        <v>4</v>
      </c>
      <c r="U33" s="49">
        <f>SUBTOTAL(103,tblMay[20])</f>
        <v>2</v>
      </c>
      <c r="V33" s="49">
        <f>SUBTOTAL(103,tblMay[21])</f>
        <v>2</v>
      </c>
      <c r="W33" s="49">
        <f>SUBTOTAL(103,tblMay[22])</f>
        <v>1</v>
      </c>
      <c r="X33" s="49">
        <f>SUBTOTAL(103,tblMay[23])</f>
        <v>1</v>
      </c>
      <c r="Y33" s="49">
        <f>SUBTOTAL(103,tblMay[24])</f>
        <v>1</v>
      </c>
      <c r="Z33" s="49">
        <f>SUBTOTAL(103,tblMay[25])</f>
        <v>2</v>
      </c>
      <c r="AA33" s="49">
        <f>SUBTOTAL(103,tblMay[26])</f>
        <v>2</v>
      </c>
      <c r="AB33" s="49">
        <f>SUBTOTAL(103,tblMay[27])</f>
        <v>1</v>
      </c>
      <c r="AC33" s="49">
        <f>SUBTOTAL(103,tblMay[28])</f>
        <v>1</v>
      </c>
      <c r="AD33" s="49">
        <f>SUBTOTAL(103,tblMay[29])</f>
        <v>3</v>
      </c>
      <c r="AE33" s="49"/>
      <c r="AF33" s="49"/>
      <c r="AG33" s="49">
        <f>SUBTOTAL(109,tblMay[Total Days])</f>
        <v>50</v>
      </c>
    </row>
    <row r="34" spans="1:33" ht="15" customHeight="1" x14ac:dyDescent="0.25">
      <c r="A34" s="80"/>
      <c r="B34" s="80"/>
      <c r="C34" s="80"/>
      <c r="D34" s="80"/>
      <c r="E34" s="80"/>
      <c r="F34" s="80"/>
      <c r="G34" s="80"/>
      <c r="H34" s="80"/>
      <c r="I34" s="80"/>
      <c r="J34" s="80"/>
      <c r="K34" s="80"/>
      <c r="L34" s="80"/>
      <c r="M34" s="80"/>
      <c r="N34" s="80"/>
      <c r="O34" s="80"/>
      <c r="P34" s="80"/>
      <c r="Q34" s="80"/>
      <c r="R34" s="80"/>
      <c r="S34" s="80"/>
      <c r="T34" s="80"/>
      <c r="U34" s="80"/>
      <c r="V34" s="80"/>
      <c r="W34" s="80"/>
      <c r="X34" s="80"/>
      <c r="Y34" s="80"/>
      <c r="Z34" s="80"/>
      <c r="AA34" s="80"/>
      <c r="AB34" s="80"/>
      <c r="AC34" s="80"/>
      <c r="AD34" s="80"/>
      <c r="AE34" s="80"/>
      <c r="AF34" s="80"/>
      <c r="AG34" s="80"/>
    </row>
    <row r="35" spans="1:33" ht="15" customHeight="1" x14ac:dyDescent="0.25">
      <c r="A35"/>
      <c r="B35" s="42" t="str">
        <f>January!B33</f>
        <v>Color Key</v>
      </c>
      <c r="C35" s="42"/>
      <c r="D35" s="42"/>
      <c r="E35" s="42"/>
      <c r="F35" s="43"/>
      <c r="G35" s="26" t="str">
        <f>KeyVacation</f>
        <v>V</v>
      </c>
      <c r="H35" s="39" t="str">
        <f>KeyVacationLabel</f>
        <v>Vacation</v>
      </c>
      <c r="I35" s="40"/>
      <c r="J35" s="40"/>
      <c r="K35" s="22" t="str">
        <f>KeyPersonal</f>
        <v>P</v>
      </c>
      <c r="L35" s="39" t="str">
        <f>KeyPersonalLabel</f>
        <v>Personal</v>
      </c>
      <c r="M35" s="40"/>
      <c r="N35" s="40"/>
      <c r="O35" s="23" t="str">
        <f>KeySick</f>
        <v>S</v>
      </c>
      <c r="P35" s="39" t="str">
        <f>KeySickLabel</f>
        <v>Sick</v>
      </c>
      <c r="Q35" s="40"/>
      <c r="R35" s="40"/>
      <c r="S35" s="24" t="str">
        <f>KeyCustom1</f>
        <v>H</v>
      </c>
      <c r="T35" s="39" t="str">
        <f>KeyCustom1Label</f>
        <v>Holiday</v>
      </c>
      <c r="U35" s="41"/>
      <c r="V35" s="40"/>
      <c r="W35" s="25">
        <f>KeyCustom2</f>
        <v>0</v>
      </c>
      <c r="X35" s="39" t="str">
        <f>KeyCustom2Label</f>
        <v>Custom 2</v>
      </c>
      <c r="Y35" s="40"/>
      <c r="Z35" s="41"/>
    </row>
  </sheetData>
  <mergeCells count="4">
    <mergeCell ref="A2:A3"/>
    <mergeCell ref="B2:AF2"/>
    <mergeCell ref="AG2:AG3"/>
    <mergeCell ref="A34:AG34"/>
  </mergeCells>
  <conditionalFormatting sqref="E5:E25 E27:E31 B5:D31 F5:L31 M5:AF32">
    <cfRule type="expression" priority="1" stopIfTrue="1">
      <formula>B5=""</formula>
    </cfRule>
  </conditionalFormatting>
  <conditionalFormatting sqref="E5:E25 E27:E31 B5:D31 F5:L31 M5:AF32">
    <cfRule type="expression" dxfId="72" priority="2" stopIfTrue="1">
      <formula>B5=KeyCustom2</formula>
    </cfRule>
    <cfRule type="expression" dxfId="71" priority="3" stopIfTrue="1">
      <formula>B5=KeyCustom1</formula>
    </cfRule>
    <cfRule type="expression" dxfId="70" priority="4" stopIfTrue="1">
      <formula>B5=KeySick</formula>
    </cfRule>
    <cfRule type="expression" dxfId="69" priority="5" stopIfTrue="1">
      <formula>B5=KeyPersonal</formula>
    </cfRule>
    <cfRule type="expression" dxfId="68" priority="6" stopIfTrue="1">
      <formula>B5=KeyVacation</formula>
    </cfRule>
  </conditionalFormatting>
  <conditionalFormatting sqref="AG5:AG32">
    <cfRule type="dataBar" priority="47">
      <dataBar>
        <cfvo type="min"/>
        <cfvo type="formula" val="DATEDIF(DATE(CalendarYear,2,1),DATE(CalendarYear,3,1),&quot;d&quot;)"/>
        <color theme="2" tint="-0.249977111117893"/>
      </dataBar>
      <extLst>
        <ext xmlns:x14="http://schemas.microsoft.com/office/spreadsheetml/2009/9/main" uri="{B025F937-C7B1-47D3-B67F-A62EFF666E3E}">
          <x14:id>{21200745-4ED2-4331-A492-FDEB5AAF3195}</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1200745-4ED2-4331-A492-FDEB5AAF3195}">
            <x14:dataBar minLength="0" maxLength="100">
              <x14:cfvo type="autoMin"/>
              <x14:cfvo type="formula">
                <xm:f>DATEDIF(DATE(CalendarYear,2,1),DATE(CalendarYear,3,1),"d")</xm:f>
              </x14:cfvo>
              <x14:negativeFillColor rgb="FFFF0000"/>
              <x14:axisColor rgb="FF000000"/>
            </x14:dataBar>
          </x14:cfRule>
          <xm:sqref>AG5:AG32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2"/>
    <pageSetUpPr fitToPage="1"/>
  </sheetPr>
  <dimension ref="A1:AH36"/>
  <sheetViews>
    <sheetView showGridLines="0" zoomScaleNormal="100" workbookViewId="0">
      <pane ySplit="4" topLeftCell="A26" activePane="bottomLeft" state="frozen"/>
      <selection pane="bottomLeft" activeCell="A5" sqref="A5:A33"/>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8" t="s">
        <v>50</v>
      </c>
      <c r="B2" s="76" t="s">
        <v>1</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9">
        <f>CalendarYear</f>
        <v>2015</v>
      </c>
    </row>
    <row r="3" spans="1:34" ht="15.75" customHeight="1" x14ac:dyDescent="0.25">
      <c r="A3" s="78"/>
      <c r="B3" s="28" t="str">
        <f>TEXT(WEEKDAY(DATE(CalendarYear,6,1),1),"aaa")</f>
        <v>Mon</v>
      </c>
      <c r="C3" s="29" t="str">
        <f>TEXT(WEEKDAY(DATE(CalendarYear,6,2),1),"aaa")</f>
        <v>Tue</v>
      </c>
      <c r="D3" s="29" t="str">
        <f>TEXT(WEEKDAY(DATE(CalendarYear,6,3),1),"aaa")</f>
        <v>Wed</v>
      </c>
      <c r="E3" s="29" t="str">
        <f>TEXT(WEEKDAY(DATE(CalendarYear,6,4),1),"aaa")</f>
        <v>Thu</v>
      </c>
      <c r="F3" s="29" t="str">
        <f>TEXT(WEEKDAY(DATE(CalendarYear,6,5),1),"aaa")</f>
        <v>Fri</v>
      </c>
      <c r="G3" s="29" t="str">
        <f>TEXT(WEEKDAY(DATE(CalendarYear,6,6),1),"aaa")</f>
        <v>Sat</v>
      </c>
      <c r="H3" s="29" t="str">
        <f>TEXT(WEEKDAY(DATE(CalendarYear,6,7),1),"aaa")</f>
        <v>Sun</v>
      </c>
      <c r="I3" s="29" t="str">
        <f>TEXT(WEEKDAY(DATE(CalendarYear,6,8),1),"aaa")</f>
        <v>Mon</v>
      </c>
      <c r="J3" s="29" t="str">
        <f>TEXT(WEEKDAY(DATE(CalendarYear,6,9),1),"aaa")</f>
        <v>Tue</v>
      </c>
      <c r="K3" s="29" t="str">
        <f>TEXT(WEEKDAY(DATE(CalendarYear,6,10),1),"aaa")</f>
        <v>Wed</v>
      </c>
      <c r="L3" s="29" t="str">
        <f>TEXT(WEEKDAY(DATE(CalendarYear,6,11),1),"aaa")</f>
        <v>Thu</v>
      </c>
      <c r="M3" s="29" t="str">
        <f>TEXT(WEEKDAY(DATE(CalendarYear,6,12),1),"aaa")</f>
        <v>Fri</v>
      </c>
      <c r="N3" s="29" t="str">
        <f>TEXT(WEEKDAY(DATE(CalendarYear,6,13),1),"aaa")</f>
        <v>Sat</v>
      </c>
      <c r="O3" s="29" t="str">
        <f>TEXT(WEEKDAY(DATE(CalendarYear,6,14),1),"aaa")</f>
        <v>Sun</v>
      </c>
      <c r="P3" s="29" t="str">
        <f>TEXT(WEEKDAY(DATE(CalendarYear,6,15),1),"aaa")</f>
        <v>Mon</v>
      </c>
      <c r="Q3" s="29" t="str">
        <f>TEXT(WEEKDAY(DATE(CalendarYear,6,16),1),"aaa")</f>
        <v>Tue</v>
      </c>
      <c r="R3" s="29" t="str">
        <f>TEXT(WEEKDAY(DATE(CalendarYear,6,17),1),"aaa")</f>
        <v>Wed</v>
      </c>
      <c r="S3" s="29" t="str">
        <f>TEXT(WEEKDAY(DATE(CalendarYear,6,18),1),"aaa")</f>
        <v>Thu</v>
      </c>
      <c r="T3" s="29" t="str">
        <f>TEXT(WEEKDAY(DATE(CalendarYear,6,19),1),"aaa")</f>
        <v>Fri</v>
      </c>
      <c r="U3" s="29" t="str">
        <f>TEXT(WEEKDAY(DATE(CalendarYear,6,20),1),"aaa")</f>
        <v>Sat</v>
      </c>
      <c r="V3" s="29" t="str">
        <f>TEXT(WEEKDAY(DATE(CalendarYear,6,21),1),"aaa")</f>
        <v>Sun</v>
      </c>
      <c r="W3" s="29" t="str">
        <f>TEXT(WEEKDAY(DATE(CalendarYear,6,22),1),"aaa")</f>
        <v>Mon</v>
      </c>
      <c r="X3" s="29" t="str">
        <f>TEXT(WEEKDAY(DATE(CalendarYear,6,23),1),"aaa")</f>
        <v>Tue</v>
      </c>
      <c r="Y3" s="29" t="str">
        <f>TEXT(WEEKDAY(DATE(CalendarYear,6,24),1),"aaa")</f>
        <v>Wed</v>
      </c>
      <c r="Z3" s="29" t="str">
        <f>TEXT(WEEKDAY(DATE(CalendarYear,6,25),1),"aaa")</f>
        <v>Thu</v>
      </c>
      <c r="AA3" s="29" t="str">
        <f>TEXT(WEEKDAY(DATE(CalendarYear,6,26),1),"aaa")</f>
        <v>Fri</v>
      </c>
      <c r="AB3" s="29" t="str">
        <f>TEXT(WEEKDAY(DATE(CalendarYear,6,27),1),"aaa")</f>
        <v>Sat</v>
      </c>
      <c r="AC3" s="29" t="str">
        <f>TEXT(WEEKDAY(DATE(CalendarYear,6,28),1),"aaa")</f>
        <v>Sun</v>
      </c>
      <c r="AD3" s="29" t="str">
        <f>TEXT(WEEKDAY(DATE(CalendarYear,6,29),1),"aaa")</f>
        <v>Mon</v>
      </c>
      <c r="AE3" s="29" t="str">
        <f>TEXT(WEEKDAY(DATE(CalendarYear,6,30),1),"aaa")</f>
        <v>Tue</v>
      </c>
      <c r="AF3" s="29"/>
      <c r="AG3" s="79"/>
    </row>
    <row r="4" spans="1:34" s="13" customFormat="1" x14ac:dyDescent="0.25">
      <c r="A4" s="38" t="s">
        <v>2</v>
      </c>
      <c r="B4" s="45" t="s">
        <v>3</v>
      </c>
      <c r="C4" s="45" t="s">
        <v>4</v>
      </c>
      <c r="D4" s="45" t="s">
        <v>5</v>
      </c>
      <c r="E4" s="45" t="s">
        <v>6</v>
      </c>
      <c r="F4" s="45" t="s">
        <v>7</v>
      </c>
      <c r="G4" s="45" t="s">
        <v>8</v>
      </c>
      <c r="H4" s="45" t="s">
        <v>9</v>
      </c>
      <c r="I4" s="45" t="s">
        <v>10</v>
      </c>
      <c r="J4" s="45" t="s">
        <v>11</v>
      </c>
      <c r="K4" s="45" t="s">
        <v>12</v>
      </c>
      <c r="L4" s="45" t="s">
        <v>13</v>
      </c>
      <c r="M4" s="45" t="s">
        <v>14</v>
      </c>
      <c r="N4" s="45" t="s">
        <v>15</v>
      </c>
      <c r="O4" s="45" t="s">
        <v>16</v>
      </c>
      <c r="P4" s="45" t="s">
        <v>17</v>
      </c>
      <c r="Q4" s="45" t="s">
        <v>18</v>
      </c>
      <c r="R4" s="45" t="s">
        <v>19</v>
      </c>
      <c r="S4" s="45" t="s">
        <v>20</v>
      </c>
      <c r="T4" s="45" t="s">
        <v>21</v>
      </c>
      <c r="U4" s="45" t="s">
        <v>22</v>
      </c>
      <c r="V4" s="45" t="s">
        <v>23</v>
      </c>
      <c r="W4" s="45" t="s">
        <v>24</v>
      </c>
      <c r="X4" s="45" t="s">
        <v>25</v>
      </c>
      <c r="Y4" s="45" t="s">
        <v>26</v>
      </c>
      <c r="Z4" s="45" t="s">
        <v>27</v>
      </c>
      <c r="AA4" s="45" t="s">
        <v>28</v>
      </c>
      <c r="AB4" s="45" t="s">
        <v>29</v>
      </c>
      <c r="AC4" s="45" t="s">
        <v>30</v>
      </c>
      <c r="AD4" s="17" t="s">
        <v>31</v>
      </c>
      <c r="AE4" s="45" t="s">
        <v>32</v>
      </c>
      <c r="AF4" s="45" t="s">
        <v>37</v>
      </c>
      <c r="AG4" s="45" t="s">
        <v>34</v>
      </c>
      <c r="AH4" s="12"/>
    </row>
    <row r="5" spans="1:34" s="13" customFormat="1" x14ac:dyDescent="0.25">
      <c r="A5" s="44" t="s">
        <v>60</v>
      </c>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11">
        <f>COUNTA(tblJune[[#This Row],[1]:[29]])</f>
        <v>0</v>
      </c>
      <c r="AH5" s="12"/>
    </row>
    <row r="6" spans="1:34" s="13" customFormat="1" x14ac:dyDescent="0.25">
      <c r="A6" s="44" t="s">
        <v>82</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COUNTA(tblJune[[#This Row],[1]:[29]])</f>
        <v>0</v>
      </c>
      <c r="AH6" s="12"/>
    </row>
    <row r="7" spans="1:34" s="13" customFormat="1" x14ac:dyDescent="0.25">
      <c r="A7" s="44" t="s">
        <v>58</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COUNTA(tblJune[[#This Row],[1]:[29]])</f>
        <v>0</v>
      </c>
      <c r="AH7" s="12"/>
    </row>
    <row r="8" spans="1:34" s="13" customFormat="1" x14ac:dyDescent="0.25">
      <c r="A8" s="44" t="s">
        <v>80</v>
      </c>
      <c r="B8" s="46"/>
      <c r="C8" s="46"/>
      <c r="D8" s="46"/>
      <c r="E8" s="53"/>
      <c r="F8" s="53" t="s">
        <v>36</v>
      </c>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COUNTA(tblJune[[#This Row],[1]:[29]])</f>
        <v>1</v>
      </c>
      <c r="AH8" s="12"/>
    </row>
    <row r="9" spans="1:34" s="13" customFormat="1" x14ac:dyDescent="0.25">
      <c r="A9" s="44" t="s">
        <v>63</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COUNTA(tblJune[[#This Row],[1]:[29]])</f>
        <v>0</v>
      </c>
      <c r="AH9" s="12"/>
    </row>
    <row r="10" spans="1:34" s="13" customFormat="1" x14ac:dyDescent="0.25">
      <c r="A10" s="44" t="s">
        <v>73</v>
      </c>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11">
        <f>COUNTA(tblJune[[#This Row],[1]:[29]])</f>
        <v>0</v>
      </c>
      <c r="AH10" s="12"/>
    </row>
    <row r="11" spans="1:34" s="13" customFormat="1" x14ac:dyDescent="0.25">
      <c r="A11" s="44" t="s">
        <v>74</v>
      </c>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11">
        <f>COUNTA(tblJune[[#This Row],[1]:[29]])</f>
        <v>0</v>
      </c>
      <c r="AH11" s="12"/>
    </row>
    <row r="12" spans="1:34" s="13" customFormat="1" x14ac:dyDescent="0.25">
      <c r="A12" s="44" t="s">
        <v>76</v>
      </c>
      <c r="B12" s="46"/>
      <c r="C12" s="46"/>
      <c r="D12" s="46"/>
      <c r="E12" s="46"/>
      <c r="F12" s="46"/>
      <c r="G12" s="46"/>
      <c r="H12" s="46"/>
      <c r="I12" s="46"/>
      <c r="J12" s="46"/>
      <c r="K12" s="46"/>
      <c r="L12" s="46"/>
      <c r="M12" s="46"/>
      <c r="N12" s="46"/>
      <c r="O12" s="46"/>
      <c r="P12" s="46"/>
      <c r="Q12" s="46"/>
      <c r="R12" s="46"/>
      <c r="S12" s="53" t="s">
        <v>36</v>
      </c>
      <c r="T12" s="53" t="s">
        <v>36</v>
      </c>
      <c r="U12" s="46"/>
      <c r="V12" s="46"/>
      <c r="W12" s="46"/>
      <c r="X12" s="46"/>
      <c r="Y12" s="46"/>
      <c r="Z12" s="46"/>
      <c r="AA12" s="46"/>
      <c r="AB12" s="46"/>
      <c r="AC12" s="46"/>
      <c r="AD12" s="46"/>
      <c r="AE12" s="46"/>
      <c r="AF12" s="46"/>
      <c r="AG12" s="11">
        <f>COUNTA(tblJune[[#This Row],[1]:[29]])</f>
        <v>2</v>
      </c>
      <c r="AH12" s="12"/>
    </row>
    <row r="13" spans="1:34" s="13" customFormat="1" x14ac:dyDescent="0.25">
      <c r="A13" s="44" t="s">
        <v>71</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11">
        <f>COUNTA(tblJune[[#This Row],[1]:[29]])</f>
        <v>0</v>
      </c>
      <c r="AH13" s="12"/>
    </row>
    <row r="14" spans="1:34" s="13" customFormat="1" x14ac:dyDescent="0.25">
      <c r="A14" s="44" t="s">
        <v>78</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11">
        <f>COUNTA(tblJune[[#This Row],[1]:[29]])</f>
        <v>0</v>
      </c>
      <c r="AH14" s="12"/>
    </row>
    <row r="15" spans="1:34" s="13" customFormat="1" x14ac:dyDescent="0.25">
      <c r="A15" s="44" t="s">
        <v>81</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11">
        <f>COUNTA(tblJune[[#This Row],[1]:[29]])</f>
        <v>0</v>
      </c>
      <c r="AH15" s="12"/>
    </row>
    <row r="16" spans="1:34" s="13" customFormat="1" x14ac:dyDescent="0.25">
      <c r="A16" s="44" t="s">
        <v>69</v>
      </c>
      <c r="B16" s="46"/>
      <c r="C16" s="53" t="s">
        <v>35</v>
      </c>
      <c r="D16" s="46"/>
      <c r="E16" s="46"/>
      <c r="F16" s="46"/>
      <c r="G16" s="46"/>
      <c r="H16" s="46"/>
      <c r="I16" s="46"/>
      <c r="J16" s="46"/>
      <c r="K16" s="46"/>
      <c r="L16" s="46"/>
      <c r="M16" s="46"/>
      <c r="N16" s="46"/>
      <c r="O16" s="46"/>
      <c r="P16" s="46"/>
      <c r="Q16" s="46"/>
      <c r="R16" s="46"/>
      <c r="S16" s="46"/>
      <c r="T16" s="46"/>
      <c r="U16" s="46"/>
      <c r="V16" s="46"/>
      <c r="W16" s="46"/>
      <c r="X16" s="46"/>
      <c r="Y16" s="46"/>
      <c r="Z16" s="53" t="s">
        <v>36</v>
      </c>
      <c r="AA16" s="53" t="s">
        <v>36</v>
      </c>
      <c r="AB16" s="46"/>
      <c r="AC16" s="46"/>
      <c r="AD16" s="46"/>
      <c r="AE16" s="46"/>
      <c r="AF16" s="46"/>
      <c r="AG16" s="11">
        <f>COUNTA(tblJune[[#This Row],[1]:[29]])</f>
        <v>3</v>
      </c>
      <c r="AH16" s="12"/>
    </row>
    <row r="17" spans="1:34" s="13" customFormat="1" x14ac:dyDescent="0.25">
      <c r="A17" s="44" t="s">
        <v>66</v>
      </c>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11">
        <f>COUNTA(tblJune[[#This Row],[1]:[29]])</f>
        <v>0</v>
      </c>
      <c r="AH17" s="12"/>
    </row>
    <row r="18" spans="1:34" s="13" customFormat="1" x14ac:dyDescent="0.25">
      <c r="A18" s="55" t="s">
        <v>89</v>
      </c>
      <c r="B18" s="56"/>
      <c r="C18" s="56"/>
      <c r="D18" s="56"/>
      <c r="E18" s="56"/>
      <c r="F18" s="56"/>
      <c r="G18" s="56"/>
      <c r="H18" s="56"/>
      <c r="I18" s="56"/>
      <c r="J18" s="56"/>
      <c r="K18" s="53" t="s">
        <v>36</v>
      </c>
      <c r="L18" s="53" t="s">
        <v>36</v>
      </c>
      <c r="M18" s="53" t="s">
        <v>36</v>
      </c>
      <c r="N18" s="56"/>
      <c r="O18" s="56"/>
      <c r="P18" s="53" t="s">
        <v>36</v>
      </c>
      <c r="Q18" s="53"/>
      <c r="R18" s="56"/>
      <c r="S18" s="56"/>
      <c r="T18" s="56"/>
      <c r="U18" s="56"/>
      <c r="V18" s="56"/>
      <c r="W18" s="56"/>
      <c r="X18" s="56"/>
      <c r="Y18" s="56"/>
      <c r="Z18" s="56"/>
      <c r="AA18" s="56"/>
      <c r="AB18" s="56"/>
      <c r="AC18" s="56"/>
      <c r="AD18" s="56"/>
      <c r="AE18" s="56"/>
      <c r="AF18" s="56"/>
      <c r="AG18" s="11">
        <f>COUNTA(tblJune[[#This Row],[1]:[29]])</f>
        <v>4</v>
      </c>
      <c r="AH18" s="12"/>
    </row>
    <row r="19" spans="1:34" s="13" customFormat="1" x14ac:dyDescent="0.25">
      <c r="A19" s="44" t="s">
        <v>79</v>
      </c>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11">
        <f>COUNTA(tblJune[[#This Row],[1]:[29]])</f>
        <v>0</v>
      </c>
      <c r="AH19" s="12"/>
    </row>
    <row r="20" spans="1:34" s="13" customFormat="1" x14ac:dyDescent="0.25">
      <c r="A20" s="44" t="s">
        <v>68</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11">
        <f>COUNTA(tblJune[[#This Row],[1]:[29]])</f>
        <v>0</v>
      </c>
      <c r="AH20" s="12"/>
    </row>
    <row r="21" spans="1:34" s="13" customFormat="1" x14ac:dyDescent="0.25">
      <c r="A21" s="44" t="s">
        <v>65</v>
      </c>
      <c r="B21" s="46"/>
      <c r="C21" s="46"/>
      <c r="D21" s="53" t="s">
        <v>36</v>
      </c>
      <c r="E21" s="46"/>
      <c r="F21" s="46"/>
      <c r="G21" s="46"/>
      <c r="H21" s="46"/>
      <c r="I21" s="46"/>
      <c r="J21" s="46"/>
      <c r="K21" s="46"/>
      <c r="L21" s="46"/>
      <c r="M21" s="46"/>
      <c r="N21" s="46"/>
      <c r="O21" s="46"/>
      <c r="P21" s="46"/>
      <c r="Q21" s="46"/>
      <c r="R21" s="46"/>
      <c r="S21" s="46"/>
      <c r="T21" s="46"/>
      <c r="U21" s="46"/>
      <c r="V21" s="46"/>
      <c r="W21" s="46"/>
      <c r="X21" s="53" t="s">
        <v>36</v>
      </c>
      <c r="Y21" s="46"/>
      <c r="Z21" s="46"/>
      <c r="AA21" s="46"/>
      <c r="AB21" s="46"/>
      <c r="AC21" s="46"/>
      <c r="AD21" s="46"/>
      <c r="AE21" s="46"/>
      <c r="AF21" s="46"/>
      <c r="AG21" s="11">
        <f>COUNTA(tblJune[[#This Row],[1]:[29]])</f>
        <v>2</v>
      </c>
      <c r="AH21" s="12"/>
    </row>
    <row r="22" spans="1:34" s="13" customFormat="1" x14ac:dyDescent="0.25">
      <c r="A22" s="44" t="s">
        <v>67</v>
      </c>
      <c r="B22" s="46"/>
      <c r="C22" s="46"/>
      <c r="D22" s="46"/>
      <c r="E22" s="53" t="s">
        <v>36</v>
      </c>
      <c r="F22" s="46"/>
      <c r="G22" s="46"/>
      <c r="H22" s="46"/>
      <c r="I22" s="53" t="s">
        <v>36</v>
      </c>
      <c r="J22" s="46"/>
      <c r="K22" s="46"/>
      <c r="L22" s="46"/>
      <c r="M22" s="46"/>
      <c r="N22" s="46"/>
      <c r="O22" s="46"/>
      <c r="P22" s="46"/>
      <c r="Q22" s="46"/>
      <c r="R22" s="46"/>
      <c r="S22" s="46"/>
      <c r="T22" s="46"/>
      <c r="U22" s="46"/>
      <c r="V22" s="46"/>
      <c r="W22" s="46"/>
      <c r="X22" s="46"/>
      <c r="Y22" s="46"/>
      <c r="Z22" s="53" t="s">
        <v>36</v>
      </c>
      <c r="AA22" s="46"/>
      <c r="AB22" s="46"/>
      <c r="AC22" s="46"/>
      <c r="AD22" s="46"/>
      <c r="AE22" s="46"/>
      <c r="AF22" s="46"/>
      <c r="AG22" s="11">
        <f>COUNTA(tblJune[[#This Row],[1]:[29]])</f>
        <v>3</v>
      </c>
      <c r="AH22" s="12"/>
    </row>
    <row r="23" spans="1:34" s="13" customFormat="1" x14ac:dyDescent="0.25">
      <c r="A23" s="44" t="s">
        <v>64</v>
      </c>
      <c r="B23" s="46"/>
      <c r="C23" s="46"/>
      <c r="D23" s="46"/>
      <c r="E23" s="46"/>
      <c r="F23" s="46"/>
      <c r="G23" s="46"/>
      <c r="H23" s="46"/>
      <c r="I23" s="46"/>
      <c r="J23" s="46"/>
      <c r="K23" s="46"/>
      <c r="L23" s="46"/>
      <c r="M23" s="53" t="s">
        <v>36</v>
      </c>
      <c r="N23" s="46"/>
      <c r="O23" s="46"/>
      <c r="P23" s="46"/>
      <c r="Q23" s="46"/>
      <c r="R23" s="46"/>
      <c r="S23" s="46"/>
      <c r="T23" s="46"/>
      <c r="U23" s="46"/>
      <c r="V23" s="46"/>
      <c r="W23" s="46"/>
      <c r="X23" s="46"/>
      <c r="Y23" s="46"/>
      <c r="Z23" s="46"/>
      <c r="AA23" s="46"/>
      <c r="AB23" s="46"/>
      <c r="AC23" s="46"/>
      <c r="AD23" s="46"/>
      <c r="AE23" s="46"/>
      <c r="AF23" s="46"/>
      <c r="AG23" s="11">
        <f>COUNTA(tblJune[[#This Row],[1]:[29]])</f>
        <v>1</v>
      </c>
      <c r="AH23" s="12"/>
    </row>
    <row r="24" spans="1:34" s="13" customFormat="1" x14ac:dyDescent="0.25">
      <c r="A24" s="44" t="s">
        <v>61</v>
      </c>
      <c r="B24" s="46"/>
      <c r="C24" s="46"/>
      <c r="D24" s="46"/>
      <c r="E24" s="46"/>
      <c r="F24" s="46"/>
      <c r="G24" s="46"/>
      <c r="H24" s="46"/>
      <c r="I24" s="46"/>
      <c r="J24" s="46"/>
      <c r="K24" s="46"/>
      <c r="L24" s="46"/>
      <c r="M24" s="46"/>
      <c r="N24" s="46"/>
      <c r="O24" s="46"/>
      <c r="P24" s="46"/>
      <c r="Q24" s="46"/>
      <c r="R24" s="53" t="s">
        <v>36</v>
      </c>
      <c r="S24" s="46"/>
      <c r="T24" s="46"/>
      <c r="U24" s="46"/>
      <c r="V24" s="46"/>
      <c r="W24" s="46"/>
      <c r="X24" s="46"/>
      <c r="Y24" s="46"/>
      <c r="Z24" s="46"/>
      <c r="AA24" s="46"/>
      <c r="AB24" s="46"/>
      <c r="AC24" s="46"/>
      <c r="AD24" s="46"/>
      <c r="AE24" s="46"/>
      <c r="AF24" s="46"/>
      <c r="AG24" s="11">
        <f>COUNTA(tblJune[[#This Row],[1]:[29]])</f>
        <v>1</v>
      </c>
      <c r="AH24" s="12"/>
    </row>
    <row r="25" spans="1:34" s="13" customFormat="1" x14ac:dyDescent="0.25">
      <c r="A25" s="44" t="s">
        <v>57</v>
      </c>
      <c r="B25" s="46"/>
      <c r="C25" s="46"/>
      <c r="D25" s="53"/>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11">
        <f>COUNTA(tblJune[[#This Row],[1]:[29]])</f>
        <v>0</v>
      </c>
      <c r="AH25" s="12"/>
    </row>
    <row r="26" spans="1:34" s="13" customFormat="1" x14ac:dyDescent="0.25">
      <c r="A26" s="44" t="s">
        <v>77</v>
      </c>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11">
        <f>COUNTA(tblJune[[#This Row],[1]:[29]])</f>
        <v>0</v>
      </c>
      <c r="AH26" s="12"/>
    </row>
    <row r="27" spans="1:34" s="13" customFormat="1" x14ac:dyDescent="0.25">
      <c r="A27" s="44" t="s">
        <v>75</v>
      </c>
      <c r="B27" s="46"/>
      <c r="C27" s="46"/>
      <c r="D27" s="46"/>
      <c r="E27" s="46"/>
      <c r="F27" s="46"/>
      <c r="G27" s="46"/>
      <c r="H27" s="46"/>
      <c r="I27" s="46"/>
      <c r="J27" s="46"/>
      <c r="K27" s="46"/>
      <c r="L27" s="46"/>
      <c r="M27" s="46"/>
      <c r="N27" s="46"/>
      <c r="O27" s="46"/>
      <c r="P27" s="46"/>
      <c r="Q27" s="46"/>
      <c r="R27" s="53"/>
      <c r="S27" s="46"/>
      <c r="T27" s="46"/>
      <c r="U27" s="46"/>
      <c r="V27" s="46"/>
      <c r="W27" s="46"/>
      <c r="X27" s="46"/>
      <c r="Y27" s="46"/>
      <c r="Z27" s="46"/>
      <c r="AA27" s="46"/>
      <c r="AB27" s="46"/>
      <c r="AC27" s="46"/>
      <c r="AD27" s="46"/>
      <c r="AE27" s="46"/>
      <c r="AF27" s="46"/>
      <c r="AG27" s="11">
        <f>COUNTA(tblJune[[#This Row],[1]:[29]])</f>
        <v>0</v>
      </c>
      <c r="AH27" s="12"/>
    </row>
    <row r="28" spans="1:34" s="13" customFormat="1" x14ac:dyDescent="0.25">
      <c r="A28" s="44" t="s">
        <v>62</v>
      </c>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53" t="s">
        <v>36</v>
      </c>
      <c r="AE28" s="53" t="s">
        <v>36</v>
      </c>
      <c r="AF28" s="46"/>
      <c r="AG28" s="11">
        <f>COUNTA(tblJune[[#This Row],[1]:[29]])</f>
        <v>1</v>
      </c>
      <c r="AH28" s="12"/>
    </row>
    <row r="29" spans="1:34" s="13" customFormat="1" x14ac:dyDescent="0.25">
      <c r="A29" s="44" t="s">
        <v>72</v>
      </c>
      <c r="B29" s="46"/>
      <c r="C29" s="46"/>
      <c r="D29" s="53" t="s">
        <v>36</v>
      </c>
      <c r="E29" s="53" t="s">
        <v>36</v>
      </c>
      <c r="F29" s="53" t="s">
        <v>36</v>
      </c>
      <c r="G29" s="46"/>
      <c r="H29" s="46"/>
      <c r="I29" s="46"/>
      <c r="J29" s="46"/>
      <c r="K29" s="46"/>
      <c r="L29" s="46"/>
      <c r="M29" s="46"/>
      <c r="N29" s="46"/>
      <c r="O29" s="46"/>
      <c r="P29" s="53" t="s">
        <v>36</v>
      </c>
      <c r="Q29" s="53"/>
      <c r="R29" s="46"/>
      <c r="S29" s="46"/>
      <c r="T29" s="46"/>
      <c r="U29" s="46"/>
      <c r="V29" s="46"/>
      <c r="W29" s="46"/>
      <c r="X29" s="46"/>
      <c r="Y29" s="46"/>
      <c r="Z29" s="46"/>
      <c r="AA29" s="46"/>
      <c r="AB29" s="46"/>
      <c r="AC29" s="46"/>
      <c r="AD29" s="46"/>
      <c r="AE29" s="46"/>
      <c r="AF29" s="46"/>
      <c r="AG29" s="11">
        <f>COUNTA(tblJune[[#This Row],[1]:[29]])</f>
        <v>4</v>
      </c>
      <c r="AH29" s="12"/>
    </row>
    <row r="30" spans="1:34" s="13" customFormat="1" x14ac:dyDescent="0.25">
      <c r="A30" s="44" t="s">
        <v>70</v>
      </c>
      <c r="B30" s="46"/>
      <c r="C30" s="46"/>
      <c r="D30" s="46"/>
      <c r="E30" s="46"/>
      <c r="F30" s="46"/>
      <c r="G30" s="46"/>
      <c r="H30" s="46"/>
      <c r="I30" s="46"/>
      <c r="J30" s="46"/>
      <c r="K30" s="53"/>
      <c r="L30" s="53"/>
      <c r="M30" s="53"/>
      <c r="N30" s="53"/>
      <c r="O30" s="53"/>
      <c r="P30" s="53"/>
      <c r="Q30" s="53" t="s">
        <v>36</v>
      </c>
      <c r="R30" s="53" t="s">
        <v>36</v>
      </c>
      <c r="S30" s="53" t="s">
        <v>36</v>
      </c>
      <c r="T30" s="53" t="s">
        <v>36</v>
      </c>
      <c r="U30" s="46"/>
      <c r="V30" s="46"/>
      <c r="W30" s="53" t="s">
        <v>36</v>
      </c>
      <c r="X30" s="46"/>
      <c r="Y30" s="46"/>
      <c r="Z30" s="46"/>
      <c r="AA30" s="46"/>
      <c r="AB30" s="46"/>
      <c r="AC30" s="46"/>
      <c r="AD30" s="46"/>
      <c r="AE30" s="46"/>
      <c r="AF30" s="46"/>
      <c r="AG30" s="11">
        <f>COUNTA(tblJune[[#This Row],[1]:[29]])</f>
        <v>5</v>
      </c>
      <c r="AH30" s="12"/>
    </row>
    <row r="31" spans="1:34" s="13" customFormat="1" x14ac:dyDescent="0.25">
      <c r="A31" s="55" t="s">
        <v>90</v>
      </c>
      <c r="B31" s="57"/>
      <c r="C31" s="57"/>
      <c r="D31" s="57"/>
      <c r="E31" s="57"/>
      <c r="F31" s="57"/>
      <c r="G31" s="57"/>
      <c r="H31" s="57"/>
      <c r="I31" s="57"/>
      <c r="J31" s="57"/>
      <c r="K31" s="57"/>
      <c r="L31" s="57"/>
      <c r="M31" s="57"/>
      <c r="N31" s="57"/>
      <c r="O31" s="57"/>
      <c r="P31" s="57"/>
      <c r="Q31" s="57"/>
      <c r="R31" s="57"/>
      <c r="S31" s="57"/>
      <c r="T31" s="57"/>
      <c r="U31" s="57"/>
      <c r="V31" s="57"/>
      <c r="W31" s="57"/>
      <c r="X31" s="57"/>
      <c r="Y31" s="53" t="s">
        <v>36</v>
      </c>
      <c r="Z31" s="57"/>
      <c r="AA31" s="57"/>
      <c r="AB31" s="57"/>
      <c r="AC31" s="57"/>
      <c r="AD31" s="57"/>
      <c r="AE31" s="57"/>
      <c r="AF31" s="57"/>
      <c r="AG31" s="11">
        <f>COUNTA(tblJune[[#This Row],[1]:[29]])</f>
        <v>1</v>
      </c>
      <c r="AH31" s="12"/>
    </row>
    <row r="32" spans="1:34" s="13" customFormat="1" x14ac:dyDescent="0.25">
      <c r="A32" s="55" t="s">
        <v>91</v>
      </c>
      <c r="B32" s="60"/>
      <c r="C32" s="60"/>
      <c r="D32" s="60"/>
      <c r="E32" s="60"/>
      <c r="F32" s="60"/>
      <c r="G32" s="60"/>
      <c r="H32" s="60"/>
      <c r="I32" s="60"/>
      <c r="J32" s="60"/>
      <c r="K32" s="60"/>
      <c r="L32" s="60"/>
      <c r="M32" s="60"/>
      <c r="N32" s="60"/>
      <c r="O32" s="60"/>
      <c r="P32" s="60"/>
      <c r="Q32" s="60"/>
      <c r="R32" s="60" t="s">
        <v>36</v>
      </c>
      <c r="S32" s="60" t="s">
        <v>36</v>
      </c>
      <c r="T32" s="60" t="s">
        <v>36</v>
      </c>
      <c r="U32" s="60"/>
      <c r="V32" s="60"/>
      <c r="W32" s="60"/>
      <c r="X32" s="60"/>
      <c r="Y32" s="58"/>
      <c r="Z32" s="60"/>
      <c r="AA32" s="60"/>
      <c r="AB32" s="60"/>
      <c r="AC32" s="60"/>
      <c r="AD32" s="60"/>
      <c r="AE32" s="60"/>
      <c r="AF32" s="60"/>
      <c r="AG32" s="11">
        <f>COUNTA(tblJune[[#This Row],[1]:[29]])</f>
        <v>3</v>
      </c>
      <c r="AH32" s="12"/>
    </row>
    <row r="33" spans="1:34" s="13" customFormat="1" x14ac:dyDescent="0.25">
      <c r="A33" s="55" t="s">
        <v>92</v>
      </c>
      <c r="B33" s="60"/>
      <c r="C33" s="60"/>
      <c r="D33" s="60"/>
      <c r="E33" s="60"/>
      <c r="F33" s="60"/>
      <c r="G33" s="60"/>
      <c r="H33" s="60"/>
      <c r="I33" s="60"/>
      <c r="J33" s="60"/>
      <c r="K33" s="60"/>
      <c r="L33" s="60"/>
      <c r="M33" s="60"/>
      <c r="N33" s="60"/>
      <c r="O33" s="60"/>
      <c r="P33" s="60"/>
      <c r="Q33" s="60"/>
      <c r="R33" s="60"/>
      <c r="S33" s="60"/>
      <c r="T33" s="60"/>
      <c r="U33" s="60"/>
      <c r="V33" s="60"/>
      <c r="W33" s="60"/>
      <c r="X33" s="60"/>
      <c r="Y33" s="59"/>
      <c r="Z33" s="60"/>
      <c r="AA33" s="60" t="s">
        <v>36</v>
      </c>
      <c r="AB33" s="60"/>
      <c r="AC33" s="60"/>
      <c r="AD33" s="60"/>
      <c r="AE33" s="60"/>
      <c r="AF33" s="60"/>
      <c r="AG33" s="11">
        <f>COUNTA(tblJune[[#This Row],[1]:[29]])</f>
        <v>1</v>
      </c>
      <c r="AH33" s="12"/>
    </row>
    <row r="34" spans="1:34" ht="15" customHeight="1" x14ac:dyDescent="0.25">
      <c r="A34" s="61" t="str">
        <f>MonthName&amp;" Total"</f>
        <v>June Total</v>
      </c>
      <c r="B34" s="62">
        <f>SUBTOTAL(103,tblJune[1])</f>
        <v>0</v>
      </c>
      <c r="C34" s="62">
        <f>SUBTOTAL(103,tblJune[2])</f>
        <v>1</v>
      </c>
      <c r="D34" s="62">
        <f>SUBTOTAL(103,tblJune[3])</f>
        <v>2</v>
      </c>
      <c r="E34" s="62">
        <f>SUBTOTAL(103,tblJune[4])</f>
        <v>2</v>
      </c>
      <c r="F34" s="62">
        <f>SUBTOTAL(103,tblJune[5])</f>
        <v>2</v>
      </c>
      <c r="G34" s="62">
        <f>SUBTOTAL(103,tblJune[6])</f>
        <v>0</v>
      </c>
      <c r="H34" s="62">
        <f>SUBTOTAL(103,tblJune[7])</f>
        <v>0</v>
      </c>
      <c r="I34" s="62">
        <f>SUBTOTAL(103,tblJune[8])</f>
        <v>1</v>
      </c>
      <c r="J34" s="62">
        <f>SUBTOTAL(103,tblJune[9])</f>
        <v>0</v>
      </c>
      <c r="K34" s="62">
        <f>SUBTOTAL(103,tblJune[10])</f>
        <v>1</v>
      </c>
      <c r="L34" s="62">
        <f>SUBTOTAL(103,tblJune[11])</f>
        <v>1</v>
      </c>
      <c r="M34" s="62">
        <f>SUBTOTAL(103,tblJune[12])</f>
        <v>2</v>
      </c>
      <c r="N34" s="62">
        <f>SUBTOTAL(103,tblJune[13])</f>
        <v>0</v>
      </c>
      <c r="O34" s="62">
        <f>SUBTOTAL(103,tblJune[14])</f>
        <v>0</v>
      </c>
      <c r="P34" s="62">
        <f>SUBTOTAL(103,tblJune[15])</f>
        <v>2</v>
      </c>
      <c r="Q34" s="62">
        <f>SUBTOTAL(103,tblJune[16])</f>
        <v>1</v>
      </c>
      <c r="R34" s="62">
        <f>SUBTOTAL(103,tblJune[17])</f>
        <v>3</v>
      </c>
      <c r="S34" s="62">
        <f>SUBTOTAL(103,tblJune[18])</f>
        <v>3</v>
      </c>
      <c r="T34" s="62">
        <f>SUBTOTAL(103,tblJune[19])</f>
        <v>3</v>
      </c>
      <c r="U34" s="62">
        <f>SUBTOTAL(103,tblJune[20])</f>
        <v>0</v>
      </c>
      <c r="V34" s="62">
        <f>SUBTOTAL(103,tblJune[21])</f>
        <v>0</v>
      </c>
      <c r="W34" s="62">
        <f>SUBTOTAL(103,tblJune[22])</f>
        <v>1</v>
      </c>
      <c r="X34" s="62">
        <f>SUBTOTAL(103,tblJune[23])</f>
        <v>1</v>
      </c>
      <c r="Y34" s="62">
        <f>SUBTOTAL(103,tblJune[24])</f>
        <v>1</v>
      </c>
      <c r="Z34" s="62">
        <f>SUBTOTAL(103,tblJune[25])</f>
        <v>2</v>
      </c>
      <c r="AA34" s="62">
        <f>SUBTOTAL(103,tblJune[26])</f>
        <v>2</v>
      </c>
      <c r="AB34" s="62">
        <f>SUBTOTAL(103,tblJune[27])</f>
        <v>0</v>
      </c>
      <c r="AC34" s="62">
        <f>SUBTOTAL(103,tblJune[28])</f>
        <v>0</v>
      </c>
      <c r="AD34" s="62">
        <f>SUBTOTAL(103,tblJune[29])</f>
        <v>1</v>
      </c>
      <c r="AE34" s="62"/>
      <c r="AF34" s="62"/>
      <c r="AG34" s="62">
        <f>SUBTOTAL(109,tblJune[Total Days])</f>
        <v>32</v>
      </c>
    </row>
    <row r="35" spans="1:34" ht="15" customHeight="1" x14ac:dyDescent="0.25">
      <c r="A35" s="80"/>
      <c r="B35" s="80"/>
      <c r="C35" s="80"/>
      <c r="D35" s="80"/>
      <c r="E35" s="80"/>
      <c r="F35" s="80"/>
      <c r="G35" s="80"/>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row>
    <row r="36" spans="1:34" ht="15" customHeight="1" x14ac:dyDescent="0.25">
      <c r="A36"/>
      <c r="B36" s="42" t="str">
        <f>January!B33</f>
        <v>Color Key</v>
      </c>
      <c r="C36" s="42"/>
      <c r="D36" s="42"/>
      <c r="E36" s="42"/>
      <c r="F36" s="43"/>
      <c r="G36" s="26" t="str">
        <f>KeyVacation</f>
        <v>V</v>
      </c>
      <c r="H36" s="39" t="str">
        <f>KeyVacationLabel</f>
        <v>Vacation</v>
      </c>
      <c r="I36" s="40"/>
      <c r="J36" s="40"/>
      <c r="K36" s="22" t="str">
        <f>KeyPersonal</f>
        <v>P</v>
      </c>
      <c r="L36" s="39" t="str">
        <f>KeyPersonalLabel</f>
        <v>Personal</v>
      </c>
      <c r="M36" s="40"/>
      <c r="N36" s="40"/>
      <c r="O36" s="23" t="str">
        <f>KeySick</f>
        <v>S</v>
      </c>
      <c r="P36" s="39" t="str">
        <f>KeySickLabel</f>
        <v>Sick</v>
      </c>
      <c r="Q36" s="40"/>
      <c r="R36" s="40"/>
      <c r="S36" s="24" t="str">
        <f>KeyCustom1</f>
        <v>H</v>
      </c>
      <c r="T36" s="39" t="str">
        <f>KeyCustom1Label</f>
        <v>Holiday</v>
      </c>
      <c r="U36" s="41"/>
      <c r="V36" s="40"/>
      <c r="W36" s="25">
        <f>KeyCustom2</f>
        <v>0</v>
      </c>
      <c r="X36" s="39" t="str">
        <f>KeyCustom2Label</f>
        <v>Custom 2</v>
      </c>
      <c r="Y36" s="40"/>
      <c r="Z36" s="41"/>
    </row>
  </sheetData>
  <mergeCells count="4">
    <mergeCell ref="A2:A3"/>
    <mergeCell ref="B2:AF2"/>
    <mergeCell ref="AG2:AG3"/>
    <mergeCell ref="A35:AG35"/>
  </mergeCells>
  <conditionalFormatting sqref="B5:AF33">
    <cfRule type="expression" priority="1" stopIfTrue="1">
      <formula>B5=""</formula>
    </cfRule>
  </conditionalFormatting>
  <conditionalFormatting sqref="B5:AF33">
    <cfRule type="expression" dxfId="67" priority="2" stopIfTrue="1">
      <formula>B5=KeyCustom2</formula>
    </cfRule>
    <cfRule type="expression" dxfId="66" priority="3" stopIfTrue="1">
      <formula>B5=KeyCustom1</formula>
    </cfRule>
    <cfRule type="expression" dxfId="65" priority="4" stopIfTrue="1">
      <formula>B5=KeySick</formula>
    </cfRule>
    <cfRule type="expression" dxfId="64" priority="5" stopIfTrue="1">
      <formula>B5=KeyPersonal</formula>
    </cfRule>
    <cfRule type="expression" dxfId="63" priority="6" stopIfTrue="1">
      <formula>B5=KeyVacation</formula>
    </cfRule>
  </conditionalFormatting>
  <conditionalFormatting sqref="AG5:AG33">
    <cfRule type="dataBar" priority="53">
      <dataBar>
        <cfvo type="min"/>
        <cfvo type="formula" val="DATEDIF(DATE(CalendarYear,2,1),DATE(CalendarYear,3,1),&quot;d&quot;)"/>
        <color theme="2" tint="-0.249977111117893"/>
      </dataBar>
      <extLst>
        <ext xmlns:x14="http://schemas.microsoft.com/office/spreadsheetml/2009/9/main" uri="{B025F937-C7B1-47D3-B67F-A62EFF666E3E}">
          <x14:id>{FA2C5745-D9F6-46CB-8A63-694F9E52E516}</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A2C5745-D9F6-46CB-8A63-694F9E52E516}">
            <x14:dataBar minLength="0" maxLength="100">
              <x14:cfvo type="autoMin"/>
              <x14:cfvo type="formula">
                <xm:f>DATEDIF(DATE(CalendarYear,2,1),DATE(CalendarYear,3,1),"d")</xm:f>
              </x14:cfvo>
              <x14:negativeFillColor rgb="FFFF0000"/>
              <x14:axisColor rgb="FF000000"/>
            </x14:dataBar>
          </x14:cfRule>
          <xm:sqref>AG5:AG33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2" tint="-0.89999084444715716"/>
    <pageSetUpPr fitToPage="1"/>
  </sheetPr>
  <dimension ref="A1:AH39"/>
  <sheetViews>
    <sheetView showGridLines="0" zoomScaleNormal="100" workbookViewId="0">
      <pane ySplit="4" topLeftCell="A29" activePane="bottomLeft" state="frozen"/>
      <selection pane="bottomLeft" activeCell="Z36" sqref="Z36"/>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8" t="s">
        <v>51</v>
      </c>
      <c r="B2" s="76" t="s">
        <v>1</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9">
        <f>CalendarYear</f>
        <v>2015</v>
      </c>
    </row>
    <row r="3" spans="1:34" ht="15.75" customHeight="1" x14ac:dyDescent="0.25">
      <c r="A3" s="78"/>
      <c r="B3" s="28" t="str">
        <f>TEXT(WEEKDAY(DATE(CalendarYear,7,1),1),"aaa")</f>
        <v>Wed</v>
      </c>
      <c r="C3" s="29" t="str">
        <f>TEXT(WEEKDAY(DATE(CalendarYear,7,2),1),"aaa")</f>
        <v>Thu</v>
      </c>
      <c r="D3" s="29" t="str">
        <f>TEXT(WEEKDAY(DATE(CalendarYear,7,3),1),"aaa")</f>
        <v>Fri</v>
      </c>
      <c r="E3" s="29" t="str">
        <f>TEXT(WEEKDAY(DATE(CalendarYear,7,4),1),"aaa")</f>
        <v>Sat</v>
      </c>
      <c r="F3" s="29" t="str">
        <f>TEXT(WEEKDAY(DATE(CalendarYear,7,5),1),"aaa")</f>
        <v>Sun</v>
      </c>
      <c r="G3" s="29" t="str">
        <f>TEXT(WEEKDAY(DATE(CalendarYear,7,6),1),"aaa")</f>
        <v>Mon</v>
      </c>
      <c r="H3" s="29" t="str">
        <f>TEXT(WEEKDAY(DATE(CalendarYear,7,7),1),"aaa")</f>
        <v>Tue</v>
      </c>
      <c r="I3" s="29" t="str">
        <f>TEXT(WEEKDAY(DATE(CalendarYear,7,8),1),"aaa")</f>
        <v>Wed</v>
      </c>
      <c r="J3" s="29" t="str">
        <f>TEXT(WEEKDAY(DATE(CalendarYear,7,9),1),"aaa")</f>
        <v>Thu</v>
      </c>
      <c r="K3" s="29" t="str">
        <f>TEXT(WEEKDAY(DATE(CalendarYear,7,10),1),"aaa")</f>
        <v>Fri</v>
      </c>
      <c r="L3" s="29" t="str">
        <f>TEXT(WEEKDAY(DATE(CalendarYear,7,11),1),"aaa")</f>
        <v>Sat</v>
      </c>
      <c r="M3" s="29" t="str">
        <f>TEXT(WEEKDAY(DATE(CalendarYear,7,12),1),"aaa")</f>
        <v>Sun</v>
      </c>
      <c r="N3" s="29" t="str">
        <f>TEXT(WEEKDAY(DATE(CalendarYear,7,13),1),"aaa")</f>
        <v>Mon</v>
      </c>
      <c r="O3" s="29" t="str">
        <f>TEXT(WEEKDAY(DATE(CalendarYear,7,14),1),"aaa")</f>
        <v>Tue</v>
      </c>
      <c r="P3" s="29" t="str">
        <f>TEXT(WEEKDAY(DATE(CalendarYear,7,15),1),"aaa")</f>
        <v>Wed</v>
      </c>
      <c r="Q3" s="29" t="str">
        <f>TEXT(WEEKDAY(DATE(CalendarYear,7,16),1),"aaa")</f>
        <v>Thu</v>
      </c>
      <c r="R3" s="29" t="str">
        <f>TEXT(WEEKDAY(DATE(CalendarYear,7,17),1),"aaa")</f>
        <v>Fri</v>
      </c>
      <c r="S3" s="29" t="str">
        <f>TEXT(WEEKDAY(DATE(CalendarYear,7,18),1),"aaa")</f>
        <v>Sat</v>
      </c>
      <c r="T3" s="29" t="str">
        <f>TEXT(WEEKDAY(DATE(CalendarYear,7,19),1),"aaa")</f>
        <v>Sun</v>
      </c>
      <c r="U3" s="29" t="str">
        <f>TEXT(WEEKDAY(DATE(CalendarYear,7,20),1),"aaa")</f>
        <v>Mon</v>
      </c>
      <c r="V3" s="29" t="str">
        <f>TEXT(WEEKDAY(DATE(CalendarYear,7,21),1),"aaa")</f>
        <v>Tue</v>
      </c>
      <c r="W3" s="29" t="str">
        <f>TEXT(WEEKDAY(DATE(CalendarYear,7,22),1),"aaa")</f>
        <v>Wed</v>
      </c>
      <c r="X3" s="29" t="str">
        <f>TEXT(WEEKDAY(DATE(CalendarYear,7,23),1),"aaa")</f>
        <v>Thu</v>
      </c>
      <c r="Y3" s="29" t="str">
        <f>TEXT(WEEKDAY(DATE(CalendarYear,7,24),1),"aaa")</f>
        <v>Fri</v>
      </c>
      <c r="Z3" s="29" t="str">
        <f>TEXT(WEEKDAY(DATE(CalendarYear,7,25),1),"aaa")</f>
        <v>Sat</v>
      </c>
      <c r="AA3" s="29" t="str">
        <f>TEXT(WEEKDAY(DATE(CalendarYear,7,26),1),"aaa")</f>
        <v>Sun</v>
      </c>
      <c r="AB3" s="29" t="str">
        <f>TEXT(WEEKDAY(DATE(CalendarYear,7,27),1),"aaa")</f>
        <v>Mon</v>
      </c>
      <c r="AC3" s="29" t="str">
        <f>TEXT(WEEKDAY(DATE(CalendarYear,7,28),1),"aaa")</f>
        <v>Tue</v>
      </c>
      <c r="AD3" s="29" t="str">
        <f>TEXT(WEEKDAY(DATE(CalendarYear,7,29),1),"aaa")</f>
        <v>Wed</v>
      </c>
      <c r="AE3" s="29" t="str">
        <f>TEXT(WEEKDAY(DATE(CalendarYear,7,30),1),"aaa")</f>
        <v>Thu</v>
      </c>
      <c r="AF3" s="29" t="str">
        <f>TEXT(WEEKDAY(DATE(CalendarYear,7,31),1),"aaa")</f>
        <v>Fri</v>
      </c>
      <c r="AG3" s="79"/>
    </row>
    <row r="4" spans="1:34" s="13" customFormat="1" x14ac:dyDescent="0.25">
      <c r="A4" s="38" t="s">
        <v>2</v>
      </c>
      <c r="B4" s="45" t="s">
        <v>3</v>
      </c>
      <c r="C4" s="45" t="s">
        <v>4</v>
      </c>
      <c r="D4" s="45" t="s">
        <v>5</v>
      </c>
      <c r="E4" s="45" t="s">
        <v>6</v>
      </c>
      <c r="F4" s="45" t="s">
        <v>7</v>
      </c>
      <c r="G4" s="45" t="s">
        <v>8</v>
      </c>
      <c r="H4" s="45" t="s">
        <v>9</v>
      </c>
      <c r="I4" s="45" t="s">
        <v>10</v>
      </c>
      <c r="J4" s="45" t="s">
        <v>11</v>
      </c>
      <c r="K4" s="45" t="s">
        <v>12</v>
      </c>
      <c r="L4" s="45" t="s">
        <v>13</v>
      </c>
      <c r="M4" s="45" t="s">
        <v>14</v>
      </c>
      <c r="N4" s="45" t="s">
        <v>15</v>
      </c>
      <c r="O4" s="45" t="s">
        <v>16</v>
      </c>
      <c r="P4" s="45" t="s">
        <v>17</v>
      </c>
      <c r="Q4" s="45" t="s">
        <v>18</v>
      </c>
      <c r="R4" s="45" t="s">
        <v>19</v>
      </c>
      <c r="S4" s="45" t="s">
        <v>20</v>
      </c>
      <c r="T4" s="45" t="s">
        <v>21</v>
      </c>
      <c r="U4" s="45" t="s">
        <v>22</v>
      </c>
      <c r="V4" s="45" t="s">
        <v>23</v>
      </c>
      <c r="W4" s="45" t="s">
        <v>24</v>
      </c>
      <c r="X4" s="45" t="s">
        <v>25</v>
      </c>
      <c r="Y4" s="45" t="s">
        <v>26</v>
      </c>
      <c r="Z4" s="45" t="s">
        <v>27</v>
      </c>
      <c r="AA4" s="45" t="s">
        <v>28</v>
      </c>
      <c r="AB4" s="45" t="s">
        <v>29</v>
      </c>
      <c r="AC4" s="45" t="s">
        <v>30</v>
      </c>
      <c r="AD4" s="17" t="s">
        <v>31</v>
      </c>
      <c r="AE4" s="45" t="s">
        <v>32</v>
      </c>
      <c r="AF4" s="45" t="s">
        <v>33</v>
      </c>
      <c r="AG4" s="45" t="s">
        <v>34</v>
      </c>
      <c r="AH4" s="12"/>
    </row>
    <row r="5" spans="1:34" s="13" customFormat="1" x14ac:dyDescent="0.25">
      <c r="A5" s="44" t="s">
        <v>60</v>
      </c>
      <c r="B5" s="45"/>
      <c r="C5" s="45"/>
      <c r="D5" s="45"/>
      <c r="E5" s="45"/>
      <c r="F5" s="45"/>
      <c r="G5" s="45"/>
      <c r="H5" s="45"/>
      <c r="I5" s="45"/>
      <c r="J5" s="45"/>
      <c r="K5" s="53" t="s">
        <v>36</v>
      </c>
      <c r="L5" s="45"/>
      <c r="M5" s="45"/>
      <c r="N5" s="45"/>
      <c r="O5" s="45"/>
      <c r="P5" s="45"/>
      <c r="Q5" s="45"/>
      <c r="R5" s="45"/>
      <c r="S5" s="45"/>
      <c r="T5" s="45"/>
      <c r="U5" s="45"/>
      <c r="V5" s="45"/>
      <c r="W5" s="45"/>
      <c r="X5" s="45"/>
      <c r="Y5" s="45"/>
      <c r="Z5" s="45"/>
      <c r="AA5" s="45"/>
      <c r="AB5" s="45"/>
      <c r="AC5" s="45"/>
      <c r="AD5" s="45"/>
      <c r="AE5" s="45"/>
      <c r="AF5" s="45"/>
      <c r="AG5" s="11">
        <f>COUNTA(tblJuly[[#This Row],[1]:[29]])</f>
        <v>1</v>
      </c>
      <c r="AH5" s="12"/>
    </row>
    <row r="6" spans="1:34" s="13" customFormat="1" x14ac:dyDescent="0.25">
      <c r="A6" s="44" t="s">
        <v>82</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COUNTA(tblJuly[[#This Row],[1]:[29]])</f>
        <v>0</v>
      </c>
      <c r="AH6" s="12"/>
    </row>
    <row r="7" spans="1:34" s="13" customFormat="1" x14ac:dyDescent="0.25">
      <c r="A7" s="44" t="s">
        <v>58</v>
      </c>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11">
        <f>COUNTA(tblJuly[[#This Row],[1]:[29]])</f>
        <v>0</v>
      </c>
      <c r="AH7" s="12"/>
    </row>
    <row r="8" spans="1:34" s="13" customFormat="1" x14ac:dyDescent="0.25">
      <c r="A8" s="44" t="s">
        <v>80</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COUNTA(tblJuly[[#This Row],[1]:[29]])</f>
        <v>0</v>
      </c>
      <c r="AH8" s="12"/>
    </row>
    <row r="9" spans="1:34" s="13" customFormat="1" x14ac:dyDescent="0.25">
      <c r="A9" s="44" t="s">
        <v>63</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COUNTA(tblJuly[[#This Row],[1]:[29]])</f>
        <v>0</v>
      </c>
      <c r="AH9" s="12"/>
    </row>
    <row r="10" spans="1:34" s="13" customFormat="1" x14ac:dyDescent="0.25">
      <c r="A10" s="44" t="s">
        <v>73</v>
      </c>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11">
        <f>COUNTA(tblJuly[[#This Row],[1]:[29]])</f>
        <v>0</v>
      </c>
      <c r="AH10" s="12"/>
    </row>
    <row r="11" spans="1:34" s="13" customFormat="1" x14ac:dyDescent="0.25">
      <c r="A11" s="44" t="s">
        <v>74</v>
      </c>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11">
        <f>COUNTA(tblJuly[[#This Row],[1]:[29]])</f>
        <v>0</v>
      </c>
      <c r="AH11" s="12"/>
    </row>
    <row r="12" spans="1:34" s="13" customFormat="1" x14ac:dyDescent="0.25">
      <c r="A12" s="44" t="s">
        <v>76</v>
      </c>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53" t="s">
        <v>36</v>
      </c>
      <c r="AC12" s="46"/>
      <c r="AD12" s="46"/>
      <c r="AE12" s="46"/>
      <c r="AF12" s="46"/>
      <c r="AG12" s="11">
        <f>COUNTA(tblJuly[[#This Row],[1]:[29]])</f>
        <v>1</v>
      </c>
      <c r="AH12" s="12"/>
    </row>
    <row r="13" spans="1:34" s="13" customFormat="1" x14ac:dyDescent="0.25">
      <c r="A13" s="44" t="s">
        <v>71</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11">
        <f>COUNTA(tblJuly[[#This Row],[1]:[29]])</f>
        <v>0</v>
      </c>
      <c r="AH13" s="12"/>
    </row>
    <row r="14" spans="1:34" s="13" customFormat="1" x14ac:dyDescent="0.25">
      <c r="A14" s="44" t="s">
        <v>78</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11">
        <f>COUNTA(tblJuly[[#This Row],[1]:[29]])</f>
        <v>0</v>
      </c>
      <c r="AH14" s="12"/>
    </row>
    <row r="15" spans="1:34" s="13" customFormat="1" x14ac:dyDescent="0.25">
      <c r="A15" s="44" t="s">
        <v>81</v>
      </c>
      <c r="B15" s="46"/>
      <c r="C15" s="46"/>
      <c r="D15" s="46"/>
      <c r="E15" s="46"/>
      <c r="F15" s="46"/>
      <c r="G15" s="46"/>
      <c r="H15" s="46"/>
      <c r="I15" s="46"/>
      <c r="J15" s="46"/>
      <c r="K15" s="46"/>
      <c r="L15" s="46"/>
      <c r="M15" s="46"/>
      <c r="N15" s="46"/>
      <c r="O15" s="46"/>
      <c r="P15" s="46"/>
      <c r="Q15" s="46"/>
      <c r="R15" s="46"/>
      <c r="S15" s="46"/>
      <c r="T15" s="46"/>
      <c r="U15" s="46"/>
      <c r="V15" s="46"/>
      <c r="W15" s="53" t="s">
        <v>36</v>
      </c>
      <c r="X15" s="46"/>
      <c r="Y15" s="46"/>
      <c r="Z15" s="46"/>
      <c r="AA15" s="46"/>
      <c r="AB15" s="46"/>
      <c r="AC15" s="46"/>
      <c r="AD15" s="46"/>
      <c r="AE15" s="46"/>
      <c r="AF15" s="46"/>
      <c r="AG15" s="11">
        <f>COUNTA(tblJuly[[#This Row],[1]:[29]])</f>
        <v>1</v>
      </c>
      <c r="AH15" s="12"/>
    </row>
    <row r="16" spans="1:34" s="13" customFormat="1" x14ac:dyDescent="0.25">
      <c r="A16" s="44" t="s">
        <v>69</v>
      </c>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11">
        <f>COUNTA(tblJuly[[#This Row],[1]:[29]])</f>
        <v>0</v>
      </c>
      <c r="AH16" s="12"/>
    </row>
    <row r="17" spans="1:34" s="13" customFormat="1" x14ac:dyDescent="0.25">
      <c r="A17" s="44" t="s">
        <v>66</v>
      </c>
      <c r="B17" s="46"/>
      <c r="C17" s="46"/>
      <c r="D17" s="53" t="s">
        <v>36</v>
      </c>
      <c r="E17" s="46"/>
      <c r="F17" s="46"/>
      <c r="G17" s="46"/>
      <c r="H17" s="46"/>
      <c r="I17" s="53" t="s">
        <v>36</v>
      </c>
      <c r="J17" s="53" t="s">
        <v>36</v>
      </c>
      <c r="K17" s="46"/>
      <c r="L17" s="46"/>
      <c r="M17" s="46"/>
      <c r="N17" s="46"/>
      <c r="O17" s="46"/>
      <c r="P17" s="53" t="s">
        <v>36</v>
      </c>
      <c r="Q17" s="46"/>
      <c r="R17" s="46"/>
      <c r="S17" s="46"/>
      <c r="T17" s="46"/>
      <c r="U17" s="46"/>
      <c r="V17" s="46"/>
      <c r="W17" s="46"/>
      <c r="X17" s="46"/>
      <c r="Y17" s="46"/>
      <c r="Z17" s="46"/>
      <c r="AA17" s="46"/>
      <c r="AB17" s="46"/>
      <c r="AC17" s="46"/>
      <c r="AD17" s="46"/>
      <c r="AE17" s="46"/>
      <c r="AF17" s="46"/>
      <c r="AG17" s="11">
        <f>COUNTA(tblJuly[[#This Row],[1]:[29]])</f>
        <v>4</v>
      </c>
      <c r="AH17" s="12"/>
    </row>
    <row r="18" spans="1:34" s="13" customFormat="1" x14ac:dyDescent="0.25">
      <c r="A18" s="55" t="s">
        <v>89</v>
      </c>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11">
        <f>COUNTA(tblJuly[[#This Row],[1]:[29]])</f>
        <v>0</v>
      </c>
      <c r="AH18" s="12"/>
    </row>
    <row r="19" spans="1:34" s="13" customFormat="1" x14ac:dyDescent="0.25">
      <c r="A19" s="44" t="s">
        <v>79</v>
      </c>
      <c r="B19" s="46"/>
      <c r="C19" s="46"/>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11">
        <f>COUNTA(tblJuly[[#This Row],[1]:[29]])</f>
        <v>0</v>
      </c>
      <c r="AH19" s="12"/>
    </row>
    <row r="20" spans="1:34" s="13" customFormat="1" x14ac:dyDescent="0.25">
      <c r="A20" s="44" t="s">
        <v>68</v>
      </c>
      <c r="B20" s="46"/>
      <c r="C20" s="46"/>
      <c r="D20" s="46"/>
      <c r="E20" s="46"/>
      <c r="F20" s="46"/>
      <c r="G20" s="46"/>
      <c r="H20" s="46"/>
      <c r="I20" s="46"/>
      <c r="J20" s="46"/>
      <c r="K20" s="46"/>
      <c r="L20" s="46"/>
      <c r="M20" s="46"/>
      <c r="N20" s="53" t="s">
        <v>36</v>
      </c>
      <c r="O20" s="46"/>
      <c r="P20" s="53" t="s">
        <v>36</v>
      </c>
      <c r="Q20" s="46"/>
      <c r="R20" s="46"/>
      <c r="S20" s="46"/>
      <c r="T20" s="46"/>
      <c r="U20" s="46"/>
      <c r="V20" s="46"/>
      <c r="W20" s="46"/>
      <c r="X20" s="46"/>
      <c r="Y20" s="46"/>
      <c r="Z20" s="46"/>
      <c r="AA20" s="46"/>
      <c r="AB20" s="46"/>
      <c r="AC20" s="46"/>
      <c r="AD20" s="46"/>
      <c r="AE20" s="46"/>
      <c r="AF20" s="46"/>
      <c r="AG20" s="11">
        <f>COUNTA(tblJuly[[#This Row],[1]:[29]])</f>
        <v>2</v>
      </c>
      <c r="AH20" s="12"/>
    </row>
    <row r="21" spans="1:34" s="13" customFormat="1" x14ac:dyDescent="0.25">
      <c r="A21" s="44" t="s">
        <v>65</v>
      </c>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11">
        <f>COUNTA(tblJuly[[#This Row],[1]:[29]])</f>
        <v>0</v>
      </c>
      <c r="AH21" s="12"/>
    </row>
    <row r="22" spans="1:34" s="13" customFormat="1" x14ac:dyDescent="0.25">
      <c r="A22" s="44" t="s">
        <v>67</v>
      </c>
      <c r="B22" s="46"/>
      <c r="C22" s="53" t="s">
        <v>36</v>
      </c>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11">
        <f>COUNTA(tblJuly[[#This Row],[1]:[29]])</f>
        <v>1</v>
      </c>
      <c r="AH22" s="12"/>
    </row>
    <row r="23" spans="1:34" s="13" customFormat="1" x14ac:dyDescent="0.25">
      <c r="A23" s="44" t="s">
        <v>64</v>
      </c>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11">
        <f>COUNTA(tblJuly[[#This Row],[1]:[29]])</f>
        <v>0</v>
      </c>
      <c r="AH23" s="12"/>
    </row>
    <row r="24" spans="1:34" s="13" customFormat="1" x14ac:dyDescent="0.25">
      <c r="A24" s="44" t="s">
        <v>61</v>
      </c>
      <c r="B24" s="46"/>
      <c r="C24" s="46"/>
      <c r="D24" s="46"/>
      <c r="E24" s="46"/>
      <c r="F24" s="46"/>
      <c r="G24" s="46"/>
      <c r="H24" s="53" t="s">
        <v>36</v>
      </c>
      <c r="I24" s="46"/>
      <c r="J24" s="46"/>
      <c r="K24" s="46"/>
      <c r="L24" s="46"/>
      <c r="M24" s="46"/>
      <c r="N24" s="46"/>
      <c r="O24" s="46"/>
      <c r="P24" s="46"/>
      <c r="Q24" s="46"/>
      <c r="R24" s="46"/>
      <c r="S24" s="46"/>
      <c r="T24" s="46"/>
      <c r="U24" s="46"/>
      <c r="V24" s="46"/>
      <c r="W24" s="46"/>
      <c r="X24" s="46"/>
      <c r="Y24" s="46"/>
      <c r="Z24" s="46"/>
      <c r="AA24" s="46"/>
      <c r="AB24" s="53" t="s">
        <v>36</v>
      </c>
      <c r="AC24" s="46"/>
      <c r="AD24" s="46"/>
      <c r="AE24" s="46"/>
      <c r="AF24" s="46"/>
      <c r="AG24" s="11">
        <f>COUNTA(tblJuly[[#This Row],[1]:[29]])</f>
        <v>2</v>
      </c>
      <c r="AH24" s="12"/>
    </row>
    <row r="25" spans="1:34" s="13" customFormat="1" x14ac:dyDescent="0.25">
      <c r="A25" s="44" t="s">
        <v>57</v>
      </c>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11">
        <f>COUNTA(tblJuly[[#This Row],[1]:[29]])</f>
        <v>0</v>
      </c>
      <c r="AH25" s="12"/>
    </row>
    <row r="26" spans="1:34" s="13" customFormat="1" x14ac:dyDescent="0.25">
      <c r="A26" s="44" t="s">
        <v>77</v>
      </c>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53" t="s">
        <v>36</v>
      </c>
      <c r="AC26" s="46"/>
      <c r="AD26" s="46"/>
      <c r="AE26" s="46"/>
      <c r="AF26" s="46"/>
      <c r="AG26" s="11">
        <f>COUNTA(tblJuly[[#This Row],[1]:[29]])</f>
        <v>1</v>
      </c>
      <c r="AH26" s="12"/>
    </row>
    <row r="27" spans="1:34" s="13" customFormat="1" x14ac:dyDescent="0.25">
      <c r="A27" s="44" t="s">
        <v>75</v>
      </c>
      <c r="B27" s="46"/>
      <c r="C27" s="46"/>
      <c r="D27" s="46"/>
      <c r="E27" s="46"/>
      <c r="F27" s="46"/>
      <c r="G27" s="46"/>
      <c r="H27" s="46"/>
      <c r="I27" s="46"/>
      <c r="J27" s="46"/>
      <c r="K27" s="46"/>
      <c r="L27" s="46"/>
      <c r="M27" s="46"/>
      <c r="N27" s="46"/>
      <c r="O27" s="46"/>
      <c r="P27" s="46"/>
      <c r="Q27" s="46"/>
      <c r="R27" s="53" t="s">
        <v>36</v>
      </c>
      <c r="S27" s="46"/>
      <c r="T27" s="46"/>
      <c r="U27" s="46"/>
      <c r="V27" s="46"/>
      <c r="W27" s="46"/>
      <c r="X27" s="46"/>
      <c r="Y27" s="46"/>
      <c r="Z27" s="46"/>
      <c r="AA27" s="46"/>
      <c r="AB27" s="46"/>
      <c r="AC27" s="46"/>
      <c r="AD27" s="46"/>
      <c r="AE27" s="46"/>
      <c r="AF27" s="46"/>
      <c r="AG27" s="11">
        <f>COUNTA(tblJuly[[#This Row],[1]:[29]])</f>
        <v>1</v>
      </c>
      <c r="AH27" s="12"/>
    </row>
    <row r="28" spans="1:34" s="13" customFormat="1" x14ac:dyDescent="0.25">
      <c r="A28" s="44" t="s">
        <v>62</v>
      </c>
      <c r="B28" s="46"/>
      <c r="C28" s="46"/>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11">
        <f>COUNTA(tblJuly[[#This Row],[1]:[29]])</f>
        <v>0</v>
      </c>
      <c r="AH28" s="12"/>
    </row>
    <row r="29" spans="1:34" s="13" customFormat="1" x14ac:dyDescent="0.25">
      <c r="A29" s="44" t="s">
        <v>72</v>
      </c>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53" t="s">
        <v>36</v>
      </c>
      <c r="AD29" s="46"/>
      <c r="AE29" s="46"/>
      <c r="AF29" s="46"/>
      <c r="AG29" s="11">
        <f>COUNTA(tblJuly[[#This Row],[1]:[29]])</f>
        <v>1</v>
      </c>
      <c r="AH29" s="12"/>
    </row>
    <row r="30" spans="1:34" s="13" customFormat="1" x14ac:dyDescent="0.25">
      <c r="A30" s="44" t="s">
        <v>70</v>
      </c>
      <c r="B30" s="46"/>
      <c r="C30" s="46"/>
      <c r="D30" s="46"/>
      <c r="E30" s="46"/>
      <c r="F30" s="46"/>
      <c r="G30" s="53" t="s">
        <v>36</v>
      </c>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11">
        <f>COUNTA(tblJuly[[#This Row],[1]:[29]])</f>
        <v>1</v>
      </c>
      <c r="AH30" s="12"/>
    </row>
    <row r="31" spans="1:34" s="13" customFormat="1" x14ac:dyDescent="0.25">
      <c r="A31" s="55" t="s">
        <v>90</v>
      </c>
      <c r="B31" s="63"/>
      <c r="C31" s="63"/>
      <c r="D31" s="63"/>
      <c r="E31" s="63"/>
      <c r="F31" s="63"/>
      <c r="G31" s="63"/>
      <c r="H31" s="63"/>
      <c r="I31" s="63"/>
      <c r="J31" s="53" t="s">
        <v>36</v>
      </c>
      <c r="K31" s="63"/>
      <c r="L31" s="63"/>
      <c r="M31" s="63"/>
      <c r="N31" s="63"/>
      <c r="O31" s="63"/>
      <c r="P31" s="63"/>
      <c r="Q31" s="63"/>
      <c r="R31" s="63"/>
      <c r="S31" s="63"/>
      <c r="T31" s="63"/>
      <c r="U31" s="63"/>
      <c r="V31" s="63"/>
      <c r="W31" s="63"/>
      <c r="X31" s="63"/>
      <c r="Y31" s="63"/>
      <c r="Z31" s="63"/>
      <c r="AA31" s="63"/>
      <c r="AB31" s="63"/>
      <c r="AC31" s="63"/>
      <c r="AD31" s="53" t="s">
        <v>36</v>
      </c>
      <c r="AE31" s="63"/>
      <c r="AF31" s="63"/>
      <c r="AG31" s="11">
        <f>COUNTA(tblJuly[[#This Row],[1]:[29]])</f>
        <v>2</v>
      </c>
      <c r="AH31" s="12"/>
    </row>
    <row r="32" spans="1:34" s="13" customFormat="1" x14ac:dyDescent="0.25">
      <c r="A32" s="55" t="s">
        <v>91</v>
      </c>
      <c r="B32" s="63"/>
      <c r="C32" s="63"/>
      <c r="D32" s="63"/>
      <c r="E32" s="63"/>
      <c r="F32" s="63"/>
      <c r="G32" s="63"/>
      <c r="H32" s="63"/>
      <c r="I32" s="63"/>
      <c r="J32" s="53" t="s">
        <v>36</v>
      </c>
      <c r="K32" s="63"/>
      <c r="L32" s="63"/>
      <c r="M32" s="63"/>
      <c r="N32" s="63"/>
      <c r="O32" s="63"/>
      <c r="P32" s="63"/>
      <c r="Q32" s="63"/>
      <c r="R32" s="63"/>
      <c r="S32" s="63"/>
      <c r="T32" s="63"/>
      <c r="U32" s="63"/>
      <c r="V32" s="63"/>
      <c r="W32" s="63"/>
      <c r="X32" s="63"/>
      <c r="Y32" s="63"/>
      <c r="Z32" s="63"/>
      <c r="AA32" s="63"/>
      <c r="AB32" s="63"/>
      <c r="AC32" s="63"/>
      <c r="AD32" s="63"/>
      <c r="AE32" s="63"/>
      <c r="AF32" s="63"/>
      <c r="AG32" s="11">
        <f>COUNTA(tblJuly[[#This Row],[1]:[29]])</f>
        <v>1</v>
      </c>
      <c r="AH32" s="12"/>
    </row>
    <row r="33" spans="1:34" s="13" customFormat="1" x14ac:dyDescent="0.25">
      <c r="A33" s="55" t="s">
        <v>92</v>
      </c>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11">
        <f>COUNTA(tblJuly[[#This Row],[1]:[29]])</f>
        <v>0</v>
      </c>
      <c r="AH33" s="12"/>
    </row>
    <row r="34" spans="1:34" s="13" customFormat="1" x14ac:dyDescent="0.25">
      <c r="A34" s="55" t="s">
        <v>93</v>
      </c>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11">
        <f>COUNTA(tblJuly[[#This Row],[1]:[29]])</f>
        <v>0</v>
      </c>
      <c r="AH34" s="12"/>
    </row>
    <row r="35" spans="1:34" s="13" customFormat="1" x14ac:dyDescent="0.25">
      <c r="A35" s="44" t="s">
        <v>98</v>
      </c>
      <c r="B35" s="73"/>
      <c r="C35" s="73"/>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c r="AE35" s="73"/>
      <c r="AF35" s="73"/>
      <c r="AG35" s="11">
        <f>COUNTA(tblJuly[[#This Row],[1]:[29]])</f>
        <v>0</v>
      </c>
      <c r="AH35" s="12"/>
    </row>
    <row r="36" spans="1:34" s="13" customFormat="1" x14ac:dyDescent="0.25">
      <c r="A36" s="44" t="s">
        <v>99</v>
      </c>
      <c r="B36" s="73"/>
      <c r="C36" s="73"/>
      <c r="D36" s="73"/>
      <c r="E36" s="73"/>
      <c r="F36" s="73"/>
      <c r="G36" s="73"/>
      <c r="H36" s="73"/>
      <c r="I36" s="73" t="s">
        <v>36</v>
      </c>
      <c r="J36" s="73"/>
      <c r="K36" s="73"/>
      <c r="L36" s="73"/>
      <c r="M36" s="73"/>
      <c r="N36" s="73"/>
      <c r="O36" s="73"/>
      <c r="P36" s="73"/>
      <c r="Q36" s="73"/>
      <c r="R36" s="73"/>
      <c r="S36" s="73"/>
      <c r="T36" s="73"/>
      <c r="U36" s="73"/>
      <c r="V36" s="25" t="s">
        <v>87</v>
      </c>
      <c r="W36" s="73"/>
      <c r="X36" s="73"/>
      <c r="Y36" s="73" t="s">
        <v>36</v>
      </c>
      <c r="Z36" s="73"/>
      <c r="AA36" s="73"/>
      <c r="AB36" s="73"/>
      <c r="AC36" s="73"/>
      <c r="AD36" s="73"/>
      <c r="AE36" s="73"/>
      <c r="AF36" s="73"/>
      <c r="AG36" s="11">
        <f>COUNTA(tblJuly[[#This Row],[1]:[29]])</f>
        <v>3</v>
      </c>
      <c r="AH36" s="12"/>
    </row>
    <row r="37" spans="1:34" ht="15" customHeight="1" x14ac:dyDescent="0.25">
      <c r="A37" s="75" t="str">
        <f>MonthName&amp;" Total"</f>
        <v>July Total</v>
      </c>
      <c r="B37" s="70">
        <f>SUBTOTAL(103,tblJuly[1])</f>
        <v>0</v>
      </c>
      <c r="C37" s="70">
        <f>SUBTOTAL(103,tblJuly[2])</f>
        <v>1</v>
      </c>
      <c r="D37" s="70">
        <f>SUBTOTAL(103,tblJuly[3])</f>
        <v>1</v>
      </c>
      <c r="E37" s="70">
        <f>SUBTOTAL(103,tblJuly[4])</f>
        <v>0</v>
      </c>
      <c r="F37" s="70">
        <f>SUBTOTAL(103,tblJuly[5])</f>
        <v>0</v>
      </c>
      <c r="G37" s="70">
        <f>SUBTOTAL(103,tblJuly[6])</f>
        <v>1</v>
      </c>
      <c r="H37" s="70">
        <f>SUBTOTAL(103,tblJuly[7])</f>
        <v>1</v>
      </c>
      <c r="I37" s="70">
        <f>SUBTOTAL(103,tblJuly[8])</f>
        <v>2</v>
      </c>
      <c r="J37" s="70">
        <f>SUBTOTAL(103,tblJuly[9])</f>
        <v>3</v>
      </c>
      <c r="K37" s="70">
        <f>SUBTOTAL(103,tblJuly[10])</f>
        <v>1</v>
      </c>
      <c r="L37" s="70">
        <f>SUBTOTAL(103,tblJuly[11])</f>
        <v>0</v>
      </c>
      <c r="M37" s="70">
        <f>SUBTOTAL(103,tblJuly[12])</f>
        <v>0</v>
      </c>
      <c r="N37" s="70">
        <f>SUBTOTAL(103,tblJuly[13])</f>
        <v>1</v>
      </c>
      <c r="O37" s="70">
        <f>SUBTOTAL(103,tblJuly[14])</f>
        <v>0</v>
      </c>
      <c r="P37" s="70">
        <f>SUBTOTAL(103,tblJuly[15])</f>
        <v>2</v>
      </c>
      <c r="Q37" s="70">
        <f>SUBTOTAL(103,tblJuly[16])</f>
        <v>0</v>
      </c>
      <c r="R37" s="70">
        <f>SUBTOTAL(103,tblJuly[17])</f>
        <v>1</v>
      </c>
      <c r="S37" s="70">
        <f>SUBTOTAL(103,tblJuly[18])</f>
        <v>0</v>
      </c>
      <c r="T37" s="70">
        <f>SUBTOTAL(103,tblJuly[19])</f>
        <v>0</v>
      </c>
      <c r="U37" s="70">
        <f>SUBTOTAL(103,tblJuly[20])</f>
        <v>0</v>
      </c>
      <c r="V37" s="70">
        <f>SUBTOTAL(103,tblJuly[21])</f>
        <v>1</v>
      </c>
      <c r="W37" s="70">
        <f>SUBTOTAL(103,tblJuly[22])</f>
        <v>1</v>
      </c>
      <c r="X37" s="70">
        <f>SUBTOTAL(103,tblJuly[23])</f>
        <v>0</v>
      </c>
      <c r="Y37" s="70">
        <f>SUBTOTAL(103,tblJuly[24])</f>
        <v>1</v>
      </c>
      <c r="Z37" s="70">
        <f>SUBTOTAL(103,tblJuly[25])</f>
        <v>0</v>
      </c>
      <c r="AA37" s="70">
        <f>SUBTOTAL(103,tblJuly[26])</f>
        <v>0</v>
      </c>
      <c r="AB37" s="70">
        <f>SUBTOTAL(103,tblJuly[27])</f>
        <v>3</v>
      </c>
      <c r="AC37" s="70">
        <f>SUBTOTAL(103,tblJuly[28])</f>
        <v>1</v>
      </c>
      <c r="AD37" s="70">
        <f>SUBTOTAL(103,tblJuly[29])</f>
        <v>1</v>
      </c>
      <c r="AE37" s="70"/>
      <c r="AF37" s="70"/>
      <c r="AG37" s="70">
        <f>SUBTOTAL(109,tblJuly[Total Days])</f>
        <v>22</v>
      </c>
    </row>
    <row r="38" spans="1:34" ht="15" customHeight="1" x14ac:dyDescent="0.25">
      <c r="A38" s="80"/>
      <c r="B38" s="80"/>
      <c r="C38" s="80"/>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row>
    <row r="39" spans="1:34" ht="15" customHeight="1" x14ac:dyDescent="0.25">
      <c r="A39"/>
      <c r="B39" s="42" t="str">
        <f>January!B33</f>
        <v>Color Key</v>
      </c>
      <c r="C39" s="42"/>
      <c r="D39" s="42"/>
      <c r="E39" s="42"/>
      <c r="F39" s="43"/>
      <c r="G39" s="26" t="str">
        <f>KeyVacation</f>
        <v>V</v>
      </c>
      <c r="H39" s="39" t="str">
        <f>KeyVacationLabel</f>
        <v>Vacation</v>
      </c>
      <c r="I39" s="40"/>
      <c r="J39" s="40"/>
      <c r="K39" s="22" t="str">
        <f>KeyPersonal</f>
        <v>P</v>
      </c>
      <c r="L39" s="39" t="str">
        <f>KeyPersonalLabel</f>
        <v>Personal</v>
      </c>
      <c r="M39" s="40"/>
      <c r="N39" s="40"/>
      <c r="O39" s="23" t="str">
        <f>KeySick</f>
        <v>S</v>
      </c>
      <c r="P39" s="39" t="str">
        <f>KeySickLabel</f>
        <v>Sick</v>
      </c>
      <c r="Q39" s="40"/>
      <c r="R39" s="40"/>
      <c r="S39" s="24" t="str">
        <f>KeyCustom1</f>
        <v>H</v>
      </c>
      <c r="T39" s="39" t="str">
        <f>KeyCustom1Label</f>
        <v>Holiday</v>
      </c>
      <c r="U39" s="41"/>
      <c r="V39" s="40"/>
      <c r="W39" s="25" t="s">
        <v>87</v>
      </c>
      <c r="X39" s="39" t="s">
        <v>100</v>
      </c>
      <c r="Y39" s="40"/>
      <c r="Z39" s="41"/>
    </row>
  </sheetData>
  <mergeCells count="4">
    <mergeCell ref="A2:A3"/>
    <mergeCell ref="B2:AF2"/>
    <mergeCell ref="AG2:AG3"/>
    <mergeCell ref="A38:AG38"/>
  </mergeCells>
  <conditionalFormatting sqref="B5:AF35 B36:U36 W36:AF36">
    <cfRule type="expression" priority="1" stopIfTrue="1">
      <formula>B5=""</formula>
    </cfRule>
  </conditionalFormatting>
  <conditionalFormatting sqref="B5:AF35 B36:U36 W36:AF36">
    <cfRule type="expression" dxfId="62" priority="2" stopIfTrue="1">
      <formula>B5=KeyCustom2</formula>
    </cfRule>
    <cfRule type="expression" dxfId="61" priority="3" stopIfTrue="1">
      <formula>B5=KeyCustom1</formula>
    </cfRule>
    <cfRule type="expression" dxfId="60" priority="4" stopIfTrue="1">
      <formula>B5=KeySick</formula>
    </cfRule>
    <cfRule type="expression" dxfId="59" priority="5" stopIfTrue="1">
      <formula>B5=KeyPersonal</formula>
    </cfRule>
    <cfRule type="expression" dxfId="58" priority="6" stopIfTrue="1">
      <formula>B5=KeyVacation</formula>
    </cfRule>
  </conditionalFormatting>
  <conditionalFormatting sqref="AG5:AG36">
    <cfRule type="dataBar" priority="45">
      <dataBar>
        <cfvo type="min"/>
        <cfvo type="formula" val="DATEDIF(DATE(CalendarYear,2,1),DATE(CalendarYear,3,1),&quot;d&quot;)"/>
        <color theme="2" tint="-0.249977111117893"/>
      </dataBar>
      <extLst>
        <ext xmlns:x14="http://schemas.microsoft.com/office/spreadsheetml/2009/9/main" uri="{B025F937-C7B1-47D3-B67F-A62EFF666E3E}">
          <x14:id>{15FE6D65-ECEC-46F2-A3C1-0385AFBC7710}</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5FE6D65-ECEC-46F2-A3C1-0385AFBC7710}">
            <x14:dataBar minLength="0" maxLength="100">
              <x14:cfvo type="autoMin"/>
              <x14:cfvo type="formula">
                <xm:f>DATEDIF(DATE(CalendarYear,2,1),DATE(CalendarYear,3,1),"d")</xm:f>
              </x14:cfvo>
              <x14:negativeFillColor rgb="FFFF0000"/>
              <x14:axisColor rgb="FF000000"/>
            </x14:dataBar>
          </x14:cfRule>
          <xm:sqref>AG5:AG36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tint="-0.749992370372631"/>
    <pageSetUpPr fitToPage="1"/>
  </sheetPr>
  <dimension ref="A1:AH37"/>
  <sheetViews>
    <sheetView showGridLines="0" zoomScaleNormal="100" workbookViewId="0">
      <pane ySplit="4" topLeftCell="A23" activePane="bottomLeft" state="frozen"/>
      <selection pane="bottomLeft" activeCell="Z34" sqref="Z34"/>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8" t="s">
        <v>52</v>
      </c>
      <c r="B2" s="76" t="s">
        <v>1</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9">
        <f>CalendarYear</f>
        <v>2015</v>
      </c>
    </row>
    <row r="3" spans="1:34" ht="15.75" customHeight="1" x14ac:dyDescent="0.25">
      <c r="A3" s="78"/>
      <c r="B3" s="28" t="str">
        <f>TEXT(WEEKDAY(DATE(CalendarYear,8,1),1),"aaa")</f>
        <v>Sat</v>
      </c>
      <c r="C3" s="29" t="str">
        <f>TEXT(WEEKDAY(DATE(CalendarYear,8,2),1),"aaa")</f>
        <v>Sun</v>
      </c>
      <c r="D3" s="29" t="str">
        <f>TEXT(WEEKDAY(DATE(CalendarYear,8,3),1),"aaa")</f>
        <v>Mon</v>
      </c>
      <c r="E3" s="29" t="str">
        <f>TEXT(WEEKDAY(DATE(CalendarYear,8,4),1),"aaa")</f>
        <v>Tue</v>
      </c>
      <c r="F3" s="29" t="str">
        <f>TEXT(WEEKDAY(DATE(CalendarYear,8,5),1),"aaa")</f>
        <v>Wed</v>
      </c>
      <c r="G3" s="29" t="str">
        <f>TEXT(WEEKDAY(DATE(CalendarYear,8,6),1),"aaa")</f>
        <v>Thu</v>
      </c>
      <c r="H3" s="29" t="str">
        <f>TEXT(WEEKDAY(DATE(CalendarYear,8,7),1),"aaa")</f>
        <v>Fri</v>
      </c>
      <c r="I3" s="29" t="str">
        <f>TEXT(WEEKDAY(DATE(CalendarYear,8,8),1),"aaa")</f>
        <v>Sat</v>
      </c>
      <c r="J3" s="29" t="str">
        <f>TEXT(WEEKDAY(DATE(CalendarYear,8,9),1),"aaa")</f>
        <v>Sun</v>
      </c>
      <c r="K3" s="29" t="str">
        <f>TEXT(WEEKDAY(DATE(CalendarYear,8,10),1),"aaa")</f>
        <v>Mon</v>
      </c>
      <c r="L3" s="29" t="str">
        <f>TEXT(WEEKDAY(DATE(CalendarYear,8,11),1),"aaa")</f>
        <v>Tue</v>
      </c>
      <c r="M3" s="29" t="str">
        <f>TEXT(WEEKDAY(DATE(CalendarYear,8,12),1),"aaa")</f>
        <v>Wed</v>
      </c>
      <c r="N3" s="29" t="str">
        <f>TEXT(WEEKDAY(DATE(CalendarYear,8,13),1),"aaa")</f>
        <v>Thu</v>
      </c>
      <c r="O3" s="29" t="str">
        <f>TEXT(WEEKDAY(DATE(CalendarYear,8,14),1),"aaa")</f>
        <v>Fri</v>
      </c>
      <c r="P3" s="29" t="str">
        <f>TEXT(WEEKDAY(DATE(CalendarYear,8,15),1),"aaa")</f>
        <v>Sat</v>
      </c>
      <c r="Q3" s="29" t="str">
        <f>TEXT(WEEKDAY(DATE(CalendarYear,8,16),1),"aaa")</f>
        <v>Sun</v>
      </c>
      <c r="R3" s="29" t="str">
        <f>TEXT(WEEKDAY(DATE(CalendarYear,8,17),1),"aaa")</f>
        <v>Mon</v>
      </c>
      <c r="S3" s="29" t="str">
        <f>TEXT(WEEKDAY(DATE(CalendarYear,8,18),1),"aaa")</f>
        <v>Tue</v>
      </c>
      <c r="T3" s="29" t="str">
        <f>TEXT(WEEKDAY(DATE(CalendarYear,8,19),1),"aaa")</f>
        <v>Wed</v>
      </c>
      <c r="U3" s="29" t="str">
        <f>TEXT(WEEKDAY(DATE(CalendarYear,8,20),1),"aaa")</f>
        <v>Thu</v>
      </c>
      <c r="V3" s="29" t="str">
        <f>TEXT(WEEKDAY(DATE(CalendarYear,8,21),1),"aaa")</f>
        <v>Fri</v>
      </c>
      <c r="W3" s="29" t="str">
        <f>TEXT(WEEKDAY(DATE(CalendarYear,8,22),1),"aaa")</f>
        <v>Sat</v>
      </c>
      <c r="X3" s="29" t="str">
        <f>TEXT(WEEKDAY(DATE(CalendarYear,8,23),1),"aaa")</f>
        <v>Sun</v>
      </c>
      <c r="Y3" s="29" t="str">
        <f>TEXT(WEEKDAY(DATE(CalendarYear,8,24),1),"aaa")</f>
        <v>Mon</v>
      </c>
      <c r="Z3" s="29" t="str">
        <f>TEXT(WEEKDAY(DATE(CalendarYear,8,25),1),"aaa")</f>
        <v>Tue</v>
      </c>
      <c r="AA3" s="29" t="str">
        <f>TEXT(WEEKDAY(DATE(CalendarYear,8,26),1),"aaa")</f>
        <v>Wed</v>
      </c>
      <c r="AB3" s="29" t="str">
        <f>TEXT(WEEKDAY(DATE(CalendarYear,8,27),1),"aaa")</f>
        <v>Thu</v>
      </c>
      <c r="AC3" s="29" t="str">
        <f>TEXT(WEEKDAY(DATE(CalendarYear,8,28),1),"aaa")</f>
        <v>Fri</v>
      </c>
      <c r="AD3" s="29" t="str">
        <f>TEXT(WEEKDAY(DATE(CalendarYear,8,29),1),"aaa")</f>
        <v>Sat</v>
      </c>
      <c r="AE3" s="29" t="str">
        <f>TEXT(WEEKDAY(DATE(CalendarYear,8,30),1),"aaa")</f>
        <v>Sun</v>
      </c>
      <c r="AF3" s="29" t="str">
        <f>TEXT(WEEKDAY(DATE(CalendarYear,8,31),1),"aaa")</f>
        <v>Mon</v>
      </c>
      <c r="AG3" s="79"/>
    </row>
    <row r="4" spans="1:34" s="13" customFormat="1" x14ac:dyDescent="0.25">
      <c r="A4" s="38" t="s">
        <v>2</v>
      </c>
      <c r="B4" s="45" t="s">
        <v>3</v>
      </c>
      <c r="C4" s="45" t="s">
        <v>4</v>
      </c>
      <c r="D4" s="45" t="s">
        <v>5</v>
      </c>
      <c r="E4" s="45" t="s">
        <v>6</v>
      </c>
      <c r="F4" s="45" t="s">
        <v>7</v>
      </c>
      <c r="G4" s="45" t="s">
        <v>8</v>
      </c>
      <c r="H4" s="45" t="s">
        <v>9</v>
      </c>
      <c r="I4" s="45" t="s">
        <v>10</v>
      </c>
      <c r="J4" s="45" t="s">
        <v>11</v>
      </c>
      <c r="K4" s="45" t="s">
        <v>12</v>
      </c>
      <c r="L4" s="45" t="s">
        <v>13</v>
      </c>
      <c r="M4" s="45" t="s">
        <v>14</v>
      </c>
      <c r="N4" s="45" t="s">
        <v>15</v>
      </c>
      <c r="O4" s="45" t="s">
        <v>16</v>
      </c>
      <c r="P4" s="45" t="s">
        <v>17</v>
      </c>
      <c r="Q4" s="45" t="s">
        <v>18</v>
      </c>
      <c r="R4" s="45" t="s">
        <v>19</v>
      </c>
      <c r="S4" s="45" t="s">
        <v>20</v>
      </c>
      <c r="T4" s="45" t="s">
        <v>21</v>
      </c>
      <c r="U4" s="45" t="s">
        <v>22</v>
      </c>
      <c r="V4" s="45" t="s">
        <v>23</v>
      </c>
      <c r="W4" s="45" t="s">
        <v>24</v>
      </c>
      <c r="X4" s="45" t="s">
        <v>25</v>
      </c>
      <c r="Y4" s="45" t="s">
        <v>26</v>
      </c>
      <c r="Z4" s="45" t="s">
        <v>27</v>
      </c>
      <c r="AA4" s="45" t="s">
        <v>28</v>
      </c>
      <c r="AB4" s="45" t="s">
        <v>29</v>
      </c>
      <c r="AC4" s="45" t="s">
        <v>30</v>
      </c>
      <c r="AD4" s="17" t="s">
        <v>31</v>
      </c>
      <c r="AE4" s="45" t="s">
        <v>32</v>
      </c>
      <c r="AF4" s="45" t="s">
        <v>33</v>
      </c>
      <c r="AG4" s="45" t="s">
        <v>34</v>
      </c>
      <c r="AH4" s="12"/>
    </row>
    <row r="5" spans="1:34" s="13" customFormat="1" x14ac:dyDescent="0.25">
      <c r="A5" s="44" t="s">
        <v>60</v>
      </c>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11">
        <f>COUNTA(tblAugust[[#This Row],[1]:[29]])</f>
        <v>0</v>
      </c>
      <c r="AH5" s="12"/>
    </row>
    <row r="6" spans="1:34" s="13" customFormat="1" x14ac:dyDescent="0.25">
      <c r="A6" s="44" t="s">
        <v>82</v>
      </c>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46"/>
      <c r="AG6" s="11">
        <f>COUNTA(tblAugust[[#This Row],[1]:[29]])</f>
        <v>0</v>
      </c>
      <c r="AH6" s="12"/>
    </row>
    <row r="7" spans="1:34" s="13" customFormat="1" x14ac:dyDescent="0.25">
      <c r="A7" s="44" t="s">
        <v>58</v>
      </c>
      <c r="B7" s="46"/>
      <c r="C7" s="46"/>
      <c r="D7" s="46"/>
      <c r="E7" s="46"/>
      <c r="F7" s="46"/>
      <c r="G7" s="46"/>
      <c r="H7" s="46"/>
      <c r="I7" s="46"/>
      <c r="J7" s="46"/>
      <c r="K7" s="53" t="s">
        <v>36</v>
      </c>
      <c r="L7" s="46"/>
      <c r="M7" s="46"/>
      <c r="N7" s="46"/>
      <c r="O7" s="46"/>
      <c r="P7" s="46"/>
      <c r="Q7" s="46"/>
      <c r="R7" s="46"/>
      <c r="S7" s="46"/>
      <c r="T7" s="46"/>
      <c r="U7" s="46"/>
      <c r="V7" s="46"/>
      <c r="W7" s="46"/>
      <c r="X7" s="46"/>
      <c r="Y7" s="46" t="s">
        <v>36</v>
      </c>
      <c r="Z7" s="46"/>
      <c r="AA7" s="46"/>
      <c r="AB7" s="46"/>
      <c r="AC7" s="46"/>
      <c r="AD7" s="46"/>
      <c r="AE7" s="46"/>
      <c r="AF7" s="46"/>
      <c r="AG7" s="11">
        <f>COUNTA(tblAugust[[#This Row],[1]:[29]])</f>
        <v>2</v>
      </c>
      <c r="AH7" s="12"/>
    </row>
    <row r="8" spans="1:34" s="13" customFormat="1" x14ac:dyDescent="0.25">
      <c r="A8" s="44" t="s">
        <v>63</v>
      </c>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11">
        <f>COUNTA(tblAugust[[#This Row],[1]:[29]])</f>
        <v>0</v>
      </c>
      <c r="AH8" s="12"/>
    </row>
    <row r="9" spans="1:34" s="13" customFormat="1" x14ac:dyDescent="0.25">
      <c r="A9" s="44" t="s">
        <v>73</v>
      </c>
      <c r="B9" s="46"/>
      <c r="C9" s="46"/>
      <c r="D9" s="46"/>
      <c r="E9" s="46"/>
      <c r="F9" s="46"/>
      <c r="G9" s="46"/>
      <c r="H9" s="46"/>
      <c r="I9" s="46"/>
      <c r="J9" s="46"/>
      <c r="K9" s="46"/>
      <c r="L9" s="46"/>
      <c r="M9" s="46"/>
      <c r="N9" s="46"/>
      <c r="O9" s="46"/>
      <c r="P9" s="46"/>
      <c r="Q9" s="46"/>
      <c r="R9" s="46"/>
      <c r="S9" s="46"/>
      <c r="T9" s="46"/>
      <c r="U9" s="46"/>
      <c r="V9" s="46"/>
      <c r="W9" s="46"/>
      <c r="X9" s="46"/>
      <c r="Y9" s="46" t="s">
        <v>36</v>
      </c>
      <c r="Z9" s="46" t="s">
        <v>36</v>
      </c>
      <c r="AA9" s="66" t="s">
        <v>36</v>
      </c>
      <c r="AB9" s="66" t="s">
        <v>36</v>
      </c>
      <c r="AC9" s="46"/>
      <c r="AD9" s="46"/>
      <c r="AE9" s="46"/>
      <c r="AF9" s="46"/>
      <c r="AG9" s="11">
        <f>COUNTA(tblAugust[[#This Row],[1]:[29]])</f>
        <v>4</v>
      </c>
      <c r="AH9" s="12"/>
    </row>
    <row r="10" spans="1:34" s="13" customFormat="1" x14ac:dyDescent="0.25">
      <c r="A10" s="44" t="s">
        <v>74</v>
      </c>
      <c r="B10" s="46"/>
      <c r="C10" s="46"/>
      <c r="D10" s="46"/>
      <c r="E10" s="46"/>
      <c r="F10" s="46"/>
      <c r="G10" s="46"/>
      <c r="H10" s="46"/>
      <c r="I10" s="46"/>
      <c r="J10" s="46"/>
      <c r="K10" s="53" t="s">
        <v>36</v>
      </c>
      <c r="L10" s="46"/>
      <c r="M10" s="46"/>
      <c r="N10" s="46"/>
      <c r="O10" s="46"/>
      <c r="P10" s="46"/>
      <c r="Q10" s="46"/>
      <c r="R10" s="46"/>
      <c r="S10" s="46" t="s">
        <v>36</v>
      </c>
      <c r="T10" s="46" t="s">
        <v>36</v>
      </c>
      <c r="U10" s="46"/>
      <c r="V10" s="46"/>
      <c r="W10" s="46"/>
      <c r="X10" s="46"/>
      <c r="Y10" s="46"/>
      <c r="Z10" s="46"/>
      <c r="AA10" s="46"/>
      <c r="AB10" s="46"/>
      <c r="AC10" s="46"/>
      <c r="AD10" s="46"/>
      <c r="AE10" s="46"/>
      <c r="AF10" s="46"/>
      <c r="AG10" s="11">
        <f>COUNTA(tblAugust[[#This Row],[1]:[29]])</f>
        <v>3</v>
      </c>
      <c r="AH10" s="12"/>
    </row>
    <row r="11" spans="1:34" s="13" customFormat="1" x14ac:dyDescent="0.25">
      <c r="A11" s="44" t="s">
        <v>76</v>
      </c>
      <c r="B11" s="46"/>
      <c r="C11" s="46"/>
      <c r="D11" s="46"/>
      <c r="E11" s="46"/>
      <c r="F11" s="46"/>
      <c r="G11" s="46"/>
      <c r="H11" s="46"/>
      <c r="I11" s="46"/>
      <c r="J11" s="46"/>
      <c r="K11" s="46"/>
      <c r="L11" s="46"/>
      <c r="M11" s="46"/>
      <c r="N11" s="46"/>
      <c r="O11" s="53" t="s">
        <v>36</v>
      </c>
      <c r="P11" s="46"/>
      <c r="Q11" s="46"/>
      <c r="R11" s="46"/>
      <c r="S11" s="46"/>
      <c r="T11" s="46"/>
      <c r="U11" s="46"/>
      <c r="V11" s="46"/>
      <c r="W11" s="46"/>
      <c r="X11" s="46"/>
      <c r="Y11" s="46"/>
      <c r="Z11" s="46"/>
      <c r="AA11" s="46"/>
      <c r="AB11" s="46"/>
      <c r="AC11" s="46"/>
      <c r="AD11" s="46"/>
      <c r="AE11" s="46"/>
      <c r="AF11" s="46"/>
      <c r="AG11" s="11">
        <f>COUNTA(tblAugust[[#This Row],[1]:[29]])</f>
        <v>1</v>
      </c>
      <c r="AH11" s="12"/>
    </row>
    <row r="12" spans="1:34" s="13" customFormat="1" x14ac:dyDescent="0.25">
      <c r="A12" s="44" t="s">
        <v>81</v>
      </c>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11">
        <f>COUNTA(tblAugust[[#This Row],[1]:[29]])</f>
        <v>0</v>
      </c>
      <c r="AH12" s="12"/>
    </row>
    <row r="13" spans="1:34" s="13" customFormat="1" x14ac:dyDescent="0.25">
      <c r="A13" s="44" t="s">
        <v>66</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11">
        <f>COUNTA(tblAugust[[#This Row],[1]:[29]])</f>
        <v>0</v>
      </c>
      <c r="AH13" s="12"/>
    </row>
    <row r="14" spans="1:34" s="13" customFormat="1" x14ac:dyDescent="0.25">
      <c r="A14" s="44" t="s">
        <v>79</v>
      </c>
      <c r="B14" s="46"/>
      <c r="C14" s="46"/>
      <c r="D14" s="46"/>
      <c r="E14" s="46"/>
      <c r="F14" s="46"/>
      <c r="G14" s="46"/>
      <c r="H14" s="46"/>
      <c r="I14" s="46"/>
      <c r="J14" s="46"/>
      <c r="K14" s="46"/>
      <c r="L14" s="46"/>
      <c r="M14" s="46"/>
      <c r="N14" s="46"/>
      <c r="O14" s="46"/>
      <c r="P14" s="46"/>
      <c r="Q14" s="46"/>
      <c r="R14" s="46"/>
      <c r="S14" s="46"/>
      <c r="T14" s="46" t="s">
        <v>36</v>
      </c>
      <c r="U14" s="46"/>
      <c r="V14" s="46"/>
      <c r="W14" s="46"/>
      <c r="X14" s="46"/>
      <c r="Y14" s="46"/>
      <c r="Z14" s="46"/>
      <c r="AA14" s="46"/>
      <c r="AB14" s="46"/>
      <c r="AC14" s="46" t="s">
        <v>36</v>
      </c>
      <c r="AD14" s="46"/>
      <c r="AE14" s="46"/>
      <c r="AF14" s="46"/>
      <c r="AG14" s="11">
        <f>COUNTA(tblAugust[[#This Row],[1]:[29]])</f>
        <v>2</v>
      </c>
      <c r="AH14" s="12"/>
    </row>
    <row r="15" spans="1:34" s="13" customFormat="1" x14ac:dyDescent="0.25">
      <c r="A15" s="44" t="s">
        <v>68</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11">
        <f>COUNTA(tblAugust[[#This Row],[1]:[29]])</f>
        <v>0</v>
      </c>
      <c r="AH15" s="12"/>
    </row>
    <row r="16" spans="1:34" s="13" customFormat="1" x14ac:dyDescent="0.25">
      <c r="A16" s="44" t="s">
        <v>65</v>
      </c>
      <c r="B16" s="46"/>
      <c r="C16" s="46"/>
      <c r="D16" s="46"/>
      <c r="E16" s="46"/>
      <c r="F16" s="46"/>
      <c r="G16" s="46"/>
      <c r="H16" s="46"/>
      <c r="I16" s="46"/>
      <c r="J16" s="46"/>
      <c r="K16" s="46"/>
      <c r="L16" s="46"/>
      <c r="M16" s="46"/>
      <c r="N16" s="46"/>
      <c r="O16" s="46"/>
      <c r="P16" s="46"/>
      <c r="Q16" s="46"/>
      <c r="R16" s="46"/>
      <c r="S16" s="46"/>
      <c r="T16" s="46"/>
      <c r="U16" s="46"/>
      <c r="V16" s="46" t="s">
        <v>36</v>
      </c>
      <c r="W16" s="46"/>
      <c r="X16" s="46"/>
      <c r="Y16" s="46"/>
      <c r="Z16" s="46"/>
      <c r="AA16" s="46"/>
      <c r="AB16" s="46"/>
      <c r="AC16" s="46"/>
      <c r="AD16" s="46"/>
      <c r="AE16" s="46"/>
      <c r="AF16" s="46"/>
      <c r="AG16" s="11">
        <f>COUNTA(tblAugust[[#This Row],[1]:[29]])</f>
        <v>1</v>
      </c>
      <c r="AH16" s="12"/>
    </row>
    <row r="17" spans="1:34" s="13" customFormat="1" x14ac:dyDescent="0.25">
      <c r="A17" s="44" t="s">
        <v>67</v>
      </c>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11">
        <f>COUNTA(tblAugust[[#This Row],[1]:[29]])</f>
        <v>0</v>
      </c>
      <c r="AH17" s="12"/>
    </row>
    <row r="18" spans="1:34" s="13" customFormat="1" x14ac:dyDescent="0.25">
      <c r="A18" s="44" t="s">
        <v>64</v>
      </c>
      <c r="B18" s="46"/>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11">
        <f>COUNTA(tblAugust[[#This Row],[1]:[29]])</f>
        <v>0</v>
      </c>
      <c r="AH18" s="12"/>
    </row>
    <row r="19" spans="1:34" s="13" customFormat="1" x14ac:dyDescent="0.25">
      <c r="A19" s="44" t="s">
        <v>61</v>
      </c>
      <c r="B19" s="46"/>
      <c r="C19" s="46"/>
      <c r="D19" s="46"/>
      <c r="E19" s="46"/>
      <c r="F19" s="46"/>
      <c r="G19" s="46"/>
      <c r="H19" s="46"/>
      <c r="I19" s="46"/>
      <c r="J19" s="46"/>
      <c r="K19" s="46"/>
      <c r="L19" s="46"/>
      <c r="M19" s="46"/>
      <c r="N19" s="46"/>
      <c r="O19" s="46"/>
      <c r="P19" s="46"/>
      <c r="Q19" s="46"/>
      <c r="R19" s="46"/>
      <c r="S19" s="46"/>
      <c r="T19" s="46"/>
      <c r="U19" s="46"/>
      <c r="V19" s="46"/>
      <c r="W19" s="46"/>
      <c r="X19" s="46"/>
      <c r="Y19" s="46" t="s">
        <v>36</v>
      </c>
      <c r="Z19" s="46"/>
      <c r="AA19" s="46"/>
      <c r="AB19" s="46"/>
      <c r="AC19" s="46"/>
      <c r="AD19" s="46"/>
      <c r="AE19" s="46"/>
      <c r="AF19" s="46"/>
      <c r="AG19" s="11">
        <f>COUNTA(tblAugust[[#This Row],[1]:[29]])</f>
        <v>1</v>
      </c>
      <c r="AH19" s="12"/>
    </row>
    <row r="20" spans="1:34" s="13" customFormat="1" x14ac:dyDescent="0.25">
      <c r="A20" s="44" t="s">
        <v>57</v>
      </c>
      <c r="B20" s="46"/>
      <c r="C20" s="46"/>
      <c r="D20" s="46"/>
      <c r="E20" s="46"/>
      <c r="F20" s="46"/>
      <c r="G20" s="46"/>
      <c r="H20" s="46"/>
      <c r="I20" s="46"/>
      <c r="J20" s="46"/>
      <c r="K20" s="46"/>
      <c r="L20" s="46"/>
      <c r="M20" s="46"/>
      <c r="N20" s="46"/>
      <c r="O20" s="46"/>
      <c r="P20" s="46"/>
      <c r="Q20" s="46"/>
      <c r="R20" s="46"/>
      <c r="S20" s="46"/>
      <c r="T20" s="46"/>
      <c r="U20" s="46"/>
      <c r="V20" s="46" t="s">
        <v>36</v>
      </c>
      <c r="W20" s="46"/>
      <c r="X20" s="46"/>
      <c r="Y20" s="46"/>
      <c r="Z20" s="46"/>
      <c r="AA20" s="46"/>
      <c r="AB20" s="46" t="s">
        <v>36</v>
      </c>
      <c r="AC20" s="46"/>
      <c r="AD20" s="46"/>
      <c r="AE20" s="46"/>
      <c r="AF20" s="46"/>
      <c r="AG20" s="11">
        <f>COUNTA(tblAugust[[#This Row],[1]:[29]])</f>
        <v>2</v>
      </c>
      <c r="AH20" s="12"/>
    </row>
    <row r="21" spans="1:34" s="13" customFormat="1" x14ac:dyDescent="0.25">
      <c r="A21" s="44" t="s">
        <v>77</v>
      </c>
      <c r="B21" s="46"/>
      <c r="C21" s="46"/>
      <c r="D21" s="46"/>
      <c r="E21" s="46"/>
      <c r="F21" s="46"/>
      <c r="G21" s="46"/>
      <c r="H21" s="46"/>
      <c r="I21" s="46"/>
      <c r="J21" s="46"/>
      <c r="K21" s="46"/>
      <c r="L21" s="46"/>
      <c r="M21" s="46"/>
      <c r="N21" s="46"/>
      <c r="O21" s="46"/>
      <c r="P21" s="46"/>
      <c r="Q21" s="46"/>
      <c r="R21" s="46"/>
      <c r="S21" s="46"/>
      <c r="T21" s="46"/>
      <c r="U21" s="46"/>
      <c r="V21" s="46" t="s">
        <v>36</v>
      </c>
      <c r="W21" s="46"/>
      <c r="X21" s="46"/>
      <c r="Y21" s="46"/>
      <c r="Z21" s="46"/>
      <c r="AA21" s="46"/>
      <c r="AB21" s="46"/>
      <c r="AC21" s="46"/>
      <c r="AD21" s="46"/>
      <c r="AE21" s="46"/>
      <c r="AF21" s="46"/>
      <c r="AG21" s="11">
        <f>COUNTA(tblAugust[[#This Row],[1]:[29]])</f>
        <v>1</v>
      </c>
      <c r="AH21" s="12"/>
    </row>
    <row r="22" spans="1:34" s="13" customFormat="1" x14ac:dyDescent="0.25">
      <c r="A22" s="44" t="s">
        <v>75</v>
      </c>
      <c r="B22" s="46"/>
      <c r="C22" s="46"/>
      <c r="D22" s="46"/>
      <c r="E22" s="46"/>
      <c r="F22" s="46"/>
      <c r="G22" s="46"/>
      <c r="H22" s="53" t="s">
        <v>36</v>
      </c>
      <c r="I22" s="46"/>
      <c r="J22" s="46"/>
      <c r="K22" s="46"/>
      <c r="L22" s="46"/>
      <c r="M22" s="46"/>
      <c r="N22" s="53" t="s">
        <v>36</v>
      </c>
      <c r="O22" s="53" t="s">
        <v>36</v>
      </c>
      <c r="P22" s="46"/>
      <c r="Q22" s="46"/>
      <c r="R22" s="46"/>
      <c r="S22" s="46"/>
      <c r="T22" s="46"/>
      <c r="U22" s="46"/>
      <c r="V22" s="46"/>
      <c r="W22" s="46"/>
      <c r="X22" s="46"/>
      <c r="Y22" s="46"/>
      <c r="Z22" s="46"/>
      <c r="AA22" s="46"/>
      <c r="AB22" s="46"/>
      <c r="AC22" s="46"/>
      <c r="AD22" s="46"/>
      <c r="AE22" s="46"/>
      <c r="AF22" s="46"/>
      <c r="AG22" s="11">
        <f>COUNTA(tblAugust[[#This Row],[1]:[29]])</f>
        <v>3</v>
      </c>
      <c r="AH22" s="12"/>
    </row>
    <row r="23" spans="1:34" s="13" customFormat="1" x14ac:dyDescent="0.25">
      <c r="A23" s="44" t="s">
        <v>62</v>
      </c>
      <c r="B23" s="46"/>
      <c r="C23" s="46"/>
      <c r="D23" s="46"/>
      <c r="E23" s="46"/>
      <c r="F23" s="46"/>
      <c r="G23" s="46"/>
      <c r="H23" s="46"/>
      <c r="I23" s="46"/>
      <c r="J23" s="46"/>
      <c r="K23" s="46"/>
      <c r="L23" s="46"/>
      <c r="M23" s="46"/>
      <c r="N23" s="46"/>
      <c r="O23" s="46"/>
      <c r="P23" s="46"/>
      <c r="Q23" s="46"/>
      <c r="R23" s="46"/>
      <c r="S23" s="46"/>
      <c r="T23" s="46"/>
      <c r="U23" s="46"/>
      <c r="V23" s="46"/>
      <c r="W23" s="46"/>
      <c r="X23" s="46"/>
      <c r="Y23" s="46"/>
      <c r="Z23" s="46"/>
      <c r="AA23" s="46"/>
      <c r="AB23" s="46" t="s">
        <v>36</v>
      </c>
      <c r="AC23" s="46" t="s">
        <v>36</v>
      </c>
      <c r="AD23" s="46"/>
      <c r="AE23" s="46"/>
      <c r="AF23" s="46"/>
      <c r="AG23" s="11">
        <f>COUNTA(tblAugust[[#This Row],[1]:[29]])</f>
        <v>2</v>
      </c>
      <c r="AH23" s="12"/>
    </row>
    <row r="24" spans="1:34" s="13" customFormat="1" x14ac:dyDescent="0.25">
      <c r="A24" s="44" t="s">
        <v>72</v>
      </c>
      <c r="B24" s="46"/>
      <c r="C24" s="46"/>
      <c r="D24" s="46"/>
      <c r="E24" s="46"/>
      <c r="F24" s="46"/>
      <c r="G24" s="46"/>
      <c r="H24" s="46"/>
      <c r="I24" s="46"/>
      <c r="J24" s="46"/>
      <c r="K24" s="46"/>
      <c r="L24" s="46"/>
      <c r="M24" s="46"/>
      <c r="N24" s="46"/>
      <c r="O24" s="46"/>
      <c r="P24" s="46"/>
      <c r="Q24" s="46"/>
      <c r="R24" s="46"/>
      <c r="S24" s="46"/>
      <c r="T24" s="46"/>
      <c r="U24" s="46"/>
      <c r="V24" s="46"/>
      <c r="W24" s="46"/>
      <c r="X24" s="46"/>
      <c r="Y24" s="46" t="s">
        <v>36</v>
      </c>
      <c r="Z24" s="46" t="s">
        <v>36</v>
      </c>
      <c r="AA24" s="46"/>
      <c r="AB24" s="46"/>
      <c r="AC24" s="46"/>
      <c r="AD24" s="46"/>
      <c r="AE24" s="46"/>
      <c r="AF24" s="46"/>
      <c r="AG24" s="11">
        <f>COUNTA(tblAugust[[#This Row],[1]:[29]])</f>
        <v>2</v>
      </c>
      <c r="AH24" s="12"/>
    </row>
    <row r="25" spans="1:34" s="13" customFormat="1" x14ac:dyDescent="0.25">
      <c r="A25" s="44" t="s">
        <v>70</v>
      </c>
      <c r="B25" s="46"/>
      <c r="C25" s="46"/>
      <c r="D25" s="46"/>
      <c r="E25" s="53" t="s">
        <v>36</v>
      </c>
      <c r="F25" s="46"/>
      <c r="G25" s="46"/>
      <c r="H25" s="46"/>
      <c r="I25" s="46"/>
      <c r="J25" s="46"/>
      <c r="K25" s="53" t="s">
        <v>36</v>
      </c>
      <c r="L25" s="46"/>
      <c r="M25" s="46"/>
      <c r="N25" s="46"/>
      <c r="O25" s="46"/>
      <c r="P25" s="46"/>
      <c r="Q25" s="46"/>
      <c r="R25" s="46"/>
      <c r="S25" s="46"/>
      <c r="T25" s="46"/>
      <c r="U25" s="46"/>
      <c r="V25" s="46"/>
      <c r="W25" s="46"/>
      <c r="X25" s="46"/>
      <c r="Y25" s="46"/>
      <c r="Z25" s="46"/>
      <c r="AA25" s="46"/>
      <c r="AB25" s="46"/>
      <c r="AC25" s="46"/>
      <c r="AD25" s="46"/>
      <c r="AE25" s="46"/>
      <c r="AF25" s="46" t="s">
        <v>36</v>
      </c>
      <c r="AG25" s="11">
        <f>COUNTA(tblAugust[[#This Row],[1]:[29]])</f>
        <v>2</v>
      </c>
      <c r="AH25" s="12"/>
    </row>
    <row r="26" spans="1:34" s="13" customFormat="1" x14ac:dyDescent="0.25">
      <c r="A26" s="55" t="s">
        <v>90</v>
      </c>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11">
        <f>COUNTA(tblAugust[[#This Row],[1]:[29]])</f>
        <v>0</v>
      </c>
      <c r="AH26" s="12"/>
    </row>
    <row r="27" spans="1:34" s="13" customFormat="1" x14ac:dyDescent="0.25">
      <c r="A27" s="55" t="s">
        <v>91</v>
      </c>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11">
        <f>COUNTA(tblAugust[[#This Row],[1]:[29]])</f>
        <v>0</v>
      </c>
      <c r="AH27" s="12"/>
    </row>
    <row r="28" spans="1:34" s="13" customFormat="1" x14ac:dyDescent="0.25">
      <c r="A28" s="55" t="s">
        <v>92</v>
      </c>
      <c r="B28" s="65"/>
      <c r="C28" s="65"/>
      <c r="D28" s="65"/>
      <c r="E28" s="65"/>
      <c r="F28" s="65"/>
      <c r="G28" s="65"/>
      <c r="H28" s="65"/>
      <c r="I28" s="65"/>
      <c r="J28" s="65"/>
      <c r="K28" s="65"/>
      <c r="L28" s="65"/>
      <c r="M28" s="65"/>
      <c r="N28" s="65"/>
      <c r="O28" s="65"/>
      <c r="P28" s="65"/>
      <c r="Q28" s="65"/>
      <c r="R28" s="65"/>
      <c r="S28" s="65"/>
      <c r="T28" s="65"/>
      <c r="U28" s="65"/>
      <c r="V28" s="65"/>
      <c r="W28" s="65"/>
      <c r="X28" s="65"/>
      <c r="Y28" s="65" t="s">
        <v>36</v>
      </c>
      <c r="Z28" s="65"/>
      <c r="AA28" s="65"/>
      <c r="AB28" s="65"/>
      <c r="AC28" s="65"/>
      <c r="AD28" s="65"/>
      <c r="AE28" s="65"/>
      <c r="AF28" s="65"/>
      <c r="AG28" s="11">
        <f>COUNTA(tblAugust[[#This Row],[1]:[29]])</f>
        <v>1</v>
      </c>
      <c r="AH28" s="12"/>
    </row>
    <row r="29" spans="1:34" s="13" customFormat="1" x14ac:dyDescent="0.25">
      <c r="A29" s="55" t="s">
        <v>93</v>
      </c>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11">
        <f>COUNTA(tblAugust[[#This Row],[1]:[29]])</f>
        <v>0</v>
      </c>
      <c r="AH29" s="12"/>
    </row>
    <row r="30" spans="1:34" s="13" customFormat="1" x14ac:dyDescent="0.25">
      <c r="A30" s="55" t="s">
        <v>94</v>
      </c>
      <c r="B30" s="65"/>
      <c r="C30" s="65"/>
      <c r="D30" s="65"/>
      <c r="E30" s="65"/>
      <c r="F30" s="65"/>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65"/>
      <c r="AG30" s="11">
        <f>COUNTA(tblAugust[[#This Row],[1]:[29]])</f>
        <v>0</v>
      </c>
      <c r="AH30" s="12"/>
    </row>
    <row r="31" spans="1:34" s="13" customFormat="1" x14ac:dyDescent="0.25">
      <c r="A31" s="55" t="s">
        <v>96</v>
      </c>
      <c r="B31" s="66"/>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11">
        <f>COUNTA(tblAugust[[#This Row],[1]:[29]])</f>
        <v>0</v>
      </c>
      <c r="AH31" s="12"/>
    </row>
    <row r="32" spans="1:34" s="13" customFormat="1" x14ac:dyDescent="0.25">
      <c r="A32" s="55" t="s">
        <v>95</v>
      </c>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t="s">
        <v>36</v>
      </c>
      <c r="AC32" s="66" t="s">
        <v>36</v>
      </c>
      <c r="AD32" s="66"/>
      <c r="AE32" s="66"/>
      <c r="AF32" s="66"/>
      <c r="AG32" s="11">
        <f>COUNTA(tblAugust[[#This Row],[1]:[29]])</f>
        <v>2</v>
      </c>
      <c r="AH32" s="12"/>
    </row>
    <row r="33" spans="1:34" s="13" customFormat="1" x14ac:dyDescent="0.25">
      <c r="A33" s="44" t="s">
        <v>98</v>
      </c>
      <c r="B33" s="73"/>
      <c r="C33" s="73"/>
      <c r="D33" s="73"/>
      <c r="E33" s="73"/>
      <c r="F33" s="73"/>
      <c r="G33" s="73"/>
      <c r="H33" s="73"/>
      <c r="I33" s="73"/>
      <c r="J33" s="73"/>
      <c r="K33" s="73"/>
      <c r="L33" s="73"/>
      <c r="M33" s="73"/>
      <c r="N33" s="73"/>
      <c r="O33" s="73"/>
      <c r="P33" s="73"/>
      <c r="Q33" s="73"/>
      <c r="R33" s="73"/>
      <c r="S33" s="73"/>
      <c r="T33" s="73"/>
      <c r="U33" s="73"/>
      <c r="V33" s="73"/>
      <c r="W33" s="73"/>
      <c r="X33" s="73"/>
      <c r="Y33" s="73"/>
      <c r="Z33" s="73" t="s">
        <v>36</v>
      </c>
      <c r="AA33" s="73"/>
      <c r="AB33" s="73"/>
      <c r="AC33" s="73"/>
      <c r="AD33" s="73"/>
      <c r="AE33" s="73"/>
      <c r="AF33" s="73"/>
      <c r="AG33" s="11">
        <f>COUNTA(tblAugust[[#This Row],[1]:[29]])</f>
        <v>1</v>
      </c>
      <c r="AH33" s="12"/>
    </row>
    <row r="34" spans="1:34" s="13" customFormat="1" x14ac:dyDescent="0.25">
      <c r="A34" s="44" t="s">
        <v>99</v>
      </c>
      <c r="B34" s="73"/>
      <c r="C34" s="73"/>
      <c r="D34" s="73"/>
      <c r="E34" s="73"/>
      <c r="F34" s="73"/>
      <c r="G34" s="73"/>
      <c r="H34" s="73"/>
      <c r="I34" s="73"/>
      <c r="J34" s="73"/>
      <c r="K34" s="73"/>
      <c r="L34" s="73" t="s">
        <v>36</v>
      </c>
      <c r="M34" s="73"/>
      <c r="N34" s="73"/>
      <c r="O34" s="73"/>
      <c r="P34" s="73"/>
      <c r="Q34" s="73"/>
      <c r="R34" s="73"/>
      <c r="S34" s="73"/>
      <c r="T34" s="73" t="s">
        <v>36</v>
      </c>
      <c r="U34" s="73"/>
      <c r="V34" s="73"/>
      <c r="W34" s="73"/>
      <c r="X34" s="73"/>
      <c r="Y34" s="73"/>
      <c r="Z34" s="73"/>
      <c r="AA34" s="73"/>
      <c r="AB34" s="73"/>
      <c r="AC34" s="73"/>
      <c r="AD34" s="73"/>
      <c r="AE34" s="73"/>
      <c r="AF34" s="73"/>
      <c r="AG34" s="11">
        <f>COUNTA(tblAugust[[#This Row],[1]:[29]])</f>
        <v>2</v>
      </c>
      <c r="AH34" s="12"/>
    </row>
    <row r="35" spans="1:34" ht="15" customHeight="1" x14ac:dyDescent="0.25">
      <c r="A35" s="75" t="str">
        <f>MonthName&amp;" Total"</f>
        <v>August Total</v>
      </c>
      <c r="B35" s="70">
        <f>SUBTOTAL(103,tblAugust[1])</f>
        <v>0</v>
      </c>
      <c r="C35" s="70">
        <f>SUBTOTAL(103,tblAugust[2])</f>
        <v>0</v>
      </c>
      <c r="D35" s="70">
        <f>SUBTOTAL(103,tblAugust[3])</f>
        <v>0</v>
      </c>
      <c r="E35" s="70">
        <f>SUBTOTAL(103,tblAugust[4])</f>
        <v>1</v>
      </c>
      <c r="F35" s="70">
        <f>SUBTOTAL(103,tblAugust[5])</f>
        <v>0</v>
      </c>
      <c r="G35" s="70">
        <f>SUBTOTAL(103,tblAugust[6])</f>
        <v>0</v>
      </c>
      <c r="H35" s="70">
        <f>SUBTOTAL(103,tblAugust[7])</f>
        <v>1</v>
      </c>
      <c r="I35" s="70">
        <f>SUBTOTAL(103,tblAugust[8])</f>
        <v>0</v>
      </c>
      <c r="J35" s="70">
        <f>SUBTOTAL(103,tblAugust[9])</f>
        <v>0</v>
      </c>
      <c r="K35" s="70">
        <f>SUBTOTAL(103,tblAugust[10])</f>
        <v>3</v>
      </c>
      <c r="L35" s="70">
        <f>SUBTOTAL(103,tblAugust[11])</f>
        <v>1</v>
      </c>
      <c r="M35" s="70">
        <f>SUBTOTAL(103,tblAugust[12])</f>
        <v>0</v>
      </c>
      <c r="N35" s="70">
        <f>SUBTOTAL(103,tblAugust[13])</f>
        <v>1</v>
      </c>
      <c r="O35" s="70">
        <f>SUBTOTAL(103,tblAugust[14])</f>
        <v>2</v>
      </c>
      <c r="P35" s="70">
        <f>SUBTOTAL(103,tblAugust[15])</f>
        <v>0</v>
      </c>
      <c r="Q35" s="70">
        <f>SUBTOTAL(103,tblAugust[16])</f>
        <v>0</v>
      </c>
      <c r="R35" s="70">
        <f>SUBTOTAL(103,tblAugust[17])</f>
        <v>0</v>
      </c>
      <c r="S35" s="70">
        <f>SUBTOTAL(103,tblAugust[18])</f>
        <v>1</v>
      </c>
      <c r="T35" s="70">
        <f>SUBTOTAL(103,tblAugust[19])</f>
        <v>3</v>
      </c>
      <c r="U35" s="70">
        <f>SUBTOTAL(103,tblAugust[20])</f>
        <v>0</v>
      </c>
      <c r="V35" s="70">
        <f>SUBTOTAL(103,tblAugust[21])</f>
        <v>3</v>
      </c>
      <c r="W35" s="70">
        <f>SUBTOTAL(103,tblAugust[22])</f>
        <v>0</v>
      </c>
      <c r="X35" s="70">
        <f>SUBTOTAL(103,tblAugust[23])</f>
        <v>0</v>
      </c>
      <c r="Y35" s="70">
        <f>SUBTOTAL(103,tblAugust[24])</f>
        <v>5</v>
      </c>
      <c r="Z35" s="70">
        <f>SUBTOTAL(103,tblAugust[25])</f>
        <v>3</v>
      </c>
      <c r="AA35" s="70">
        <f>SUBTOTAL(103,tblAugust[26])</f>
        <v>1</v>
      </c>
      <c r="AB35" s="70">
        <f>SUBTOTAL(103,tblAugust[27])</f>
        <v>4</v>
      </c>
      <c r="AC35" s="70">
        <f>SUBTOTAL(103,tblAugust[28])</f>
        <v>3</v>
      </c>
      <c r="AD35" s="70">
        <f>SUBTOTAL(103,tblAugust[29])</f>
        <v>0</v>
      </c>
      <c r="AE35" s="70"/>
      <c r="AF35" s="70"/>
      <c r="AG35" s="70">
        <f>SUBTOTAL(109,tblAugust[Total Days])</f>
        <v>32</v>
      </c>
    </row>
    <row r="36" spans="1:34" ht="15" customHeight="1" x14ac:dyDescent="0.25">
      <c r="A36" s="80"/>
      <c r="B36" s="80"/>
      <c r="C36" s="80"/>
      <c r="D36" s="80"/>
      <c r="E36" s="80"/>
      <c r="F36" s="80"/>
      <c r="G36" s="80"/>
      <c r="H36" s="80"/>
      <c r="I36" s="80"/>
      <c r="J36" s="80"/>
      <c r="K36" s="80"/>
      <c r="L36" s="80"/>
      <c r="M36" s="80"/>
      <c r="N36" s="80"/>
      <c r="O36" s="80"/>
      <c r="P36" s="80"/>
      <c r="Q36" s="80"/>
      <c r="R36" s="80"/>
      <c r="S36" s="80"/>
      <c r="T36" s="80"/>
      <c r="U36" s="80"/>
      <c r="V36" s="80"/>
      <c r="W36" s="80"/>
      <c r="X36" s="80"/>
      <c r="Y36" s="80"/>
      <c r="Z36" s="80"/>
      <c r="AA36" s="80"/>
      <c r="AB36" s="80"/>
      <c r="AC36" s="80"/>
      <c r="AD36" s="80"/>
      <c r="AE36" s="80"/>
      <c r="AF36" s="80"/>
      <c r="AG36" s="80"/>
    </row>
    <row r="37" spans="1:34" ht="15" customHeight="1" x14ac:dyDescent="0.25">
      <c r="A37"/>
      <c r="B37" s="42" t="str">
        <f>January!B33</f>
        <v>Color Key</v>
      </c>
      <c r="C37" s="42"/>
      <c r="D37" s="42"/>
      <c r="E37" s="42"/>
      <c r="F37" s="43"/>
      <c r="G37" s="26" t="str">
        <f>KeyVacation</f>
        <v>V</v>
      </c>
      <c r="H37" s="39" t="str">
        <f>KeyVacationLabel</f>
        <v>Vacation</v>
      </c>
      <c r="I37" s="40"/>
      <c r="J37" s="40"/>
      <c r="K37" s="22" t="str">
        <f>KeyPersonal</f>
        <v>P</v>
      </c>
      <c r="L37" s="39" t="str">
        <f>KeyPersonalLabel</f>
        <v>Personal</v>
      </c>
      <c r="M37" s="40"/>
      <c r="N37" s="40"/>
      <c r="O37" s="23" t="str">
        <f>KeySick</f>
        <v>S</v>
      </c>
      <c r="P37" s="39" t="str">
        <f>KeySickLabel</f>
        <v>Sick</v>
      </c>
      <c r="Q37" s="40"/>
      <c r="R37" s="40"/>
      <c r="S37" s="24" t="str">
        <f>KeyCustom1</f>
        <v>H</v>
      </c>
      <c r="T37" s="39" t="str">
        <f>KeyCustom1Label</f>
        <v>Holiday</v>
      </c>
      <c r="U37" s="41"/>
      <c r="V37" s="40"/>
      <c r="W37" s="25">
        <f>KeyCustom2</f>
        <v>0</v>
      </c>
      <c r="X37" s="39" t="str">
        <f>KeyCustom2Label</f>
        <v>Custom 2</v>
      </c>
      <c r="Y37" s="40"/>
      <c r="Z37" s="41"/>
    </row>
  </sheetData>
  <mergeCells count="4">
    <mergeCell ref="A2:A3"/>
    <mergeCell ref="B2:AF2"/>
    <mergeCell ref="AG2:AG3"/>
    <mergeCell ref="A36:AG36"/>
  </mergeCells>
  <conditionalFormatting sqref="B5:AF34">
    <cfRule type="expression" priority="1" stopIfTrue="1">
      <formula>B5=""</formula>
    </cfRule>
  </conditionalFormatting>
  <conditionalFormatting sqref="B5:AF34">
    <cfRule type="expression" dxfId="57" priority="2" stopIfTrue="1">
      <formula>B5=KeyCustom2</formula>
    </cfRule>
    <cfRule type="expression" dxfId="56" priority="3" stopIfTrue="1">
      <formula>B5=KeyCustom1</formula>
    </cfRule>
    <cfRule type="expression" dxfId="55" priority="4" stopIfTrue="1">
      <formula>B5=KeySick</formula>
    </cfRule>
    <cfRule type="expression" dxfId="54" priority="5" stopIfTrue="1">
      <formula>B5=KeyPersonal</formula>
    </cfRule>
    <cfRule type="expression" dxfId="53" priority="6" stopIfTrue="1">
      <formula>B5=KeyVacation</formula>
    </cfRule>
  </conditionalFormatting>
  <conditionalFormatting sqref="AG5:AG34">
    <cfRule type="dataBar" priority="96">
      <dataBar>
        <cfvo type="min"/>
        <cfvo type="formula" val="DATEDIF(DATE(CalendarYear,2,1),DATE(CalendarYear,3,1),&quot;d&quot;)"/>
        <color theme="2" tint="-0.249977111117893"/>
      </dataBar>
      <extLst>
        <ext xmlns:x14="http://schemas.microsoft.com/office/spreadsheetml/2009/9/main" uri="{B025F937-C7B1-47D3-B67F-A62EFF666E3E}">
          <x14:id>{FC085EDD-0205-4B5F-B398-CECC5AA8DBEE}</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C085EDD-0205-4B5F-B398-CECC5AA8DBEE}">
            <x14:dataBar minLength="0" maxLength="100">
              <x14:cfvo type="autoMin"/>
              <x14:cfvo type="formula">
                <xm:f>DATEDIF(DATE(CalendarYear,2,1),DATE(CalendarYear,3,1),"d")</xm:f>
              </x14:cfvo>
              <x14:negativeFillColor rgb="FFFF0000"/>
              <x14:axisColor rgb="FF000000"/>
            </x14:dataBar>
          </x14:cfRule>
          <xm:sqref>AG5:AG34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tint="-0.499984740745262"/>
    <pageSetUpPr fitToPage="1"/>
  </sheetPr>
  <dimension ref="A1:AH39"/>
  <sheetViews>
    <sheetView showGridLines="0" tabSelected="1" zoomScaleNormal="100" workbookViewId="0">
      <pane ySplit="4" topLeftCell="A5" activePane="bottomLeft" state="frozen"/>
      <selection pane="bottomLeft"/>
    </sheetView>
  </sheetViews>
  <sheetFormatPr defaultRowHeight="15" customHeight="1" x14ac:dyDescent="0.25"/>
  <cols>
    <col min="1" max="1" width="24.28515625" style="18" customWidth="1"/>
    <col min="2" max="32" width="4" style="15" customWidth="1"/>
    <col min="33" max="33" width="13.5703125" style="14" customWidth="1"/>
    <col min="34" max="34" width="9.140625" style="15"/>
    <col min="35" max="16384" width="9.140625" style="16"/>
  </cols>
  <sheetData>
    <row r="1" spans="1:34" s="1" customFormat="1" ht="50.25" customHeight="1" x14ac:dyDescent="0.25">
      <c r="A1" s="27" t="s">
        <v>0</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20"/>
      <c r="AD1" s="20"/>
      <c r="AE1" s="21"/>
      <c r="AF1"/>
      <c r="AG1"/>
      <c r="AH1" s="2"/>
    </row>
    <row r="2" spans="1:34" ht="30" customHeight="1" x14ac:dyDescent="0.25">
      <c r="A2" s="78" t="s">
        <v>53</v>
      </c>
      <c r="B2" s="76" t="s">
        <v>1</v>
      </c>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9">
        <f>CalendarYear</f>
        <v>2015</v>
      </c>
    </row>
    <row r="3" spans="1:34" ht="15.75" customHeight="1" x14ac:dyDescent="0.25">
      <c r="A3" s="78"/>
      <c r="B3" s="28" t="str">
        <f>TEXT(WEEKDAY(DATE(CalendarYear,9,1),1),"aaa")</f>
        <v>Tue</v>
      </c>
      <c r="C3" s="29" t="str">
        <f>TEXT(WEEKDAY(DATE(CalendarYear,9,2),1),"aaa")</f>
        <v>Wed</v>
      </c>
      <c r="D3" s="29" t="str">
        <f>TEXT(WEEKDAY(DATE(CalendarYear,9,3),1),"aaa")</f>
        <v>Thu</v>
      </c>
      <c r="E3" s="29" t="str">
        <f>TEXT(WEEKDAY(DATE(CalendarYear,9,4),1),"aaa")</f>
        <v>Fri</v>
      </c>
      <c r="F3" s="29" t="str">
        <f>TEXT(WEEKDAY(DATE(CalendarYear,9,5),1),"aaa")</f>
        <v>Sat</v>
      </c>
      <c r="G3" s="29" t="str">
        <f>TEXT(WEEKDAY(DATE(CalendarYear,9,6),1),"aaa")</f>
        <v>Sun</v>
      </c>
      <c r="H3" s="29" t="str">
        <f>TEXT(WEEKDAY(DATE(CalendarYear,9,7),1),"aaa")</f>
        <v>Mon</v>
      </c>
      <c r="I3" s="29" t="str">
        <f>TEXT(WEEKDAY(DATE(CalendarYear,9,8),1),"aaa")</f>
        <v>Tue</v>
      </c>
      <c r="J3" s="29" t="str">
        <f>TEXT(WEEKDAY(DATE(CalendarYear,9,9),1),"aaa")</f>
        <v>Wed</v>
      </c>
      <c r="K3" s="29" t="str">
        <f>TEXT(WEEKDAY(DATE(CalendarYear,9,10),1),"aaa")</f>
        <v>Thu</v>
      </c>
      <c r="L3" s="29" t="str">
        <f>TEXT(WEEKDAY(DATE(CalendarYear,9,11),1),"aaa")</f>
        <v>Fri</v>
      </c>
      <c r="M3" s="29" t="str">
        <f>TEXT(WEEKDAY(DATE(CalendarYear,9,12),1),"aaa")</f>
        <v>Sat</v>
      </c>
      <c r="N3" s="29" t="str">
        <f>TEXT(WEEKDAY(DATE(CalendarYear,9,13),1),"aaa")</f>
        <v>Sun</v>
      </c>
      <c r="O3" s="29" t="str">
        <f>TEXT(WEEKDAY(DATE(CalendarYear,9,14),1),"aaa")</f>
        <v>Mon</v>
      </c>
      <c r="P3" s="29" t="str">
        <f>TEXT(WEEKDAY(DATE(CalendarYear,9,15),1),"aaa")</f>
        <v>Tue</v>
      </c>
      <c r="Q3" s="29" t="str">
        <f>TEXT(WEEKDAY(DATE(CalendarYear,9,16),1),"aaa")</f>
        <v>Wed</v>
      </c>
      <c r="R3" s="29" t="str">
        <f>TEXT(WEEKDAY(DATE(CalendarYear,9,17),1),"aaa")</f>
        <v>Thu</v>
      </c>
      <c r="S3" s="29" t="str">
        <f>TEXT(WEEKDAY(DATE(CalendarYear,9,18),1),"aaa")</f>
        <v>Fri</v>
      </c>
      <c r="T3" s="29" t="str">
        <f>TEXT(WEEKDAY(DATE(CalendarYear,9,19),1),"aaa")</f>
        <v>Sat</v>
      </c>
      <c r="U3" s="29" t="str">
        <f>TEXT(WEEKDAY(DATE(CalendarYear,9,20),1),"aaa")</f>
        <v>Sun</v>
      </c>
      <c r="V3" s="29" t="str">
        <f>TEXT(WEEKDAY(DATE(CalendarYear,9,21),1),"aaa")</f>
        <v>Mon</v>
      </c>
      <c r="W3" s="29" t="str">
        <f>TEXT(WEEKDAY(DATE(CalendarYear,9,22),1),"aaa")</f>
        <v>Tue</v>
      </c>
      <c r="X3" s="29" t="str">
        <f>TEXT(WEEKDAY(DATE(CalendarYear,9,23),1),"aaa")</f>
        <v>Wed</v>
      </c>
      <c r="Y3" s="29" t="str">
        <f>TEXT(WEEKDAY(DATE(CalendarYear,9,24),1),"aaa")</f>
        <v>Thu</v>
      </c>
      <c r="Z3" s="29" t="str">
        <f>TEXT(WEEKDAY(DATE(CalendarYear,9,25),1),"aaa")</f>
        <v>Fri</v>
      </c>
      <c r="AA3" s="29" t="str">
        <f>TEXT(WEEKDAY(DATE(CalendarYear,9,26),1),"aaa")</f>
        <v>Sat</v>
      </c>
      <c r="AB3" s="29" t="str">
        <f>TEXT(WEEKDAY(DATE(CalendarYear,9,27),1),"aaa")</f>
        <v>Sun</v>
      </c>
      <c r="AC3" s="29" t="str">
        <f>TEXT(WEEKDAY(DATE(CalendarYear,9,28),1),"aaa")</f>
        <v>Mon</v>
      </c>
      <c r="AD3" s="29" t="str">
        <f>TEXT(WEEKDAY(DATE(CalendarYear,9,29),1),"aaa")</f>
        <v>Tue</v>
      </c>
      <c r="AE3" s="29" t="str">
        <f>TEXT(WEEKDAY(DATE(CalendarYear,9,30),1),"aaa")</f>
        <v>Wed</v>
      </c>
      <c r="AF3" s="29"/>
      <c r="AG3" s="79"/>
    </row>
    <row r="4" spans="1:34" s="13" customFormat="1" x14ac:dyDescent="0.25">
      <c r="A4" s="38" t="s">
        <v>2</v>
      </c>
      <c r="B4" s="45" t="s">
        <v>3</v>
      </c>
      <c r="C4" s="45" t="s">
        <v>4</v>
      </c>
      <c r="D4" s="45" t="s">
        <v>5</v>
      </c>
      <c r="E4" s="45" t="s">
        <v>6</v>
      </c>
      <c r="F4" s="45" t="s">
        <v>7</v>
      </c>
      <c r="G4" s="45" t="s">
        <v>8</v>
      </c>
      <c r="H4" s="45" t="s">
        <v>9</v>
      </c>
      <c r="I4" s="45" t="s">
        <v>10</v>
      </c>
      <c r="J4" s="45" t="s">
        <v>11</v>
      </c>
      <c r="K4" s="45" t="s">
        <v>12</v>
      </c>
      <c r="L4" s="45" t="s">
        <v>13</v>
      </c>
      <c r="M4" s="45" t="s">
        <v>14</v>
      </c>
      <c r="N4" s="45" t="s">
        <v>15</v>
      </c>
      <c r="O4" s="45" t="s">
        <v>16</v>
      </c>
      <c r="P4" s="45" t="s">
        <v>17</v>
      </c>
      <c r="Q4" s="45" t="s">
        <v>18</v>
      </c>
      <c r="R4" s="45" t="s">
        <v>19</v>
      </c>
      <c r="S4" s="45" t="s">
        <v>20</v>
      </c>
      <c r="T4" s="45" t="s">
        <v>21</v>
      </c>
      <c r="U4" s="45" t="s">
        <v>22</v>
      </c>
      <c r="V4" s="45" t="s">
        <v>23</v>
      </c>
      <c r="W4" s="45" t="s">
        <v>24</v>
      </c>
      <c r="X4" s="45" t="s">
        <v>25</v>
      </c>
      <c r="Y4" s="45" t="s">
        <v>26</v>
      </c>
      <c r="Z4" s="45" t="s">
        <v>27</v>
      </c>
      <c r="AA4" s="45" t="s">
        <v>28</v>
      </c>
      <c r="AB4" s="45" t="s">
        <v>29</v>
      </c>
      <c r="AC4" s="45" t="s">
        <v>30</v>
      </c>
      <c r="AD4" s="17" t="s">
        <v>31</v>
      </c>
      <c r="AE4" s="45" t="s">
        <v>32</v>
      </c>
      <c r="AF4" s="45" t="s">
        <v>37</v>
      </c>
      <c r="AG4" s="45" t="s">
        <v>34</v>
      </c>
      <c r="AH4" s="12"/>
    </row>
    <row r="5" spans="1:34" s="13" customFormat="1" x14ac:dyDescent="0.25">
      <c r="A5" s="44" t="s">
        <v>60</v>
      </c>
      <c r="B5" s="45"/>
      <c r="C5" s="45"/>
      <c r="D5" s="45"/>
      <c r="E5" s="45"/>
      <c r="F5" s="45"/>
      <c r="G5" s="45"/>
      <c r="H5" s="45"/>
      <c r="I5" s="45"/>
      <c r="J5" s="45"/>
      <c r="K5" s="45"/>
      <c r="L5" s="45"/>
      <c r="M5" s="45"/>
      <c r="N5" s="45"/>
      <c r="O5" s="45"/>
      <c r="P5" s="45"/>
      <c r="Q5" s="45"/>
      <c r="R5" s="45"/>
      <c r="S5" s="45"/>
      <c r="T5" s="45"/>
      <c r="U5" s="45"/>
      <c r="V5" s="45"/>
      <c r="W5" s="45"/>
      <c r="X5" s="45"/>
      <c r="Y5" s="45" t="s">
        <v>36</v>
      </c>
      <c r="Z5" s="45" t="s">
        <v>36</v>
      </c>
      <c r="AA5" s="45"/>
      <c r="AB5" s="45"/>
      <c r="AC5" s="45"/>
      <c r="AD5" s="45"/>
      <c r="AE5" s="45"/>
      <c r="AF5" s="45"/>
      <c r="AG5" s="11">
        <f>COUNTA(tblSeptember[[#This Row],[1]:[29]])</f>
        <v>2</v>
      </c>
      <c r="AH5" s="12"/>
    </row>
    <row r="6" spans="1:34" s="13" customFormat="1" x14ac:dyDescent="0.25">
      <c r="A6" s="44" t="s">
        <v>82</v>
      </c>
      <c r="B6" s="46"/>
      <c r="C6" s="46"/>
      <c r="D6" s="46"/>
      <c r="E6" s="46"/>
      <c r="F6" s="46"/>
      <c r="G6" s="46"/>
      <c r="H6" s="46"/>
      <c r="I6" s="46"/>
      <c r="J6" s="46"/>
      <c r="K6" s="46"/>
      <c r="L6" s="46"/>
      <c r="M6" s="46"/>
      <c r="N6" s="46"/>
      <c r="O6" s="46"/>
      <c r="P6" s="46"/>
      <c r="Q6" s="46"/>
      <c r="R6" s="46"/>
      <c r="S6" s="46"/>
      <c r="T6" s="46"/>
      <c r="U6" s="46"/>
      <c r="V6" s="46"/>
      <c r="W6" s="46"/>
      <c r="X6" s="46"/>
      <c r="Y6" s="46" t="s">
        <v>36</v>
      </c>
      <c r="Z6" s="46" t="s">
        <v>36</v>
      </c>
      <c r="AA6" s="46"/>
      <c r="AB6" s="46"/>
      <c r="AC6" s="46"/>
      <c r="AD6" s="46"/>
      <c r="AE6" s="46"/>
      <c r="AF6" s="46"/>
      <c r="AG6" s="11">
        <f>COUNTA(tblSeptember[[#This Row],[1]:[29]])</f>
        <v>2</v>
      </c>
      <c r="AH6" s="12"/>
    </row>
    <row r="7" spans="1:34" s="13" customFormat="1" x14ac:dyDescent="0.25">
      <c r="A7" s="44" t="s">
        <v>97</v>
      </c>
      <c r="B7" s="67"/>
      <c r="C7" s="67"/>
      <c r="D7" s="67"/>
      <c r="E7" s="67"/>
      <c r="F7" s="67"/>
      <c r="G7" s="67"/>
      <c r="H7" s="67"/>
      <c r="I7" s="67"/>
      <c r="J7" s="67"/>
      <c r="K7" s="67"/>
      <c r="L7" s="67"/>
      <c r="M7" s="67"/>
      <c r="N7" s="67"/>
      <c r="O7" s="67"/>
      <c r="P7" s="67"/>
      <c r="Q7" s="67"/>
      <c r="R7" s="67"/>
      <c r="S7" s="67"/>
      <c r="T7" s="67"/>
      <c r="U7" s="67"/>
      <c r="V7" s="67"/>
      <c r="W7" s="67"/>
      <c r="X7" s="67"/>
      <c r="Y7" s="67"/>
      <c r="Z7" s="67"/>
      <c r="AA7" s="67"/>
      <c r="AB7" s="67"/>
      <c r="AC7" s="67"/>
      <c r="AD7" s="67"/>
      <c r="AE7" s="67"/>
      <c r="AF7" s="67"/>
      <c r="AG7" s="11">
        <f>COUNTA(tblSeptember[[#This Row],[1]:[29]])</f>
        <v>0</v>
      </c>
      <c r="AH7" s="12"/>
    </row>
    <row r="8" spans="1:34" s="13" customFormat="1" x14ac:dyDescent="0.25">
      <c r="A8" s="44" t="s">
        <v>58</v>
      </c>
      <c r="B8" s="46"/>
      <c r="C8" s="46"/>
      <c r="D8" s="46"/>
      <c r="E8" s="46"/>
      <c r="F8" s="46"/>
      <c r="G8" s="46"/>
      <c r="H8" s="46"/>
      <c r="I8" s="46"/>
      <c r="J8" s="46" t="s">
        <v>36</v>
      </c>
      <c r="K8" s="46"/>
      <c r="L8" s="46"/>
      <c r="M8" s="46"/>
      <c r="N8" s="46"/>
      <c r="O8" s="46"/>
      <c r="P8" s="46"/>
      <c r="Q8" s="46"/>
      <c r="R8" s="46"/>
      <c r="S8" s="46"/>
      <c r="T8" s="46"/>
      <c r="U8" s="46"/>
      <c r="V8" s="46" t="s">
        <v>36</v>
      </c>
      <c r="W8" s="46"/>
      <c r="X8" s="46"/>
      <c r="Y8" s="46"/>
      <c r="Z8" s="46"/>
      <c r="AA8" s="46"/>
      <c r="AB8" s="46"/>
      <c r="AC8" s="46"/>
      <c r="AD8" s="46"/>
      <c r="AE8" s="46"/>
      <c r="AF8" s="46"/>
      <c r="AG8" s="11">
        <f>COUNTA(tblSeptember[[#This Row],[1]:[29]])</f>
        <v>2</v>
      </c>
      <c r="AH8" s="12"/>
    </row>
    <row r="9" spans="1:34" s="13" customFormat="1" x14ac:dyDescent="0.25">
      <c r="A9" s="44" t="s">
        <v>63</v>
      </c>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11">
        <f>COUNTA(tblSeptember[[#This Row],[1]:[29]])</f>
        <v>0</v>
      </c>
      <c r="AH9" s="12"/>
    </row>
    <row r="10" spans="1:34" s="13" customFormat="1" x14ac:dyDescent="0.25">
      <c r="A10" s="55" t="s">
        <v>94</v>
      </c>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11">
        <f>COUNTA(tblSeptember[[#This Row],[1]:[29]])</f>
        <v>0</v>
      </c>
      <c r="AH10" s="12"/>
    </row>
    <row r="11" spans="1:34" s="13" customFormat="1" x14ac:dyDescent="0.25">
      <c r="A11" s="44" t="s">
        <v>73</v>
      </c>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11">
        <f>COUNTA(tblSeptember[[#This Row],[1]:[29]])</f>
        <v>0</v>
      </c>
      <c r="AH11" s="12"/>
    </row>
    <row r="12" spans="1:34" s="13" customFormat="1" x14ac:dyDescent="0.25">
      <c r="A12" s="55" t="s">
        <v>90</v>
      </c>
      <c r="B12" s="46"/>
      <c r="C12" s="46"/>
      <c r="D12" s="46"/>
      <c r="E12" s="46"/>
      <c r="F12" s="46"/>
      <c r="G12" s="46"/>
      <c r="H12" s="46"/>
      <c r="I12" s="46"/>
      <c r="J12" s="46"/>
      <c r="K12" s="46"/>
      <c r="L12" s="46"/>
      <c r="M12" s="46"/>
      <c r="N12" s="46"/>
      <c r="O12" s="46"/>
      <c r="P12" s="46"/>
      <c r="Q12" s="46"/>
      <c r="R12" s="46"/>
      <c r="S12" s="46"/>
      <c r="T12" s="46"/>
      <c r="U12" s="46"/>
      <c r="V12" s="46"/>
      <c r="W12" s="46"/>
      <c r="X12" s="46" t="s">
        <v>36</v>
      </c>
      <c r="Y12" s="46"/>
      <c r="Z12" s="46"/>
      <c r="AA12" s="46"/>
      <c r="AB12" s="46"/>
      <c r="AC12" s="46"/>
      <c r="AD12" s="46"/>
      <c r="AE12" s="46"/>
      <c r="AF12" s="46"/>
      <c r="AG12" s="11">
        <f>COUNTA(tblSeptember[[#This Row],[1]:[29]])</f>
        <v>1</v>
      </c>
      <c r="AH12" s="12"/>
    </row>
    <row r="13" spans="1:34" s="13" customFormat="1" x14ac:dyDescent="0.25">
      <c r="A13" s="55" t="s">
        <v>93</v>
      </c>
      <c r="B13" s="46"/>
      <c r="C13" s="46"/>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11">
        <f>COUNTA(tblSeptember[[#This Row],[1]:[29]])</f>
        <v>0</v>
      </c>
      <c r="AH13" s="12"/>
    </row>
    <row r="14" spans="1:34" s="13" customFormat="1" x14ac:dyDescent="0.25">
      <c r="A14" s="44" t="s">
        <v>74</v>
      </c>
      <c r="B14" s="46"/>
      <c r="C14" s="46"/>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11">
        <f>COUNTA(tblSeptember[[#This Row],[1]:[29]])</f>
        <v>0</v>
      </c>
      <c r="AH14" s="12"/>
    </row>
    <row r="15" spans="1:34" s="13" customFormat="1" x14ac:dyDescent="0.25">
      <c r="A15" s="44" t="s">
        <v>101</v>
      </c>
      <c r="B15" s="74"/>
      <c r="C15" s="74"/>
      <c r="D15" s="74"/>
      <c r="E15" s="74"/>
      <c r="F15" s="74"/>
      <c r="G15" s="74"/>
      <c r="H15" s="74"/>
      <c r="I15" s="74"/>
      <c r="J15" s="74"/>
      <c r="K15" s="74"/>
      <c r="L15" s="74"/>
      <c r="M15" s="74"/>
      <c r="N15" s="74"/>
      <c r="O15" s="74"/>
      <c r="P15" s="74"/>
      <c r="Q15" s="74"/>
      <c r="R15" s="74"/>
      <c r="S15" s="74"/>
      <c r="T15" s="74"/>
      <c r="U15" s="74"/>
      <c r="V15" s="74"/>
      <c r="W15" s="74"/>
      <c r="X15" s="74"/>
      <c r="Y15" s="74" t="s">
        <v>36</v>
      </c>
      <c r="Z15" s="74" t="s">
        <v>36</v>
      </c>
      <c r="AA15" s="74"/>
      <c r="AB15" s="74"/>
      <c r="AC15" s="74"/>
      <c r="AD15" s="74"/>
      <c r="AE15" s="74"/>
      <c r="AF15" s="74"/>
      <c r="AG15" s="11">
        <f>COUNTA(tblSeptember[[#This Row],[1]:[29]])</f>
        <v>2</v>
      </c>
      <c r="AH15" s="12"/>
    </row>
    <row r="16" spans="1:34" s="13" customFormat="1" x14ac:dyDescent="0.25">
      <c r="A16" s="55" t="s">
        <v>91</v>
      </c>
      <c r="B16" s="46"/>
      <c r="C16" s="46"/>
      <c r="D16" s="46"/>
      <c r="E16" s="46"/>
      <c r="F16" s="46"/>
      <c r="G16" s="46"/>
      <c r="H16" s="46"/>
      <c r="I16" s="46"/>
      <c r="J16" s="46"/>
      <c r="K16" s="46"/>
      <c r="L16" s="46"/>
      <c r="M16" s="46"/>
      <c r="N16" s="46"/>
      <c r="O16" s="46"/>
      <c r="P16" s="46"/>
      <c r="Q16" s="46"/>
      <c r="R16" s="46"/>
      <c r="S16" s="46"/>
      <c r="T16" s="46"/>
      <c r="U16" s="46"/>
      <c r="V16" s="46"/>
      <c r="W16" s="46" t="s">
        <v>36</v>
      </c>
      <c r="X16" s="46"/>
      <c r="Y16" s="46"/>
      <c r="Z16" s="46"/>
      <c r="AA16" s="46"/>
      <c r="AB16" s="46"/>
      <c r="AC16" s="46"/>
      <c r="AD16" s="46"/>
      <c r="AE16" s="46"/>
      <c r="AF16" s="46"/>
      <c r="AG16" s="11">
        <f>COUNTA(tblSeptember[[#This Row],[1]:[29]])</f>
        <v>1</v>
      </c>
      <c r="AH16" s="12"/>
    </row>
    <row r="17" spans="1:34" s="13" customFormat="1" x14ac:dyDescent="0.25">
      <c r="A17" s="55" t="s">
        <v>92</v>
      </c>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11">
        <f>COUNTA(tblSeptember[[#This Row],[1]:[29]])</f>
        <v>0</v>
      </c>
      <c r="AH17" s="12"/>
    </row>
    <row r="18" spans="1:34" s="13" customFormat="1" x14ac:dyDescent="0.25">
      <c r="A18" s="44" t="s">
        <v>81</v>
      </c>
      <c r="B18" s="46"/>
      <c r="C18" s="46"/>
      <c r="D18" s="46"/>
      <c r="E18" s="46"/>
      <c r="F18" s="46"/>
      <c r="G18" s="46"/>
      <c r="H18" s="46"/>
      <c r="I18" s="46" t="s">
        <v>36</v>
      </c>
      <c r="J18" s="46"/>
      <c r="K18" s="46"/>
      <c r="L18" s="46"/>
      <c r="M18" s="46"/>
      <c r="N18" s="46"/>
      <c r="O18" s="46"/>
      <c r="P18" s="46"/>
      <c r="Q18" s="46"/>
      <c r="R18" s="46"/>
      <c r="S18" s="46"/>
      <c r="T18" s="46"/>
      <c r="U18" s="46"/>
      <c r="V18" s="46"/>
      <c r="W18" s="46"/>
      <c r="X18" s="46"/>
      <c r="Y18" s="46"/>
      <c r="Z18" s="46"/>
      <c r="AA18" s="46"/>
      <c r="AB18" s="46"/>
      <c r="AC18" s="46"/>
      <c r="AD18" s="46"/>
      <c r="AE18" s="46"/>
      <c r="AF18" s="46"/>
      <c r="AG18" s="11">
        <f>COUNTA(tblSeptember[[#This Row],[1]:[29]])</f>
        <v>1</v>
      </c>
      <c r="AH18" s="12"/>
    </row>
    <row r="19" spans="1:34" s="13" customFormat="1" x14ac:dyDescent="0.25">
      <c r="A19" s="55" t="s">
        <v>96</v>
      </c>
      <c r="B19" s="46"/>
      <c r="C19" s="46"/>
      <c r="D19" s="46"/>
      <c r="E19" s="46"/>
      <c r="F19" s="46"/>
      <c r="G19" s="46"/>
      <c r="H19" s="46"/>
      <c r="I19" s="46"/>
      <c r="J19" s="46"/>
      <c r="K19" s="46"/>
      <c r="L19" s="46"/>
      <c r="M19" s="46"/>
      <c r="N19" s="46"/>
      <c r="O19" s="46"/>
      <c r="P19" s="46"/>
      <c r="Q19" s="46"/>
      <c r="R19" s="46"/>
      <c r="S19" s="46" t="s">
        <v>36</v>
      </c>
      <c r="T19" s="46"/>
      <c r="U19" s="46"/>
      <c r="V19" s="46"/>
      <c r="W19" s="46"/>
      <c r="X19" s="46"/>
      <c r="Y19" s="46"/>
      <c r="Z19" s="46"/>
      <c r="AA19" s="46"/>
      <c r="AB19" s="46"/>
      <c r="AC19" s="46"/>
      <c r="AD19" s="46"/>
      <c r="AE19" s="46"/>
      <c r="AF19" s="46"/>
      <c r="AG19" s="11">
        <f>COUNTA(tblSeptember[[#This Row],[1]:[29]])</f>
        <v>1</v>
      </c>
      <c r="AH19" s="12"/>
    </row>
    <row r="20" spans="1:34" s="13" customFormat="1" x14ac:dyDescent="0.25">
      <c r="A20" s="55" t="s">
        <v>95</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11">
        <f>COUNTA(tblSeptember[[#This Row],[1]:[29]])</f>
        <v>0</v>
      </c>
      <c r="AH20" s="12"/>
    </row>
    <row r="21" spans="1:34" s="13" customFormat="1" x14ac:dyDescent="0.25">
      <c r="A21" s="44" t="s">
        <v>66</v>
      </c>
      <c r="B21" s="46"/>
      <c r="C21" s="46"/>
      <c r="D21" s="46"/>
      <c r="E21" s="46"/>
      <c r="F21" s="46"/>
      <c r="G21" s="46"/>
      <c r="H21" s="46"/>
      <c r="I21" s="46"/>
      <c r="J21" s="46"/>
      <c r="K21" s="46"/>
      <c r="L21" s="46"/>
      <c r="M21" s="46"/>
      <c r="N21" s="46"/>
      <c r="O21" s="46"/>
      <c r="P21" s="46"/>
      <c r="Q21" s="46"/>
      <c r="R21" s="46"/>
      <c r="S21" s="46"/>
      <c r="T21" s="46"/>
      <c r="U21" s="46"/>
      <c r="V21" s="46" t="s">
        <v>36</v>
      </c>
      <c r="W21" s="46"/>
      <c r="X21" s="46"/>
      <c r="Y21" s="46"/>
      <c r="Z21" s="46"/>
      <c r="AA21" s="46"/>
      <c r="AB21" s="46"/>
      <c r="AC21" s="46"/>
      <c r="AD21" s="46"/>
      <c r="AE21" s="46"/>
      <c r="AF21" s="46"/>
      <c r="AG21" s="11">
        <f>COUNTA(tblSeptember[[#This Row],[1]:[29]])</f>
        <v>1</v>
      </c>
      <c r="AH21" s="12"/>
    </row>
    <row r="22" spans="1:34" s="13" customFormat="1" x14ac:dyDescent="0.25">
      <c r="A22" s="44" t="s">
        <v>89</v>
      </c>
      <c r="B22" s="68"/>
      <c r="C22" s="68"/>
      <c r="D22" s="68"/>
      <c r="E22" s="68"/>
      <c r="F22" s="68"/>
      <c r="G22" s="68"/>
      <c r="H22" s="68"/>
      <c r="I22" s="68"/>
      <c r="J22" s="68"/>
      <c r="K22" s="68"/>
      <c r="L22" s="68"/>
      <c r="M22" s="68"/>
      <c r="N22" s="68"/>
      <c r="O22" s="68"/>
      <c r="P22" s="68"/>
      <c r="Q22" s="68"/>
      <c r="R22" s="68"/>
      <c r="S22" s="68"/>
      <c r="T22" s="68"/>
      <c r="U22" s="68"/>
      <c r="V22" s="68"/>
      <c r="W22" s="68"/>
      <c r="X22" s="68"/>
      <c r="Y22" s="68"/>
      <c r="Z22" s="68" t="s">
        <v>36</v>
      </c>
      <c r="AA22" s="68"/>
      <c r="AB22" s="68"/>
      <c r="AC22" s="68"/>
      <c r="AD22" s="68"/>
      <c r="AE22" s="68"/>
      <c r="AF22" s="68"/>
      <c r="AG22" s="11">
        <f>COUNTA(tblSeptember[[#This Row],[1]:[29]])</f>
        <v>1</v>
      </c>
      <c r="AH22" s="12"/>
    </row>
    <row r="23" spans="1:34" s="13" customFormat="1" x14ac:dyDescent="0.25">
      <c r="A23" s="44" t="s">
        <v>79</v>
      </c>
      <c r="B23" s="46"/>
      <c r="C23" s="46"/>
      <c r="D23" s="46"/>
      <c r="E23" s="46"/>
      <c r="F23" s="46"/>
      <c r="G23" s="46"/>
      <c r="H23" s="46"/>
      <c r="I23" s="46" t="s">
        <v>36</v>
      </c>
      <c r="J23" s="46"/>
      <c r="K23" s="46"/>
      <c r="L23" s="46"/>
      <c r="M23" s="46"/>
      <c r="N23" s="46"/>
      <c r="O23" s="46"/>
      <c r="P23" s="46"/>
      <c r="Q23" s="46"/>
      <c r="R23" s="46"/>
      <c r="S23" s="46"/>
      <c r="T23" s="46"/>
      <c r="U23" s="46"/>
      <c r="V23" s="46" t="s">
        <v>36</v>
      </c>
      <c r="W23" s="46"/>
      <c r="X23" s="46"/>
      <c r="Y23" s="46"/>
      <c r="Z23" s="46"/>
      <c r="AA23" s="46"/>
      <c r="AB23" s="46"/>
      <c r="AC23" s="46"/>
      <c r="AD23" s="46"/>
      <c r="AE23" s="46"/>
      <c r="AF23" s="46"/>
      <c r="AG23" s="11">
        <f>COUNTA(tblSeptember[[#This Row],[1]:[29]])</f>
        <v>2</v>
      </c>
      <c r="AH23" s="12"/>
    </row>
    <row r="24" spans="1:34" s="13" customFormat="1" x14ac:dyDescent="0.25">
      <c r="A24" s="44" t="s">
        <v>68</v>
      </c>
      <c r="B24" s="46"/>
      <c r="C24" s="46"/>
      <c r="D24" s="46"/>
      <c r="E24" s="46" t="s">
        <v>36</v>
      </c>
      <c r="F24" s="46"/>
      <c r="G24" s="46"/>
      <c r="H24" s="46"/>
      <c r="I24" s="46"/>
      <c r="J24" s="46"/>
      <c r="K24" s="46"/>
      <c r="L24" s="46"/>
      <c r="M24" s="46"/>
      <c r="N24" s="46"/>
      <c r="O24" s="46"/>
      <c r="P24" s="46"/>
      <c r="Q24" s="46"/>
      <c r="R24" s="46"/>
      <c r="S24" s="46"/>
      <c r="T24" s="46"/>
      <c r="U24" s="46"/>
      <c r="V24" s="46"/>
      <c r="W24" s="46"/>
      <c r="X24" s="46"/>
      <c r="Y24" s="46" t="s">
        <v>36</v>
      </c>
      <c r="Z24" s="46"/>
      <c r="AA24" s="46"/>
      <c r="AB24" s="46"/>
      <c r="AC24" s="46" t="s">
        <v>36</v>
      </c>
      <c r="AD24" s="46"/>
      <c r="AE24" s="46"/>
      <c r="AF24" s="46"/>
      <c r="AG24" s="11">
        <f>COUNTA(tblSeptember[[#This Row],[1]:[29]])</f>
        <v>3</v>
      </c>
      <c r="AH24" s="12"/>
    </row>
    <row r="25" spans="1:34" s="13" customFormat="1" x14ac:dyDescent="0.25">
      <c r="A25" s="44" t="s">
        <v>65</v>
      </c>
      <c r="B25" s="46"/>
      <c r="C25" s="46"/>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11">
        <f>COUNTA(tblSeptember[[#This Row],[1]:[29]])</f>
        <v>0</v>
      </c>
      <c r="AH25" s="12"/>
    </row>
    <row r="26" spans="1:34" s="13" customFormat="1" x14ac:dyDescent="0.25">
      <c r="A26" s="44" t="s">
        <v>67</v>
      </c>
      <c r="B26" s="46"/>
      <c r="C26" s="46"/>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11">
        <f>COUNTA(tblSeptember[[#This Row],[1]:[29]])</f>
        <v>0</v>
      </c>
      <c r="AH26" s="12"/>
    </row>
    <row r="27" spans="1:34" s="13" customFormat="1" x14ac:dyDescent="0.25">
      <c r="A27" s="44" t="s">
        <v>64</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11">
        <f>COUNTA(tblSeptember[[#This Row],[1]:[29]])</f>
        <v>0</v>
      </c>
      <c r="AH27" s="12"/>
    </row>
    <row r="28" spans="1:34" s="13" customFormat="1" x14ac:dyDescent="0.25">
      <c r="A28" s="44" t="s">
        <v>61</v>
      </c>
      <c r="B28" s="46"/>
      <c r="C28" s="46"/>
      <c r="D28" s="46"/>
      <c r="E28" s="46"/>
      <c r="F28" s="46"/>
      <c r="G28" s="46"/>
      <c r="H28" s="46"/>
      <c r="I28" s="46"/>
      <c r="J28" s="46"/>
      <c r="K28" s="46"/>
      <c r="L28" s="46"/>
      <c r="M28" s="46"/>
      <c r="N28" s="46"/>
      <c r="O28" s="46" t="s">
        <v>36</v>
      </c>
      <c r="P28" s="46"/>
      <c r="Q28" s="46"/>
      <c r="R28" s="46"/>
      <c r="S28" s="46"/>
      <c r="T28" s="46"/>
      <c r="U28" s="46"/>
      <c r="V28" s="46"/>
      <c r="W28" s="46"/>
      <c r="X28" s="46"/>
      <c r="Y28" s="46"/>
      <c r="Z28" s="46"/>
      <c r="AA28" s="46"/>
      <c r="AB28" s="46"/>
      <c r="AC28" s="46"/>
      <c r="AD28" s="46"/>
      <c r="AE28" s="46"/>
      <c r="AF28" s="46"/>
      <c r="AG28" s="11">
        <f>COUNTA(tblSeptember[[#This Row],[1]:[29]])</f>
        <v>1</v>
      </c>
      <c r="AH28" s="12"/>
    </row>
    <row r="29" spans="1:34" s="13" customFormat="1" x14ac:dyDescent="0.25">
      <c r="A29" s="44" t="s">
        <v>57</v>
      </c>
      <c r="B29" s="46"/>
      <c r="C29" s="46"/>
      <c r="D29" s="46"/>
      <c r="E29" s="46"/>
      <c r="F29" s="46"/>
      <c r="G29" s="46"/>
      <c r="H29" s="72"/>
      <c r="I29" s="72"/>
      <c r="J29" s="72"/>
      <c r="K29" s="72"/>
      <c r="L29" s="46"/>
      <c r="M29" s="46"/>
      <c r="N29" s="46"/>
      <c r="O29" s="46"/>
      <c r="P29" s="46"/>
      <c r="Q29" s="46"/>
      <c r="R29" s="46"/>
      <c r="S29" s="46"/>
      <c r="T29" s="46"/>
      <c r="U29" s="46"/>
      <c r="V29" s="46"/>
      <c r="W29" s="46"/>
      <c r="X29" s="46"/>
      <c r="Y29" s="46"/>
      <c r="Z29" s="46"/>
      <c r="AA29" s="46"/>
      <c r="AB29" s="46"/>
      <c r="AC29" s="46"/>
      <c r="AD29" s="46"/>
      <c r="AE29" s="46"/>
      <c r="AF29" s="46"/>
      <c r="AG29" s="11">
        <f>COUNTA(tblSeptember[[#This Row],[1]:[29]])</f>
        <v>0</v>
      </c>
      <c r="AH29" s="12"/>
    </row>
    <row r="30" spans="1:34" s="13" customFormat="1" x14ac:dyDescent="0.25">
      <c r="A30" s="44" t="s">
        <v>77</v>
      </c>
      <c r="B30" s="46"/>
      <c r="C30" s="46"/>
      <c r="D30" s="46"/>
      <c r="E30" s="46"/>
      <c r="F30" s="46"/>
      <c r="G30" s="46"/>
      <c r="H30" s="46" t="s">
        <v>36</v>
      </c>
      <c r="I30" s="46"/>
      <c r="J30" s="46"/>
      <c r="K30" s="46" t="s">
        <v>36</v>
      </c>
      <c r="L30" s="46"/>
      <c r="M30" s="46"/>
      <c r="N30" s="46"/>
      <c r="O30" s="46"/>
      <c r="P30" s="46"/>
      <c r="Q30" s="46"/>
      <c r="R30" s="46"/>
      <c r="S30" s="46"/>
      <c r="T30" s="46"/>
      <c r="U30" s="46"/>
      <c r="V30" s="46"/>
      <c r="W30" s="46"/>
      <c r="X30" s="46"/>
      <c r="Y30" s="46"/>
      <c r="Z30" s="46"/>
      <c r="AA30" s="46"/>
      <c r="AB30" s="46"/>
      <c r="AC30" s="46" t="s">
        <v>36</v>
      </c>
      <c r="AD30" s="46"/>
      <c r="AE30" s="46"/>
      <c r="AF30" s="46"/>
      <c r="AG30" s="11">
        <f>COUNTA(tblSeptember[[#This Row],[1]:[29]])</f>
        <v>3</v>
      </c>
      <c r="AH30" s="12"/>
    </row>
    <row r="31" spans="1:34" s="13" customFormat="1" x14ac:dyDescent="0.25">
      <c r="A31" s="44" t="s">
        <v>75</v>
      </c>
      <c r="B31" s="46"/>
      <c r="C31" s="46"/>
      <c r="D31" s="46"/>
      <c r="E31" s="46"/>
      <c r="F31" s="46"/>
      <c r="G31" s="46"/>
      <c r="H31" s="46"/>
      <c r="I31" s="46"/>
      <c r="J31" s="46"/>
      <c r="K31" s="46"/>
      <c r="L31" s="46"/>
      <c r="M31" s="46"/>
      <c r="N31" s="46"/>
      <c r="O31" s="46" t="s">
        <v>36</v>
      </c>
      <c r="P31" s="46"/>
      <c r="Q31" s="46"/>
      <c r="R31" s="46"/>
      <c r="S31" s="46"/>
      <c r="T31" s="46"/>
      <c r="U31" s="46"/>
      <c r="V31" s="46"/>
      <c r="W31" s="46"/>
      <c r="X31" s="46"/>
      <c r="Y31" s="46"/>
      <c r="Z31" s="46"/>
      <c r="AA31" s="46"/>
      <c r="AB31" s="46"/>
      <c r="AC31" s="46"/>
      <c r="AD31" s="46"/>
      <c r="AE31" s="46"/>
      <c r="AF31" s="46"/>
      <c r="AG31" s="11">
        <f>COUNTA(tblSeptember[[#This Row],[1]:[29]])</f>
        <v>1</v>
      </c>
      <c r="AH31" s="12"/>
    </row>
    <row r="32" spans="1:34" s="13" customFormat="1" x14ac:dyDescent="0.25">
      <c r="A32" s="44" t="s">
        <v>62</v>
      </c>
      <c r="B32" s="66"/>
      <c r="C32" s="66"/>
      <c r="D32" s="66"/>
      <c r="E32" s="66"/>
      <c r="F32" s="66"/>
      <c r="G32" s="66"/>
      <c r="H32" s="66"/>
      <c r="I32" s="66"/>
      <c r="J32" s="66" t="s">
        <v>36</v>
      </c>
      <c r="K32" s="66" t="s">
        <v>36</v>
      </c>
      <c r="L32" s="66" t="s">
        <v>36</v>
      </c>
      <c r="M32" s="66"/>
      <c r="N32" s="66"/>
      <c r="O32" s="66"/>
      <c r="P32" s="66"/>
      <c r="Q32" s="66"/>
      <c r="R32" s="66"/>
      <c r="S32" s="66"/>
      <c r="T32" s="66"/>
      <c r="U32" s="66"/>
      <c r="V32" s="66"/>
      <c r="W32" s="66"/>
      <c r="X32" s="66"/>
      <c r="Y32" s="66"/>
      <c r="Z32" s="66"/>
      <c r="AA32" s="66"/>
      <c r="AB32" s="66"/>
      <c r="AC32" s="66"/>
      <c r="AD32" s="66"/>
      <c r="AE32" s="66"/>
      <c r="AF32" s="66"/>
      <c r="AG32" s="11">
        <f>COUNTA(tblSeptember[[#This Row],[1]:[29]])</f>
        <v>3</v>
      </c>
      <c r="AH32" s="12"/>
    </row>
    <row r="33" spans="1:34" s="13" customFormat="1" x14ac:dyDescent="0.25">
      <c r="A33" s="44" t="s">
        <v>72</v>
      </c>
      <c r="B33" s="66"/>
      <c r="C33" s="66"/>
      <c r="D33" s="66"/>
      <c r="E33" s="66"/>
      <c r="F33" s="66"/>
      <c r="G33" s="66"/>
      <c r="H33" s="66"/>
      <c r="I33" s="66"/>
      <c r="J33" s="66"/>
      <c r="K33" s="66"/>
      <c r="L33" s="66"/>
      <c r="M33" s="66"/>
      <c r="N33" s="66"/>
      <c r="O33" s="66"/>
      <c r="P33" s="66"/>
      <c r="Q33" s="66"/>
      <c r="R33" s="66"/>
      <c r="S33" s="66"/>
      <c r="T33" s="66"/>
      <c r="U33" s="66"/>
      <c r="V33" s="66" t="s">
        <v>36</v>
      </c>
      <c r="W33" s="66"/>
      <c r="X33" s="66"/>
      <c r="Y33" s="66"/>
      <c r="Z33" s="66"/>
      <c r="AA33" s="66"/>
      <c r="AB33" s="66"/>
      <c r="AC33" s="66"/>
      <c r="AD33" s="66"/>
      <c r="AE33" s="66"/>
      <c r="AF33" s="66"/>
      <c r="AG33" s="11">
        <f>COUNTA(tblSeptember[[#This Row],[1]:[29]])</f>
        <v>1</v>
      </c>
      <c r="AH33" s="12"/>
    </row>
    <row r="34" spans="1:34" s="13" customFormat="1" x14ac:dyDescent="0.25">
      <c r="A34" s="44" t="s">
        <v>70</v>
      </c>
      <c r="B34" s="66"/>
      <c r="C34" s="66"/>
      <c r="D34" s="66"/>
      <c r="E34" s="66"/>
      <c r="F34" s="66"/>
      <c r="G34" s="66"/>
      <c r="H34" s="66"/>
      <c r="I34" s="66"/>
      <c r="J34" s="66"/>
      <c r="K34" s="66"/>
      <c r="L34" s="66"/>
      <c r="M34" s="66"/>
      <c r="N34" s="66"/>
      <c r="O34" s="66"/>
      <c r="P34" s="66"/>
      <c r="Q34" s="66"/>
      <c r="R34" s="66"/>
      <c r="S34" s="66" t="s">
        <v>36</v>
      </c>
      <c r="T34" s="66"/>
      <c r="U34" s="66"/>
      <c r="V34" s="66"/>
      <c r="W34" s="66"/>
      <c r="X34" s="66"/>
      <c r="Y34" s="66"/>
      <c r="Z34" s="66"/>
      <c r="AA34" s="66"/>
      <c r="AB34" s="66"/>
      <c r="AC34" s="66"/>
      <c r="AD34" s="66"/>
      <c r="AE34" s="66"/>
      <c r="AF34" s="66"/>
      <c r="AG34" s="11">
        <f>COUNTA(tblSeptember[[#This Row],[1]:[29]])</f>
        <v>1</v>
      </c>
      <c r="AH34" s="12"/>
    </row>
    <row r="35" spans="1:34" s="13" customFormat="1" x14ac:dyDescent="0.25">
      <c r="A35" s="44" t="s">
        <v>98</v>
      </c>
      <c r="B35" s="67"/>
      <c r="C35" s="67"/>
      <c r="D35" s="67"/>
      <c r="E35" s="67"/>
      <c r="F35" s="67"/>
      <c r="G35" s="67"/>
      <c r="H35" s="67"/>
      <c r="I35" s="67"/>
      <c r="J35" s="67"/>
      <c r="K35" s="67"/>
      <c r="L35" s="67"/>
      <c r="M35" s="67"/>
      <c r="N35" s="67"/>
      <c r="O35" s="67"/>
      <c r="P35" s="67"/>
      <c r="Q35" s="67"/>
      <c r="R35" s="67"/>
      <c r="S35" s="67"/>
      <c r="T35" s="67"/>
      <c r="U35" s="67"/>
      <c r="V35" s="67"/>
      <c r="W35" s="67"/>
      <c r="X35" s="67"/>
      <c r="Y35" s="67"/>
      <c r="Z35" s="67"/>
      <c r="AA35" s="67"/>
      <c r="AB35" s="67"/>
      <c r="AC35" s="67"/>
      <c r="AD35" s="67"/>
      <c r="AE35" s="67"/>
      <c r="AF35" s="67"/>
      <c r="AG35" s="11">
        <f>COUNTA(tblSeptember[[#This Row],[1]:[29]])</f>
        <v>0</v>
      </c>
      <c r="AH35" s="12"/>
    </row>
    <row r="36" spans="1:34" s="13" customFormat="1" x14ac:dyDescent="0.25">
      <c r="A36" s="44" t="s">
        <v>99</v>
      </c>
      <c r="B36" s="71"/>
      <c r="C36" s="71"/>
      <c r="D36" s="71"/>
      <c r="E36" s="71"/>
      <c r="F36" s="71"/>
      <c r="G36" s="71"/>
      <c r="H36" s="71"/>
      <c r="I36" s="71"/>
      <c r="J36" s="71"/>
      <c r="K36" s="71"/>
      <c r="L36" s="71"/>
      <c r="M36" s="71"/>
      <c r="N36" s="71"/>
      <c r="O36" s="71"/>
      <c r="P36" s="71"/>
      <c r="Q36" s="71"/>
      <c r="R36" s="71"/>
      <c r="S36" s="71"/>
      <c r="T36" s="71"/>
      <c r="U36" s="71"/>
      <c r="V36" s="71"/>
      <c r="W36" s="71"/>
      <c r="X36" s="71"/>
      <c r="Y36" s="67"/>
      <c r="Z36" s="71"/>
      <c r="AA36" s="71"/>
      <c r="AB36" s="71"/>
      <c r="AC36" s="71"/>
      <c r="AD36" s="71"/>
      <c r="AE36" s="71"/>
      <c r="AF36" s="71"/>
      <c r="AG36" s="11">
        <f>COUNTA(tblSeptember[[#This Row],[1]:[29]])</f>
        <v>0</v>
      </c>
      <c r="AH36" s="12"/>
    </row>
    <row r="37" spans="1:34" ht="15" customHeight="1" x14ac:dyDescent="0.25">
      <c r="A37" s="69" t="str">
        <f>MonthName&amp;" Total"</f>
        <v>September Total</v>
      </c>
      <c r="B37" s="70">
        <f>SUBTOTAL(103,tblSeptember[1])</f>
        <v>0</v>
      </c>
      <c r="C37" s="70">
        <f>SUBTOTAL(103,tblSeptember[2])</f>
        <v>0</v>
      </c>
      <c r="D37" s="70">
        <f>SUBTOTAL(103,tblSeptember[3])</f>
        <v>0</v>
      </c>
      <c r="E37" s="70">
        <f>SUBTOTAL(103,tblSeptember[4])</f>
        <v>1</v>
      </c>
      <c r="F37" s="70">
        <f>SUBTOTAL(103,tblSeptember[5])</f>
        <v>0</v>
      </c>
      <c r="G37" s="70">
        <f>SUBTOTAL(103,tblSeptember[6])</f>
        <v>0</v>
      </c>
      <c r="H37" s="70">
        <f>SUBTOTAL(103,tblSeptember[7])</f>
        <v>1</v>
      </c>
      <c r="I37" s="70">
        <f>SUBTOTAL(103,tblSeptember[8])</f>
        <v>2</v>
      </c>
      <c r="J37" s="70">
        <f>SUBTOTAL(103,tblSeptember[9])</f>
        <v>2</v>
      </c>
      <c r="K37" s="70">
        <f>SUBTOTAL(103,tblSeptember[10])</f>
        <v>2</v>
      </c>
      <c r="L37" s="70">
        <f>SUBTOTAL(103,tblSeptember[11])</f>
        <v>1</v>
      </c>
      <c r="M37" s="70">
        <f>SUBTOTAL(103,tblSeptember[12])</f>
        <v>0</v>
      </c>
      <c r="N37" s="70">
        <f>SUBTOTAL(103,tblSeptember[13])</f>
        <v>0</v>
      </c>
      <c r="O37" s="70">
        <f>SUBTOTAL(103,tblSeptember[14])</f>
        <v>2</v>
      </c>
      <c r="P37" s="70">
        <f>SUBTOTAL(103,tblSeptember[15])</f>
        <v>0</v>
      </c>
      <c r="Q37" s="70">
        <f>SUBTOTAL(103,tblSeptember[16])</f>
        <v>0</v>
      </c>
      <c r="R37" s="70">
        <f>SUBTOTAL(103,tblSeptember[17])</f>
        <v>0</v>
      </c>
      <c r="S37" s="70">
        <f>SUBTOTAL(103,tblSeptember[18])</f>
        <v>2</v>
      </c>
      <c r="T37" s="70">
        <f>SUBTOTAL(103,tblSeptember[19])</f>
        <v>0</v>
      </c>
      <c r="U37" s="70">
        <f>SUBTOTAL(103,tblSeptember[20])</f>
        <v>0</v>
      </c>
      <c r="V37" s="70">
        <f>SUBTOTAL(103,tblSeptember[21])</f>
        <v>4</v>
      </c>
      <c r="W37" s="70">
        <f>SUBTOTAL(103,tblSeptember[22])</f>
        <v>1</v>
      </c>
      <c r="X37" s="70">
        <f>SUBTOTAL(103,tblSeptember[23])</f>
        <v>1</v>
      </c>
      <c r="Y37" s="70">
        <f>SUBTOTAL(103,tblSeptember[24])</f>
        <v>4</v>
      </c>
      <c r="Z37" s="70">
        <f>SUBTOTAL(103,tblSeptember[25])</f>
        <v>4</v>
      </c>
      <c r="AA37" s="70">
        <f>SUBTOTAL(103,tblSeptember[26])</f>
        <v>0</v>
      </c>
      <c r="AB37" s="70">
        <f>SUBTOTAL(103,tblSeptember[27])</f>
        <v>0</v>
      </c>
      <c r="AC37" s="70">
        <f>SUBTOTAL(103,tblSeptember[28])</f>
        <v>2</v>
      </c>
      <c r="AD37" s="70">
        <f>SUBTOTAL(103,tblSeptember[29])</f>
        <v>0</v>
      </c>
      <c r="AE37" s="70"/>
      <c r="AF37" s="70"/>
      <c r="AG37" s="70">
        <f>SUBTOTAL(109,tblSeptember[Total Days])</f>
        <v>29</v>
      </c>
    </row>
    <row r="38" spans="1:34" ht="15" customHeight="1" x14ac:dyDescent="0.25">
      <c r="A38" s="80"/>
      <c r="B38" s="80"/>
      <c r="C38" s="80"/>
      <c r="D38" s="80"/>
      <c r="E38" s="80"/>
      <c r="F38" s="80"/>
      <c r="G38" s="80"/>
      <c r="H38" s="80"/>
      <c r="I38" s="80"/>
      <c r="J38" s="80"/>
      <c r="K38" s="80"/>
      <c r="L38" s="80"/>
      <c r="M38" s="80"/>
      <c r="N38" s="80"/>
      <c r="O38" s="80"/>
      <c r="P38" s="80"/>
      <c r="Q38" s="80"/>
      <c r="R38" s="80"/>
      <c r="S38" s="80"/>
      <c r="T38" s="80"/>
      <c r="U38" s="80"/>
      <c r="V38" s="80"/>
      <c r="W38" s="80"/>
      <c r="X38" s="80"/>
      <c r="Y38" s="80"/>
      <c r="Z38" s="80"/>
      <c r="AA38" s="80"/>
      <c r="AB38" s="80"/>
      <c r="AC38" s="80"/>
      <c r="AD38" s="80"/>
      <c r="AE38" s="80"/>
      <c r="AF38" s="80"/>
      <c r="AG38" s="80"/>
    </row>
    <row r="39" spans="1:34" ht="15" customHeight="1" x14ac:dyDescent="0.25">
      <c r="A39"/>
      <c r="B39" s="42" t="str">
        <f>January!B33</f>
        <v>Color Key</v>
      </c>
      <c r="C39" s="42"/>
      <c r="D39" s="42"/>
      <c r="E39" s="42"/>
      <c r="F39" s="43"/>
      <c r="G39" s="26" t="str">
        <f>KeyVacation</f>
        <v>V</v>
      </c>
      <c r="H39" s="39" t="str">
        <f>KeyVacationLabel</f>
        <v>Vacation</v>
      </c>
      <c r="I39" s="40"/>
      <c r="J39" s="40"/>
      <c r="K39" s="22" t="str">
        <f>KeyPersonal</f>
        <v>P</v>
      </c>
      <c r="L39" s="39" t="str">
        <f>KeyPersonalLabel</f>
        <v>Personal</v>
      </c>
      <c r="M39" s="40"/>
      <c r="N39" s="40"/>
      <c r="O39" s="23" t="str">
        <f>KeySick</f>
        <v>S</v>
      </c>
      <c r="P39" s="39" t="str">
        <f>KeySickLabel</f>
        <v>Sick</v>
      </c>
      <c r="Q39" s="40"/>
      <c r="R39" s="40"/>
      <c r="S39" s="24" t="str">
        <f>KeyCustom1</f>
        <v>H</v>
      </c>
      <c r="T39" s="39" t="str">
        <f>KeyCustom1Label</f>
        <v>Holiday</v>
      </c>
      <c r="U39" s="41"/>
      <c r="V39" s="40"/>
      <c r="W39" s="25">
        <f>KeyCustom2</f>
        <v>0</v>
      </c>
      <c r="X39" s="39" t="str">
        <f>KeyCustom2Label</f>
        <v>Custom 2</v>
      </c>
      <c r="Y39" s="40"/>
      <c r="Z39" s="41"/>
    </row>
  </sheetData>
  <mergeCells count="4">
    <mergeCell ref="A2:A3"/>
    <mergeCell ref="B2:AF2"/>
    <mergeCell ref="AG2:AG3"/>
    <mergeCell ref="A38:AG38"/>
  </mergeCells>
  <conditionalFormatting sqref="B29:G29 L29:AF29 B30:AF36 B5:AF28">
    <cfRule type="expression" priority="1" stopIfTrue="1">
      <formula>B5=""</formula>
    </cfRule>
  </conditionalFormatting>
  <conditionalFormatting sqref="B29:G29 L29:AF29 B30:AF36 B5:AF28">
    <cfRule type="expression" dxfId="52" priority="2" stopIfTrue="1">
      <formula>B5=KeyCustom2</formula>
    </cfRule>
    <cfRule type="expression" dxfId="51" priority="3" stopIfTrue="1">
      <formula>B5=KeyCustom1</formula>
    </cfRule>
    <cfRule type="expression" dxfId="50" priority="4" stopIfTrue="1">
      <formula>B5=KeySick</formula>
    </cfRule>
    <cfRule type="expression" dxfId="49" priority="5" stopIfTrue="1">
      <formula>B5=KeyPersonal</formula>
    </cfRule>
    <cfRule type="expression" dxfId="48" priority="6" stopIfTrue="1">
      <formula>B5=KeyVacation</formula>
    </cfRule>
  </conditionalFormatting>
  <conditionalFormatting sqref="AG5:AG36">
    <cfRule type="dataBar" priority="110">
      <dataBar>
        <cfvo type="min"/>
        <cfvo type="formula" val="DATEDIF(DATE(CalendarYear,2,1),DATE(CalendarYear,3,1),&quot;d&quot;)"/>
        <color theme="2" tint="-0.249977111117893"/>
      </dataBar>
      <extLst>
        <ext xmlns:x14="http://schemas.microsoft.com/office/spreadsheetml/2009/9/main" uri="{B025F937-C7B1-47D3-B67F-A62EFF666E3E}">
          <x14:id>{1477F465-23A5-4E7F-BDEC-11297175FB9A}</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477F465-23A5-4E7F-BDEC-11297175FB9A}">
            <x14:dataBar minLength="0" maxLength="100">
              <x14:cfvo type="autoMin"/>
              <x14:cfvo type="formula">
                <xm:f>DATEDIF(DATE(CalendarYear,2,1),DATE(CalendarYear,3,1),"d")</xm:f>
              </x14:cfvo>
              <x14:negativeFillColor rgb="FFFF0000"/>
              <x14:axisColor rgb="FF000000"/>
            </x14:dataBar>
          </x14:cfRule>
          <xm:sqref>AG5:AG36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D2B7C6AD-4757-4354-B044-7DF1C9BC9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23</vt:i4>
      </vt:variant>
    </vt:vector>
  </HeadingPairs>
  <TitlesOfParts>
    <vt:vector size="35" baseType="lpstr">
      <vt:lpstr>January</vt:lpstr>
      <vt:lpstr>February</vt:lpstr>
      <vt:lpstr>March</vt:lpstr>
      <vt:lpstr>April</vt:lpstr>
      <vt:lpstr>May</vt:lpstr>
      <vt:lpstr>June</vt:lpstr>
      <vt:lpstr>July</vt:lpstr>
      <vt:lpstr>August</vt:lpstr>
      <vt:lpstr>September</vt:lpstr>
      <vt:lpstr>October</vt:lpstr>
      <vt:lpstr>November</vt:lpstr>
      <vt:lpstr>December</vt:lpstr>
      <vt:lpstr>CalendarYear</vt:lpstr>
      <vt:lpstr>KeyCustom1</vt:lpstr>
      <vt:lpstr>KeyCustom1Label</vt:lpstr>
      <vt:lpstr>KeyCustom2</vt:lpstr>
      <vt:lpstr>KeyCustom2Label</vt:lpstr>
      <vt:lpstr>KeyPersonal</vt:lpstr>
      <vt:lpstr>KeyPersonalLabel</vt:lpstr>
      <vt:lpstr>KeySick</vt:lpstr>
      <vt:lpstr>KeySickLabel</vt:lpstr>
      <vt:lpstr>KeyVacation</vt:lpstr>
      <vt:lpstr>KeyVacationLabel</vt:lpstr>
      <vt:lpstr>April!MonthName</vt:lpstr>
      <vt:lpstr>August!MonthName</vt:lpstr>
      <vt:lpstr>December!MonthName</vt:lpstr>
      <vt:lpstr>February!MonthName</vt:lpstr>
      <vt:lpstr>January!MonthName</vt:lpstr>
      <vt:lpstr>July!MonthName</vt:lpstr>
      <vt:lpstr>June!MonthName</vt:lpstr>
      <vt:lpstr>March!MonthName</vt:lpstr>
      <vt:lpstr>May!MonthName</vt:lpstr>
      <vt:lpstr>November!MonthName</vt:lpstr>
      <vt:lpstr>October!MonthName</vt:lpstr>
      <vt:lpstr>September!MonthName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Jai CS. Krishna</dc:creator>
  <cp:keywords/>
  <cp:lastModifiedBy>Abdul Khalid</cp:lastModifiedBy>
  <dcterms:created xsi:type="dcterms:W3CDTF">2015-04-23T05:24:48Z</dcterms:created>
  <dcterms:modified xsi:type="dcterms:W3CDTF">2015-10-23T06:54:09Z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TC039871679991</vt:lpwstr>
  </property>
  <property fmtid="{D5CDD505-2E9C-101B-9397-08002B2CF9AE}" pid="3" name="WorkbookGuid">
    <vt:lpwstr>ba67ab79-3c98-4275-8d36-a18a168f47c1</vt:lpwstr>
  </property>
</Properties>
</file>